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kef\Downloads\"/>
    </mc:Choice>
  </mc:AlternateContent>
  <xr:revisionPtr revIDLastSave="0" documentId="13_ncr:1_{CA58131E-4CD7-4178-AED8-8C4D88F52E5C}" xr6:coauthVersionLast="47" xr6:coauthVersionMax="47" xr10:uidLastSave="{00000000-0000-0000-0000-000000000000}"/>
  <bookViews>
    <workbookView xWindow="19410" yWindow="0" windowWidth="18990" windowHeight="21000" firstSheet="5" activeTab="14" xr2:uid="{00000000-000D-0000-FFFF-FFFF00000000}"/>
  </bookViews>
  <sheets>
    <sheet name="Settings" sheetId="1" r:id="rId1"/>
    <sheet name="Rankings" sheetId="2" r:id="rId2"/>
    <sheet name="My Team" sheetId="3" r:id="rId3"/>
    <sheet name="Standard Deviations" sheetId="4" r:id="rId4"/>
    <sheet name="Hitters" sheetId="5" r:id="rId5"/>
    <sheet name="1B" sheetId="6" r:id="rId6"/>
    <sheet name="2B" sheetId="7" r:id="rId7"/>
    <sheet name="3B" sheetId="8" r:id="rId8"/>
    <sheet name="C" sheetId="9" r:id="rId9"/>
    <sheet name="OF" sheetId="10" r:id="rId10"/>
    <sheet name="SS" sheetId="11" r:id="rId11"/>
    <sheet name="1B+3B" sheetId="12" r:id="rId12"/>
    <sheet name="2B+SS" sheetId="13" r:id="rId13"/>
    <sheet name="Pitchers" sheetId="14" r:id="rId14"/>
    <sheet name="SP" sheetId="15" r:id="rId15"/>
    <sheet name="RP" sheetId="16" r:id="rId16"/>
    <sheet name="SP+RP" sheetId="17" r:id="rId17"/>
  </sheets>
  <definedNames>
    <definedName name="_xlnm._FilterDatabase" localSheetId="5" hidden="1">'1B'!$A$1:$I$63</definedName>
    <definedName name="_xlnm._FilterDatabase" localSheetId="11" hidden="1">'1B+3B'!$A$1:$I$104</definedName>
    <definedName name="_xlnm._FilterDatabase" localSheetId="6" hidden="1">'2B'!$A$1:$I$50</definedName>
    <definedName name="_xlnm._FilterDatabase" localSheetId="12" hidden="1">'2B+SS'!$A$1:$I$94</definedName>
    <definedName name="_xlnm._FilterDatabase" localSheetId="7" hidden="1">'3B'!$A$1:$I$55</definedName>
    <definedName name="_xlnm._FilterDatabase" localSheetId="8" hidden="1">'C'!$A$1:$I$54</definedName>
    <definedName name="_xlnm._FilterDatabase" localSheetId="9" hidden="1">OF!$A$1:$I$139</definedName>
    <definedName name="_xlnm._FilterDatabase" localSheetId="1" hidden="1">Rankings!$A$1:$AR$651</definedName>
    <definedName name="_xlnm._FilterDatabase" localSheetId="15" hidden="1">RP!$A$1:$I$91</definedName>
    <definedName name="_xlnm._FilterDatabase" localSheetId="14" hidden="1">SP!$A$1:$I$161</definedName>
    <definedName name="_xlnm._FilterDatabase" localSheetId="16" hidden="1">'SP+RP'!$A$1:$I$251</definedName>
    <definedName name="_xlnm._FilterDatabase" localSheetId="10" hidden="1">SS!$A$1:$I$45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5" l="1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3" i="3"/>
  <c r="F4" i="3"/>
  <c r="F6" i="3"/>
  <c r="F7" i="3"/>
  <c r="F9" i="3"/>
  <c r="F10" i="3"/>
  <c r="F12" i="3"/>
  <c r="F13" i="3"/>
  <c r="F15" i="3"/>
  <c r="F16" i="3"/>
  <c r="F18" i="3"/>
  <c r="F19" i="3"/>
  <c r="F20" i="3"/>
  <c r="F21" i="3"/>
  <c r="F22" i="3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4" i="6"/>
  <c r="J5" i="6"/>
  <c r="J6" i="6"/>
  <c r="J7" i="6"/>
  <c r="J42" i="6"/>
  <c r="J8" i="6"/>
  <c r="J9" i="6"/>
  <c r="J11" i="6"/>
  <c r="J10" i="6"/>
  <c r="J12" i="6"/>
  <c r="J13" i="6"/>
  <c r="J15" i="6"/>
  <c r="J14" i="6"/>
  <c r="J16" i="6"/>
  <c r="J17" i="6"/>
  <c r="J18" i="6"/>
  <c r="J19" i="6"/>
  <c r="J20" i="6"/>
  <c r="J21" i="6"/>
  <c r="J23" i="6"/>
  <c r="J24" i="6"/>
  <c r="J25" i="6"/>
  <c r="J22" i="6"/>
  <c r="J26" i="6"/>
  <c r="J27" i="6"/>
  <c r="J28" i="6"/>
  <c r="J30" i="6"/>
  <c r="J29" i="6"/>
  <c r="J33" i="6"/>
  <c r="J31" i="6"/>
  <c r="J32" i="6"/>
  <c r="J34" i="6"/>
  <c r="J38" i="6"/>
  <c r="J36" i="6"/>
  <c r="J37" i="6"/>
  <c r="J35" i="6"/>
  <c r="J39" i="6"/>
  <c r="J41" i="6"/>
  <c r="J40" i="6"/>
  <c r="J43" i="6"/>
  <c r="J44" i="6"/>
  <c r="J45" i="6"/>
  <c r="J47" i="6"/>
  <c r="J46" i="6"/>
  <c r="J49" i="6"/>
  <c r="J51" i="6"/>
  <c r="J50" i="6"/>
  <c r="J48" i="6"/>
  <c r="J53" i="6"/>
  <c r="J57" i="6"/>
  <c r="J55" i="6"/>
  <c r="J54" i="6"/>
  <c r="J56" i="6"/>
  <c r="J58" i="6"/>
  <c r="J61" i="6"/>
  <c r="J59" i="6"/>
  <c r="J60" i="6"/>
  <c r="J62" i="6"/>
  <c r="J63" i="6"/>
  <c r="J52" i="6"/>
  <c r="J3" i="6"/>
  <c r="J2" i="6"/>
  <c r="S6" i="5"/>
  <c r="S7" i="5"/>
  <c r="S8" i="5"/>
  <c r="S9" i="5"/>
  <c r="S10" i="5"/>
  <c r="S11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3" i="5"/>
  <c r="S4" i="5"/>
  <c r="S5" i="5"/>
  <c r="S2" i="5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U2" i="3"/>
  <c r="T2" i="3"/>
  <c r="S2" i="3"/>
  <c r="R2" i="3"/>
  <c r="Q2" i="3"/>
  <c r="P2" i="3"/>
  <c r="O2" i="3"/>
  <c r="R18" i="2"/>
  <c r="S18" i="2"/>
  <c r="T18" i="2"/>
  <c r="U18" i="2"/>
  <c r="V18" i="2"/>
  <c r="W18" i="2"/>
  <c r="X18" i="2"/>
  <c r="Y18" i="2"/>
  <c r="Z18" i="2"/>
  <c r="R16" i="2"/>
  <c r="S16" i="2"/>
  <c r="T16" i="2"/>
  <c r="U16" i="2"/>
  <c r="V16" i="2"/>
  <c r="W16" i="2"/>
  <c r="X16" i="2"/>
  <c r="Y16" i="2"/>
  <c r="Z16" i="2"/>
  <c r="R10" i="2"/>
  <c r="S10" i="2"/>
  <c r="T10" i="2"/>
  <c r="U10" i="2"/>
  <c r="V10" i="2"/>
  <c r="W10" i="2"/>
  <c r="X10" i="2"/>
  <c r="Y10" i="2"/>
  <c r="Z10" i="2"/>
  <c r="R49" i="2"/>
  <c r="S49" i="2"/>
  <c r="T49" i="2"/>
  <c r="U49" i="2"/>
  <c r="V49" i="2"/>
  <c r="W49" i="2"/>
  <c r="X49" i="2"/>
  <c r="Y49" i="2"/>
  <c r="Z49" i="2"/>
  <c r="R71" i="2"/>
  <c r="S71" i="2"/>
  <c r="T71" i="2"/>
  <c r="U71" i="2"/>
  <c r="V71" i="2"/>
  <c r="W71" i="2"/>
  <c r="X71" i="2"/>
  <c r="Y71" i="2"/>
  <c r="Z71" i="2"/>
  <c r="R80" i="2"/>
  <c r="S80" i="2"/>
  <c r="T80" i="2"/>
  <c r="U80" i="2"/>
  <c r="V80" i="2"/>
  <c r="W80" i="2"/>
  <c r="X80" i="2"/>
  <c r="Y80" i="2"/>
  <c r="Z80" i="2"/>
  <c r="R84" i="2"/>
  <c r="S84" i="2"/>
  <c r="T84" i="2"/>
  <c r="U84" i="2"/>
  <c r="V84" i="2"/>
  <c r="W84" i="2"/>
  <c r="X84" i="2"/>
  <c r="Y84" i="2"/>
  <c r="Z84" i="2"/>
  <c r="R56" i="2"/>
  <c r="S56" i="2"/>
  <c r="T56" i="2"/>
  <c r="U56" i="2"/>
  <c r="V56" i="2"/>
  <c r="W56" i="2"/>
  <c r="X56" i="2"/>
  <c r="Y56" i="2"/>
  <c r="Z56" i="2"/>
  <c r="R47" i="2"/>
  <c r="S47" i="2"/>
  <c r="T47" i="2"/>
  <c r="U47" i="2"/>
  <c r="V47" i="2"/>
  <c r="W47" i="2"/>
  <c r="X47" i="2"/>
  <c r="Y47" i="2"/>
  <c r="Z47" i="2"/>
  <c r="R83" i="2"/>
  <c r="S83" i="2"/>
  <c r="T83" i="2"/>
  <c r="U83" i="2"/>
  <c r="V83" i="2"/>
  <c r="W83" i="2"/>
  <c r="X83" i="2"/>
  <c r="Y83" i="2"/>
  <c r="Z83" i="2"/>
  <c r="R89" i="2"/>
  <c r="S89" i="2"/>
  <c r="T89" i="2"/>
  <c r="U89" i="2"/>
  <c r="V89" i="2"/>
  <c r="W89" i="2"/>
  <c r="X89" i="2"/>
  <c r="Y89" i="2"/>
  <c r="Z89" i="2"/>
  <c r="R116" i="2"/>
  <c r="S116" i="2"/>
  <c r="T116" i="2"/>
  <c r="U116" i="2"/>
  <c r="V116" i="2"/>
  <c r="W116" i="2"/>
  <c r="X116" i="2"/>
  <c r="Y116" i="2"/>
  <c r="Z116" i="2"/>
  <c r="R113" i="2"/>
  <c r="S113" i="2"/>
  <c r="T113" i="2"/>
  <c r="U113" i="2"/>
  <c r="V113" i="2"/>
  <c r="W113" i="2"/>
  <c r="X113" i="2"/>
  <c r="Y113" i="2"/>
  <c r="Z113" i="2"/>
  <c r="R81" i="2"/>
  <c r="S81" i="2"/>
  <c r="T81" i="2"/>
  <c r="U81" i="2"/>
  <c r="V81" i="2"/>
  <c r="W81" i="2"/>
  <c r="X81" i="2"/>
  <c r="Y81" i="2"/>
  <c r="Z81" i="2"/>
  <c r="R103" i="2"/>
  <c r="S103" i="2"/>
  <c r="T103" i="2"/>
  <c r="U103" i="2"/>
  <c r="V103" i="2"/>
  <c r="W103" i="2"/>
  <c r="X103" i="2"/>
  <c r="Y103" i="2"/>
  <c r="Z103" i="2"/>
  <c r="R101" i="2"/>
  <c r="S101" i="2"/>
  <c r="T101" i="2"/>
  <c r="U101" i="2"/>
  <c r="V101" i="2"/>
  <c r="W101" i="2"/>
  <c r="X101" i="2"/>
  <c r="Y101" i="2"/>
  <c r="Z101" i="2"/>
  <c r="R232" i="2"/>
  <c r="S232" i="2"/>
  <c r="T232" i="2"/>
  <c r="U232" i="2"/>
  <c r="V232" i="2"/>
  <c r="W232" i="2"/>
  <c r="X232" i="2"/>
  <c r="Y232" i="2"/>
  <c r="Z232" i="2"/>
  <c r="R212" i="2"/>
  <c r="S212" i="2"/>
  <c r="T212" i="2"/>
  <c r="U212" i="2"/>
  <c r="V212" i="2"/>
  <c r="W212" i="2"/>
  <c r="X212" i="2"/>
  <c r="Y212" i="2"/>
  <c r="Z212" i="2"/>
  <c r="R145" i="2"/>
  <c r="S145" i="2"/>
  <c r="T145" i="2"/>
  <c r="U145" i="2"/>
  <c r="V145" i="2"/>
  <c r="W145" i="2"/>
  <c r="X145" i="2"/>
  <c r="Y145" i="2"/>
  <c r="Z145" i="2"/>
  <c r="R269" i="2"/>
  <c r="S269" i="2"/>
  <c r="T269" i="2"/>
  <c r="U269" i="2"/>
  <c r="V269" i="2"/>
  <c r="W269" i="2"/>
  <c r="X269" i="2"/>
  <c r="Y269" i="2"/>
  <c r="Z269" i="2"/>
  <c r="R308" i="2"/>
  <c r="S308" i="2"/>
  <c r="T308" i="2"/>
  <c r="U308" i="2"/>
  <c r="V308" i="2"/>
  <c r="W308" i="2"/>
  <c r="X308" i="2"/>
  <c r="Y308" i="2"/>
  <c r="Z308" i="2"/>
  <c r="R343" i="2"/>
  <c r="S343" i="2"/>
  <c r="T343" i="2"/>
  <c r="U343" i="2"/>
  <c r="V343" i="2"/>
  <c r="W343" i="2"/>
  <c r="X343" i="2"/>
  <c r="Y343" i="2"/>
  <c r="Z343" i="2"/>
  <c r="R323" i="2"/>
  <c r="S323" i="2"/>
  <c r="T323" i="2"/>
  <c r="U323" i="2"/>
  <c r="V323" i="2"/>
  <c r="W323" i="2"/>
  <c r="X323" i="2"/>
  <c r="Y323" i="2"/>
  <c r="Z323" i="2"/>
  <c r="R360" i="2"/>
  <c r="S360" i="2"/>
  <c r="T360" i="2"/>
  <c r="U360" i="2"/>
  <c r="V360" i="2"/>
  <c r="W360" i="2"/>
  <c r="X360" i="2"/>
  <c r="Y360" i="2"/>
  <c r="Z360" i="2"/>
  <c r="R409" i="2"/>
  <c r="S409" i="2"/>
  <c r="T409" i="2"/>
  <c r="U409" i="2"/>
  <c r="V409" i="2"/>
  <c r="W409" i="2"/>
  <c r="X409" i="2"/>
  <c r="Y409" i="2"/>
  <c r="Z409" i="2"/>
  <c r="R484" i="2"/>
  <c r="S484" i="2"/>
  <c r="T484" i="2"/>
  <c r="U484" i="2"/>
  <c r="V484" i="2"/>
  <c r="W484" i="2"/>
  <c r="X484" i="2"/>
  <c r="Y484" i="2"/>
  <c r="Z484" i="2"/>
  <c r="R538" i="2"/>
  <c r="S538" i="2"/>
  <c r="T538" i="2"/>
  <c r="U538" i="2"/>
  <c r="V538" i="2"/>
  <c r="W538" i="2"/>
  <c r="X538" i="2"/>
  <c r="Y538" i="2"/>
  <c r="Z538" i="2"/>
  <c r="R266" i="2"/>
  <c r="S266" i="2"/>
  <c r="T266" i="2"/>
  <c r="U266" i="2"/>
  <c r="V266" i="2"/>
  <c r="W266" i="2"/>
  <c r="X266" i="2"/>
  <c r="Y266" i="2"/>
  <c r="Z266" i="2"/>
  <c r="R553" i="2"/>
  <c r="S553" i="2"/>
  <c r="T553" i="2"/>
  <c r="U553" i="2"/>
  <c r="V553" i="2"/>
  <c r="W553" i="2"/>
  <c r="X553" i="2"/>
  <c r="Y553" i="2"/>
  <c r="Z553" i="2"/>
  <c r="R342" i="2"/>
  <c r="S342" i="2"/>
  <c r="T342" i="2"/>
  <c r="U342" i="2"/>
  <c r="V342" i="2"/>
  <c r="W342" i="2"/>
  <c r="X342" i="2"/>
  <c r="Y342" i="2"/>
  <c r="Z342" i="2"/>
  <c r="R498" i="2"/>
  <c r="S498" i="2"/>
  <c r="T498" i="2"/>
  <c r="U498" i="2"/>
  <c r="V498" i="2"/>
  <c r="W498" i="2"/>
  <c r="X498" i="2"/>
  <c r="Y498" i="2"/>
  <c r="Z498" i="2"/>
  <c r="R497" i="2"/>
  <c r="S497" i="2"/>
  <c r="T497" i="2"/>
  <c r="U497" i="2"/>
  <c r="V497" i="2"/>
  <c r="W497" i="2"/>
  <c r="X497" i="2"/>
  <c r="Y497" i="2"/>
  <c r="Z497" i="2"/>
  <c r="R425" i="2"/>
  <c r="S425" i="2"/>
  <c r="T425" i="2"/>
  <c r="U425" i="2"/>
  <c r="V425" i="2"/>
  <c r="W425" i="2"/>
  <c r="X425" i="2"/>
  <c r="Y425" i="2"/>
  <c r="Z425" i="2"/>
  <c r="R361" i="2"/>
  <c r="S361" i="2"/>
  <c r="T361" i="2"/>
  <c r="U361" i="2"/>
  <c r="V361" i="2"/>
  <c r="W361" i="2"/>
  <c r="X361" i="2"/>
  <c r="Y361" i="2"/>
  <c r="Z361" i="2"/>
  <c r="R507" i="2"/>
  <c r="S507" i="2"/>
  <c r="T507" i="2"/>
  <c r="U507" i="2"/>
  <c r="V507" i="2"/>
  <c r="W507" i="2"/>
  <c r="X507" i="2"/>
  <c r="Y507" i="2"/>
  <c r="Z507" i="2"/>
  <c r="R525" i="2"/>
  <c r="S525" i="2"/>
  <c r="T525" i="2"/>
  <c r="U525" i="2"/>
  <c r="V525" i="2"/>
  <c r="W525" i="2"/>
  <c r="X525" i="2"/>
  <c r="Y525" i="2"/>
  <c r="Z525" i="2"/>
  <c r="R559" i="2"/>
  <c r="S559" i="2"/>
  <c r="T559" i="2"/>
  <c r="U559" i="2"/>
  <c r="V559" i="2"/>
  <c r="W559" i="2"/>
  <c r="X559" i="2"/>
  <c r="Y559" i="2"/>
  <c r="Z559" i="2"/>
  <c r="R627" i="2"/>
  <c r="S627" i="2"/>
  <c r="T627" i="2"/>
  <c r="U627" i="2"/>
  <c r="V627" i="2"/>
  <c r="W627" i="2"/>
  <c r="X627" i="2"/>
  <c r="Y627" i="2"/>
  <c r="Z627" i="2"/>
  <c r="R640" i="2"/>
  <c r="S640" i="2"/>
  <c r="T640" i="2"/>
  <c r="U640" i="2"/>
  <c r="V640" i="2"/>
  <c r="W640" i="2"/>
  <c r="X640" i="2"/>
  <c r="Y640" i="2"/>
  <c r="Z640" i="2"/>
  <c r="R631" i="2"/>
  <c r="S631" i="2"/>
  <c r="T631" i="2"/>
  <c r="U631" i="2"/>
  <c r="V631" i="2"/>
  <c r="W631" i="2"/>
  <c r="X631" i="2"/>
  <c r="Y631" i="2"/>
  <c r="Z631" i="2"/>
  <c r="R644" i="2"/>
  <c r="S644" i="2"/>
  <c r="T644" i="2"/>
  <c r="U644" i="2"/>
  <c r="V644" i="2"/>
  <c r="W644" i="2"/>
  <c r="X644" i="2"/>
  <c r="Y644" i="2"/>
  <c r="Z644" i="2"/>
  <c r="R647" i="2"/>
  <c r="S647" i="2"/>
  <c r="T647" i="2"/>
  <c r="U647" i="2"/>
  <c r="V647" i="2"/>
  <c r="W647" i="2"/>
  <c r="X647" i="2"/>
  <c r="Y647" i="2"/>
  <c r="Z647" i="2"/>
  <c r="R575" i="2"/>
  <c r="S575" i="2"/>
  <c r="T575" i="2"/>
  <c r="U575" i="2"/>
  <c r="V575" i="2"/>
  <c r="W575" i="2"/>
  <c r="X575" i="2"/>
  <c r="Y575" i="2"/>
  <c r="Z575" i="2"/>
  <c r="Z4" i="2"/>
  <c r="Y4" i="2"/>
  <c r="Y27" i="2"/>
  <c r="Z27" i="2"/>
  <c r="Y15" i="2"/>
  <c r="Z15" i="2"/>
  <c r="Y30" i="2"/>
  <c r="Z30" i="2"/>
  <c r="Y46" i="2"/>
  <c r="Z46" i="2"/>
  <c r="Y511" i="2"/>
  <c r="Z511" i="2"/>
  <c r="Y121" i="2"/>
  <c r="Z121" i="2"/>
  <c r="Y124" i="2"/>
  <c r="Z124" i="2"/>
  <c r="Y98" i="2"/>
  <c r="Z98" i="2"/>
  <c r="Y115" i="2"/>
  <c r="Z115" i="2"/>
  <c r="Y123" i="2"/>
  <c r="Z123" i="2"/>
  <c r="Y139" i="2"/>
  <c r="Z139" i="2"/>
  <c r="Y143" i="2"/>
  <c r="Z143" i="2"/>
  <c r="Y189" i="2"/>
  <c r="Z189" i="2"/>
  <c r="Y135" i="2"/>
  <c r="Z135" i="2"/>
  <c r="Y176" i="2"/>
  <c r="Z176" i="2"/>
  <c r="Y160" i="2"/>
  <c r="Z160" i="2"/>
  <c r="Y163" i="2"/>
  <c r="Z163" i="2"/>
  <c r="Y168" i="2"/>
  <c r="Z168" i="2"/>
  <c r="Y205" i="2"/>
  <c r="Z205" i="2"/>
  <c r="Y245" i="2"/>
  <c r="Z245" i="2"/>
  <c r="Y211" i="2"/>
  <c r="Z211" i="2"/>
  <c r="Y229" i="2"/>
  <c r="Z229" i="2"/>
  <c r="Y201" i="2"/>
  <c r="Z201" i="2"/>
  <c r="Y235" i="2"/>
  <c r="Z235" i="2"/>
  <c r="Y337" i="2"/>
  <c r="Z337" i="2"/>
  <c r="Y363" i="2"/>
  <c r="Z363" i="2"/>
  <c r="Y424" i="2"/>
  <c r="Z424" i="2"/>
  <c r="Y373" i="2"/>
  <c r="Z373" i="2"/>
  <c r="Y332" i="2"/>
  <c r="Z332" i="2"/>
  <c r="Y350" i="2"/>
  <c r="Z350" i="2"/>
  <c r="Y393" i="2"/>
  <c r="Z393" i="2"/>
  <c r="Y376" i="2"/>
  <c r="Z376" i="2"/>
  <c r="Y453" i="2"/>
  <c r="Z453" i="2"/>
  <c r="Y472" i="2"/>
  <c r="Z472" i="2"/>
  <c r="Y356" i="2"/>
  <c r="Z356" i="2"/>
  <c r="Y420" i="2"/>
  <c r="Z420" i="2"/>
  <c r="Y470" i="2"/>
  <c r="Z470" i="2"/>
  <c r="Y473" i="2"/>
  <c r="Z473" i="2"/>
  <c r="Y585" i="2"/>
  <c r="Z585" i="2"/>
  <c r="Y630" i="2"/>
  <c r="Z630" i="2"/>
  <c r="Y557" i="2"/>
  <c r="Z557" i="2"/>
  <c r="Y594" i="2"/>
  <c r="Z594" i="2"/>
  <c r="Y617" i="2"/>
  <c r="Z617" i="2"/>
  <c r="Y623" i="2"/>
  <c r="Z623" i="2"/>
  <c r="Y621" i="2"/>
  <c r="Z621" i="2"/>
  <c r="Y563" i="2"/>
  <c r="Z563" i="2"/>
  <c r="Y645" i="2"/>
  <c r="Z645" i="2"/>
  <c r="Y569" i="2"/>
  <c r="Z569" i="2"/>
  <c r="Y41" i="2"/>
  <c r="Z41" i="2"/>
  <c r="Y40" i="2"/>
  <c r="Z40" i="2"/>
  <c r="Y156" i="2"/>
  <c r="Z156" i="2"/>
  <c r="Y55" i="2"/>
  <c r="Z55" i="2"/>
  <c r="Y64" i="2"/>
  <c r="Z64" i="2"/>
  <c r="Y59" i="2"/>
  <c r="Z59" i="2"/>
  <c r="Y95" i="2"/>
  <c r="Z95" i="2"/>
  <c r="Y131" i="2"/>
  <c r="Z131" i="2"/>
  <c r="Y119" i="2"/>
  <c r="Z119" i="2"/>
  <c r="Y170" i="2"/>
  <c r="Z170" i="2"/>
  <c r="Y152" i="2"/>
  <c r="Z152" i="2"/>
  <c r="Y178" i="2"/>
  <c r="Z178" i="2"/>
  <c r="Y144" i="2"/>
  <c r="Z144" i="2"/>
  <c r="Y175" i="2"/>
  <c r="Z175" i="2"/>
  <c r="Y184" i="2"/>
  <c r="Z184" i="2"/>
  <c r="Y228" i="2"/>
  <c r="Z228" i="2"/>
  <c r="Y460" i="2"/>
  <c r="Z460" i="2"/>
  <c r="Y174" i="2"/>
  <c r="Z174" i="2"/>
  <c r="Y204" i="2"/>
  <c r="Z204" i="2"/>
  <c r="Y150" i="2"/>
  <c r="Z150" i="2"/>
  <c r="Y213" i="2"/>
  <c r="Z213" i="2"/>
  <c r="Y215" i="2"/>
  <c r="Z215" i="2"/>
  <c r="Y276" i="2"/>
  <c r="Z276" i="2"/>
  <c r="Y349" i="2"/>
  <c r="Z349" i="2"/>
  <c r="Y329" i="2"/>
  <c r="Z329" i="2"/>
  <c r="Y648" i="2"/>
  <c r="Z648" i="2"/>
  <c r="Y256" i="2"/>
  <c r="Z256" i="2"/>
  <c r="Y358" i="2"/>
  <c r="Z358" i="2"/>
  <c r="Y249" i="2"/>
  <c r="Z249" i="2"/>
  <c r="Y365" i="2"/>
  <c r="Z365" i="2"/>
  <c r="Y437" i="2"/>
  <c r="Z437" i="2"/>
  <c r="Y418" i="2"/>
  <c r="Z418" i="2"/>
  <c r="Y364" i="2"/>
  <c r="Z364" i="2"/>
  <c r="Y351" i="2"/>
  <c r="Z351" i="2"/>
  <c r="Y530" i="2"/>
  <c r="Z530" i="2"/>
  <c r="Y481" i="2"/>
  <c r="Z481" i="2"/>
  <c r="Y462" i="2"/>
  <c r="Z462" i="2"/>
  <c r="Y499" i="2"/>
  <c r="Z499" i="2"/>
  <c r="Y444" i="2"/>
  <c r="Z444" i="2"/>
  <c r="Y549" i="2"/>
  <c r="Z549" i="2"/>
  <c r="Y496" i="2"/>
  <c r="Z496" i="2"/>
  <c r="Y543" i="2"/>
  <c r="Z543" i="2"/>
  <c r="Y637" i="2"/>
  <c r="Z637" i="2"/>
  <c r="Y609" i="2"/>
  <c r="Z609" i="2"/>
  <c r="Y596" i="2"/>
  <c r="Z596" i="2"/>
  <c r="Y618" i="2"/>
  <c r="Z618" i="2"/>
  <c r="Y634" i="2"/>
  <c r="Z634" i="2"/>
  <c r="Y638" i="2"/>
  <c r="Z638" i="2"/>
  <c r="Y635" i="2"/>
  <c r="Z635" i="2"/>
  <c r="Y7" i="2"/>
  <c r="Z7" i="2"/>
  <c r="Y23" i="2"/>
  <c r="Z23" i="2"/>
  <c r="Y25" i="2"/>
  <c r="Z25" i="2"/>
  <c r="Y35" i="2"/>
  <c r="Z35" i="2"/>
  <c r="Y57" i="2"/>
  <c r="Z57" i="2"/>
  <c r="Y99" i="2"/>
  <c r="Z99" i="2"/>
  <c r="Y171" i="2"/>
  <c r="Z171" i="2"/>
  <c r="Y153" i="2"/>
  <c r="Z153" i="2"/>
  <c r="Y167" i="2"/>
  <c r="Z167" i="2"/>
  <c r="Y242" i="2"/>
  <c r="Z242" i="2"/>
  <c r="Y165" i="2"/>
  <c r="Z165" i="2"/>
  <c r="Y141" i="2"/>
  <c r="Z141" i="2"/>
  <c r="Y252" i="2"/>
  <c r="Z252" i="2"/>
  <c r="Y182" i="2"/>
  <c r="Z182" i="2"/>
  <c r="Y281" i="2"/>
  <c r="Z281" i="2"/>
  <c r="Y217" i="2"/>
  <c r="Z217" i="2"/>
  <c r="Y231" i="2"/>
  <c r="Z231" i="2"/>
  <c r="Y278" i="2"/>
  <c r="Z278" i="2"/>
  <c r="Y290" i="2"/>
  <c r="Z290" i="2"/>
  <c r="Y260" i="2"/>
  <c r="Z260" i="2"/>
  <c r="Y340" i="2"/>
  <c r="Z340" i="2"/>
  <c r="Y324" i="2"/>
  <c r="Z324" i="2"/>
  <c r="Y414" i="2"/>
  <c r="Z414" i="2"/>
  <c r="Y310" i="2"/>
  <c r="Z310" i="2"/>
  <c r="Y421" i="2"/>
  <c r="Z421" i="2"/>
  <c r="Y443" i="2"/>
  <c r="Z443" i="2"/>
  <c r="Y241" i="2"/>
  <c r="Z241" i="2"/>
  <c r="Y488" i="2"/>
  <c r="Z488" i="2"/>
  <c r="Y483" i="2"/>
  <c r="Z483" i="2"/>
  <c r="Y375" i="2"/>
  <c r="Z375" i="2"/>
  <c r="Y486" i="2"/>
  <c r="Z486" i="2"/>
  <c r="Y504" i="2"/>
  <c r="Z504" i="2"/>
  <c r="Y442" i="2"/>
  <c r="Z442" i="2"/>
  <c r="Y502" i="2"/>
  <c r="Z502" i="2"/>
  <c r="Y487" i="2"/>
  <c r="Z487" i="2"/>
  <c r="Y544" i="2"/>
  <c r="Z544" i="2"/>
  <c r="Y491" i="2"/>
  <c r="Z491" i="2"/>
  <c r="Y489" i="2"/>
  <c r="Z489" i="2"/>
  <c r="Y571" i="2"/>
  <c r="Z571" i="2"/>
  <c r="Y578" i="2"/>
  <c r="Z578" i="2"/>
  <c r="Y580" i="2"/>
  <c r="Z580" i="2"/>
  <c r="Y531" i="2"/>
  <c r="Z531" i="2"/>
  <c r="Y271" i="2"/>
  <c r="Z271" i="2"/>
  <c r="Y620" i="2"/>
  <c r="Z620" i="2"/>
  <c r="Y589" i="2"/>
  <c r="Z589" i="2"/>
  <c r="Y616" i="2"/>
  <c r="Z616" i="2"/>
  <c r="Y625" i="2"/>
  <c r="Z625" i="2"/>
  <c r="Y641" i="2"/>
  <c r="Z641" i="2"/>
  <c r="Y602" i="2"/>
  <c r="Z602" i="2"/>
  <c r="Y639" i="2"/>
  <c r="Z639" i="2"/>
  <c r="Y643" i="2"/>
  <c r="Z643" i="2"/>
  <c r="Y628" i="2"/>
  <c r="Z628" i="2"/>
  <c r="Y649" i="2"/>
  <c r="Z649" i="2"/>
  <c r="Y619" i="2"/>
  <c r="Z619" i="2"/>
  <c r="Y76" i="2"/>
  <c r="Z76" i="2"/>
  <c r="Y65" i="2"/>
  <c r="Z65" i="2"/>
  <c r="Y102" i="2"/>
  <c r="Z102" i="2"/>
  <c r="Y104" i="2"/>
  <c r="Z104" i="2"/>
  <c r="Y196" i="2"/>
  <c r="Z196" i="2"/>
  <c r="Y151" i="2"/>
  <c r="Z151" i="2"/>
  <c r="Y154" i="2"/>
  <c r="Z154" i="2"/>
  <c r="Y185" i="2"/>
  <c r="Z185" i="2"/>
  <c r="Y162" i="2"/>
  <c r="Z162" i="2"/>
  <c r="Y203" i="2"/>
  <c r="Z203" i="2"/>
  <c r="Y224" i="2"/>
  <c r="Z224" i="2"/>
  <c r="Y321" i="2"/>
  <c r="Z321" i="2"/>
  <c r="Y284" i="2"/>
  <c r="Z284" i="2"/>
  <c r="Y253" i="2"/>
  <c r="Z253" i="2"/>
  <c r="Y416" i="2"/>
  <c r="Z416" i="2"/>
  <c r="Y404" i="2"/>
  <c r="Z404" i="2"/>
  <c r="Y319" i="2"/>
  <c r="Z319" i="2"/>
  <c r="Y554" i="2"/>
  <c r="Z554" i="2"/>
  <c r="Y419" i="2"/>
  <c r="Z419" i="2"/>
  <c r="Y412" i="2"/>
  <c r="Z412" i="2"/>
  <c r="Y533" i="2"/>
  <c r="Z533" i="2"/>
  <c r="Y515" i="2"/>
  <c r="Z515" i="2"/>
  <c r="Y592" i="2"/>
  <c r="Z592" i="2"/>
  <c r="Y512" i="2"/>
  <c r="Z512" i="2"/>
  <c r="Y516" i="2"/>
  <c r="Z516" i="2"/>
  <c r="Y517" i="2"/>
  <c r="Z517" i="2"/>
  <c r="Y534" i="2"/>
  <c r="Z534" i="2"/>
  <c r="Y514" i="2"/>
  <c r="Z514" i="2"/>
  <c r="Y503" i="2"/>
  <c r="Z503" i="2"/>
  <c r="Y388" i="2"/>
  <c r="Z388" i="2"/>
  <c r="Y566" i="2"/>
  <c r="Z566" i="2"/>
  <c r="Y513" i="2"/>
  <c r="Z513" i="2"/>
  <c r="Y546" i="2"/>
  <c r="Z546" i="2"/>
  <c r="Y532" i="2"/>
  <c r="Z532" i="2"/>
  <c r="Y561" i="2"/>
  <c r="Z561" i="2"/>
  <c r="Y606" i="2"/>
  <c r="Z606" i="2"/>
  <c r="Y562" i="2"/>
  <c r="Z562" i="2"/>
  <c r="Y611" i="2"/>
  <c r="Z611" i="2"/>
  <c r="Y584" i="2"/>
  <c r="Z584" i="2"/>
  <c r="Y558" i="2"/>
  <c r="Z558" i="2"/>
  <c r="Y587" i="2"/>
  <c r="Z587" i="2"/>
  <c r="Y597" i="2"/>
  <c r="Z597" i="2"/>
  <c r="Y601" i="2"/>
  <c r="Z601" i="2"/>
  <c r="Y577" i="2"/>
  <c r="Z577" i="2"/>
  <c r="Y595" i="2"/>
  <c r="Z595" i="2"/>
  <c r="Y541" i="2"/>
  <c r="Z541" i="2"/>
  <c r="Y591" i="2"/>
  <c r="Z591" i="2"/>
  <c r="Y593" i="2"/>
  <c r="Z593" i="2"/>
  <c r="Y564" i="2"/>
  <c r="Z564" i="2"/>
  <c r="Y646" i="2"/>
  <c r="Z646" i="2"/>
  <c r="Y614" i="2"/>
  <c r="Z614" i="2"/>
  <c r="Y632" i="2"/>
  <c r="Z632" i="2"/>
  <c r="Y608" i="2"/>
  <c r="Z608" i="2"/>
  <c r="Y26" i="2"/>
  <c r="Z26" i="2"/>
  <c r="Y251" i="2"/>
  <c r="Z251" i="2"/>
  <c r="Y325" i="2"/>
  <c r="Z325" i="2"/>
  <c r="Y586" i="2"/>
  <c r="Z586" i="2"/>
  <c r="Y581" i="2"/>
  <c r="Z581" i="2"/>
  <c r="Y567" i="2"/>
  <c r="Z567" i="2"/>
  <c r="Y615" i="2"/>
  <c r="Z615" i="2"/>
  <c r="Y624" i="2"/>
  <c r="Z624" i="2"/>
  <c r="Y633" i="2"/>
  <c r="Z633" i="2"/>
  <c r="Y629" i="2"/>
  <c r="Z629" i="2"/>
  <c r="Y357" i="2"/>
  <c r="Z357" i="2"/>
  <c r="Y650" i="2"/>
  <c r="Z650" i="2"/>
  <c r="Y651" i="2"/>
  <c r="Z651" i="2"/>
  <c r="Y3" i="2"/>
  <c r="Z3" i="2"/>
  <c r="Y2" i="2"/>
  <c r="Z2" i="2"/>
  <c r="Y6" i="2"/>
  <c r="Z6" i="2"/>
  <c r="Y5" i="2"/>
  <c r="Z5" i="2"/>
  <c r="Y12" i="2"/>
  <c r="Z12" i="2"/>
  <c r="Y14" i="2"/>
  <c r="Z14" i="2"/>
  <c r="Y17" i="2"/>
  <c r="Z17" i="2"/>
  <c r="Y20" i="2"/>
  <c r="Z20" i="2"/>
  <c r="Y33" i="2"/>
  <c r="Z33" i="2"/>
  <c r="Y24" i="2"/>
  <c r="Z24" i="2"/>
  <c r="Y44" i="2"/>
  <c r="Z44" i="2"/>
  <c r="Y31" i="2"/>
  <c r="Z31" i="2"/>
  <c r="Y63" i="2"/>
  <c r="Z63" i="2"/>
  <c r="Y50" i="2"/>
  <c r="Z50" i="2"/>
  <c r="Y45" i="2"/>
  <c r="Z45" i="2"/>
  <c r="Y38" i="2"/>
  <c r="Z38" i="2"/>
  <c r="Y58" i="2"/>
  <c r="Z58" i="2"/>
  <c r="Y54" i="2"/>
  <c r="Z54" i="2"/>
  <c r="Y79" i="2"/>
  <c r="Z79" i="2"/>
  <c r="Y70" i="2"/>
  <c r="Z70" i="2"/>
  <c r="Y82" i="2"/>
  <c r="Z82" i="2"/>
  <c r="Y92" i="2"/>
  <c r="Z92" i="2"/>
  <c r="Y109" i="2"/>
  <c r="Z109" i="2"/>
  <c r="Y86" i="2"/>
  <c r="Z86" i="2"/>
  <c r="Y125" i="2"/>
  <c r="Z125" i="2"/>
  <c r="Y100" i="2"/>
  <c r="Z100" i="2"/>
  <c r="Y130" i="2"/>
  <c r="Z130" i="2"/>
  <c r="Y110" i="2"/>
  <c r="Z110" i="2"/>
  <c r="Y118" i="2"/>
  <c r="Z118" i="2"/>
  <c r="Y97" i="2"/>
  <c r="Z97" i="2"/>
  <c r="Y137" i="2"/>
  <c r="Z137" i="2"/>
  <c r="Y149" i="2"/>
  <c r="Z149" i="2"/>
  <c r="Y105" i="2"/>
  <c r="Z105" i="2"/>
  <c r="Y179" i="2"/>
  <c r="Z179" i="2"/>
  <c r="Y133" i="2"/>
  <c r="Z133" i="2"/>
  <c r="Y187" i="2"/>
  <c r="Z187" i="2"/>
  <c r="Y198" i="2"/>
  <c r="Z198" i="2"/>
  <c r="Y136" i="2"/>
  <c r="Z136" i="2"/>
  <c r="Y220" i="2"/>
  <c r="Z220" i="2"/>
  <c r="Y120" i="2"/>
  <c r="Z120" i="2"/>
  <c r="Y210" i="2"/>
  <c r="Z210" i="2"/>
  <c r="Y255" i="2"/>
  <c r="Z255" i="2"/>
  <c r="Y157" i="2"/>
  <c r="Z157" i="2"/>
  <c r="Y261" i="2"/>
  <c r="Z261" i="2"/>
  <c r="Y214" i="2"/>
  <c r="Z214" i="2"/>
  <c r="Y248" i="2"/>
  <c r="Z248" i="2"/>
  <c r="Y202" i="2"/>
  <c r="Z202" i="2"/>
  <c r="Y197" i="2"/>
  <c r="Z197" i="2"/>
  <c r="Y226" i="2"/>
  <c r="Z226" i="2"/>
  <c r="Y263" i="2"/>
  <c r="Z263" i="2"/>
  <c r="Y219" i="2"/>
  <c r="Z219" i="2"/>
  <c r="Y208" i="2"/>
  <c r="Z208" i="2"/>
  <c r="Y186" i="2"/>
  <c r="Z186" i="2"/>
  <c r="Y238" i="2"/>
  <c r="Z238" i="2"/>
  <c r="Y272" i="2"/>
  <c r="Z272" i="2"/>
  <c r="Y236" i="2"/>
  <c r="Z236" i="2"/>
  <c r="Y408" i="2"/>
  <c r="Z408" i="2"/>
  <c r="Y270" i="2"/>
  <c r="Z270" i="2"/>
  <c r="Y192" i="2"/>
  <c r="Z192" i="2"/>
  <c r="Y234" i="2"/>
  <c r="Z234" i="2"/>
  <c r="Y227" i="2"/>
  <c r="Z227" i="2"/>
  <c r="Y222" i="2"/>
  <c r="Z222" i="2"/>
  <c r="Y289" i="2"/>
  <c r="Z289" i="2"/>
  <c r="Y287" i="2"/>
  <c r="Z287" i="2"/>
  <c r="Y277" i="2"/>
  <c r="Z277" i="2"/>
  <c r="Y265" i="2"/>
  <c r="Z265" i="2"/>
  <c r="Y304" i="2"/>
  <c r="Z304" i="2"/>
  <c r="Y316" i="2"/>
  <c r="Z316" i="2"/>
  <c r="Y333" i="2"/>
  <c r="Z333" i="2"/>
  <c r="Y262" i="2"/>
  <c r="Z262" i="2"/>
  <c r="Y379" i="2"/>
  <c r="Z379" i="2"/>
  <c r="Y273" i="2"/>
  <c r="Z273" i="2"/>
  <c r="Y288" i="2"/>
  <c r="Z288" i="2"/>
  <c r="Y341" i="2"/>
  <c r="Z341" i="2"/>
  <c r="Y314" i="2"/>
  <c r="Z314" i="2"/>
  <c r="Y359" i="2"/>
  <c r="Z359" i="2"/>
  <c r="Y322" i="2"/>
  <c r="Z322" i="2"/>
  <c r="Y394" i="2"/>
  <c r="Z394" i="2"/>
  <c r="Y403" i="2"/>
  <c r="Z403" i="2"/>
  <c r="Y334" i="2"/>
  <c r="Z334" i="2"/>
  <c r="Y445" i="2"/>
  <c r="Z445" i="2"/>
  <c r="Y389" i="2"/>
  <c r="Z389" i="2"/>
  <c r="Y387" i="2"/>
  <c r="Z387" i="2"/>
  <c r="Y279" i="2"/>
  <c r="Z279" i="2"/>
  <c r="Y366" i="2"/>
  <c r="Z366" i="2"/>
  <c r="Y474" i="2"/>
  <c r="Z474" i="2"/>
  <c r="Y315" i="2"/>
  <c r="Z315" i="2"/>
  <c r="Y385" i="2"/>
  <c r="Z385" i="2"/>
  <c r="Y370" i="2"/>
  <c r="Z370" i="2"/>
  <c r="Y423" i="2"/>
  <c r="Z423" i="2"/>
  <c r="Y392" i="2"/>
  <c r="Z392" i="2"/>
  <c r="Y450" i="2"/>
  <c r="Z450" i="2"/>
  <c r="Y464" i="2"/>
  <c r="Z464" i="2"/>
  <c r="Y347" i="2"/>
  <c r="Z347" i="2"/>
  <c r="Y410" i="2"/>
  <c r="Z410" i="2"/>
  <c r="Y391" i="2"/>
  <c r="Z391" i="2"/>
  <c r="Y336" i="2"/>
  <c r="Z336" i="2"/>
  <c r="Y471" i="2"/>
  <c r="Z471" i="2"/>
  <c r="Y478" i="2"/>
  <c r="Z478" i="2"/>
  <c r="Y505" i="2"/>
  <c r="Z505" i="2"/>
  <c r="Y527" i="2"/>
  <c r="Z527" i="2"/>
  <c r="Y493" i="2"/>
  <c r="Z493" i="2"/>
  <c r="Y550" i="2"/>
  <c r="Z550" i="2"/>
  <c r="Y457" i="2"/>
  <c r="Z457" i="2"/>
  <c r="Y378" i="2"/>
  <c r="Z378" i="2"/>
  <c r="Y449" i="2"/>
  <c r="Z449" i="2"/>
  <c r="Y494" i="2"/>
  <c r="Z494" i="2"/>
  <c r="Y535" i="2"/>
  <c r="Z535" i="2"/>
  <c r="Y435" i="2"/>
  <c r="Z435" i="2"/>
  <c r="Y568" i="2"/>
  <c r="Z568" i="2"/>
  <c r="Y547" i="2"/>
  <c r="Z547" i="2"/>
  <c r="Y485" i="2"/>
  <c r="Z485" i="2"/>
  <c r="Y545" i="2"/>
  <c r="Z545" i="2"/>
  <c r="Y555" i="2"/>
  <c r="Z555" i="2"/>
  <c r="Y605" i="2"/>
  <c r="Z605" i="2"/>
  <c r="Y536" i="2"/>
  <c r="Z536" i="2"/>
  <c r="Y590" i="2"/>
  <c r="Z590" i="2"/>
  <c r="Y458" i="2"/>
  <c r="Z458" i="2"/>
  <c r="Y576" i="2"/>
  <c r="Z576" i="2"/>
  <c r="Y539" i="2"/>
  <c r="Z539" i="2"/>
  <c r="Y396" i="2"/>
  <c r="Z396" i="2"/>
  <c r="Y573" i="2"/>
  <c r="Z573" i="2"/>
  <c r="Y579" i="2"/>
  <c r="Z579" i="2"/>
  <c r="Y600" i="2"/>
  <c r="Z600" i="2"/>
  <c r="Y612" i="2"/>
  <c r="Z612" i="2"/>
  <c r="Y574" i="2"/>
  <c r="Z574" i="2"/>
  <c r="Y540" i="2"/>
  <c r="Z540" i="2"/>
  <c r="Y610" i="2"/>
  <c r="Z610" i="2"/>
  <c r="Y607" i="2"/>
  <c r="Z607" i="2"/>
  <c r="Y636" i="2"/>
  <c r="Z636" i="2"/>
  <c r="Y626" i="2"/>
  <c r="Z626" i="2"/>
  <c r="Y599" i="2"/>
  <c r="Z599" i="2"/>
  <c r="Y603" i="2"/>
  <c r="Z603" i="2"/>
  <c r="Y604" i="2"/>
  <c r="Z604" i="2"/>
  <c r="Y613" i="2"/>
  <c r="Z613" i="2"/>
  <c r="Y622" i="2"/>
  <c r="Z622" i="2"/>
  <c r="Y298" i="2"/>
  <c r="Z298" i="2"/>
  <c r="Y642" i="2"/>
  <c r="Z642" i="2"/>
  <c r="Z9" i="2"/>
  <c r="Y9" i="2"/>
  <c r="R4" i="2"/>
  <c r="S4" i="2"/>
  <c r="T4" i="2"/>
  <c r="U4" i="2"/>
  <c r="V4" i="2"/>
  <c r="W4" i="2"/>
  <c r="X4" i="2"/>
  <c r="AA4" i="2"/>
  <c r="M18" i="2"/>
  <c r="N18" i="2"/>
  <c r="O18" i="2"/>
  <c r="P18" i="2"/>
  <c r="Q18" i="2"/>
  <c r="M16" i="2"/>
  <c r="N16" i="2"/>
  <c r="O16" i="2"/>
  <c r="P16" i="2"/>
  <c r="Q16" i="2"/>
  <c r="M10" i="2"/>
  <c r="N10" i="2"/>
  <c r="O10" i="2"/>
  <c r="P10" i="2"/>
  <c r="Q10" i="2"/>
  <c r="M49" i="2"/>
  <c r="N49" i="2"/>
  <c r="O49" i="2"/>
  <c r="P49" i="2"/>
  <c r="Q49" i="2"/>
  <c r="M71" i="2"/>
  <c r="N71" i="2"/>
  <c r="O71" i="2"/>
  <c r="P71" i="2"/>
  <c r="Q71" i="2"/>
  <c r="M80" i="2"/>
  <c r="N80" i="2"/>
  <c r="O80" i="2"/>
  <c r="P80" i="2"/>
  <c r="Q80" i="2"/>
  <c r="M84" i="2"/>
  <c r="N84" i="2"/>
  <c r="O84" i="2"/>
  <c r="P84" i="2"/>
  <c r="Q84" i="2"/>
  <c r="M56" i="2"/>
  <c r="N56" i="2"/>
  <c r="O56" i="2"/>
  <c r="P56" i="2"/>
  <c r="Q56" i="2"/>
  <c r="M47" i="2"/>
  <c r="N47" i="2"/>
  <c r="O47" i="2"/>
  <c r="P47" i="2"/>
  <c r="Q47" i="2"/>
  <c r="M83" i="2"/>
  <c r="N83" i="2"/>
  <c r="O83" i="2"/>
  <c r="P83" i="2"/>
  <c r="Q83" i="2"/>
  <c r="M89" i="2"/>
  <c r="N89" i="2"/>
  <c r="O89" i="2"/>
  <c r="P89" i="2"/>
  <c r="Q89" i="2"/>
  <c r="M116" i="2"/>
  <c r="N116" i="2"/>
  <c r="O116" i="2"/>
  <c r="P116" i="2"/>
  <c r="Q116" i="2"/>
  <c r="M113" i="2"/>
  <c r="N113" i="2"/>
  <c r="O113" i="2"/>
  <c r="P113" i="2"/>
  <c r="Q113" i="2"/>
  <c r="M81" i="2"/>
  <c r="N81" i="2"/>
  <c r="O81" i="2"/>
  <c r="P81" i="2"/>
  <c r="Q81" i="2"/>
  <c r="M103" i="2"/>
  <c r="N103" i="2"/>
  <c r="O103" i="2"/>
  <c r="P103" i="2"/>
  <c r="Q103" i="2"/>
  <c r="M101" i="2"/>
  <c r="N101" i="2"/>
  <c r="O101" i="2"/>
  <c r="P101" i="2"/>
  <c r="Q101" i="2"/>
  <c r="M232" i="2"/>
  <c r="N232" i="2"/>
  <c r="O232" i="2"/>
  <c r="P232" i="2"/>
  <c r="Q232" i="2"/>
  <c r="M212" i="2"/>
  <c r="N212" i="2"/>
  <c r="O212" i="2"/>
  <c r="P212" i="2"/>
  <c r="Q212" i="2"/>
  <c r="M145" i="2"/>
  <c r="N145" i="2"/>
  <c r="O145" i="2"/>
  <c r="P145" i="2"/>
  <c r="Q145" i="2"/>
  <c r="M269" i="2"/>
  <c r="N269" i="2"/>
  <c r="O269" i="2"/>
  <c r="P269" i="2"/>
  <c r="Q269" i="2"/>
  <c r="M308" i="2"/>
  <c r="N308" i="2"/>
  <c r="O308" i="2"/>
  <c r="P308" i="2"/>
  <c r="Q308" i="2"/>
  <c r="M343" i="2"/>
  <c r="N343" i="2"/>
  <c r="O343" i="2"/>
  <c r="P343" i="2"/>
  <c r="Q343" i="2"/>
  <c r="M323" i="2"/>
  <c r="N323" i="2"/>
  <c r="O323" i="2"/>
  <c r="P323" i="2"/>
  <c r="Q323" i="2"/>
  <c r="M360" i="2"/>
  <c r="N360" i="2"/>
  <c r="O360" i="2"/>
  <c r="P360" i="2"/>
  <c r="Q360" i="2"/>
  <c r="M409" i="2"/>
  <c r="N409" i="2"/>
  <c r="O409" i="2"/>
  <c r="P409" i="2"/>
  <c r="Q409" i="2"/>
  <c r="M484" i="2"/>
  <c r="N484" i="2"/>
  <c r="O484" i="2"/>
  <c r="P484" i="2"/>
  <c r="Q484" i="2"/>
  <c r="M538" i="2"/>
  <c r="N538" i="2"/>
  <c r="O538" i="2"/>
  <c r="P538" i="2"/>
  <c r="Q538" i="2"/>
  <c r="M266" i="2"/>
  <c r="N266" i="2"/>
  <c r="O266" i="2"/>
  <c r="P266" i="2"/>
  <c r="Q266" i="2"/>
  <c r="M553" i="2"/>
  <c r="N553" i="2"/>
  <c r="O553" i="2"/>
  <c r="P553" i="2"/>
  <c r="Q553" i="2"/>
  <c r="M342" i="2"/>
  <c r="N342" i="2"/>
  <c r="O342" i="2"/>
  <c r="P342" i="2"/>
  <c r="Q342" i="2"/>
  <c r="M498" i="2"/>
  <c r="N498" i="2"/>
  <c r="O498" i="2"/>
  <c r="P498" i="2"/>
  <c r="Q498" i="2"/>
  <c r="M497" i="2"/>
  <c r="N497" i="2"/>
  <c r="O497" i="2"/>
  <c r="P497" i="2"/>
  <c r="Q497" i="2"/>
  <c r="M425" i="2"/>
  <c r="N425" i="2"/>
  <c r="O425" i="2"/>
  <c r="P425" i="2"/>
  <c r="Q425" i="2"/>
  <c r="M361" i="2"/>
  <c r="N361" i="2"/>
  <c r="O361" i="2"/>
  <c r="P361" i="2"/>
  <c r="Q361" i="2"/>
  <c r="M507" i="2"/>
  <c r="N507" i="2"/>
  <c r="O507" i="2"/>
  <c r="P507" i="2"/>
  <c r="Q507" i="2"/>
  <c r="M525" i="2"/>
  <c r="N525" i="2"/>
  <c r="O525" i="2"/>
  <c r="P525" i="2"/>
  <c r="Q525" i="2"/>
  <c r="M559" i="2"/>
  <c r="N559" i="2"/>
  <c r="O559" i="2"/>
  <c r="P559" i="2"/>
  <c r="Q559" i="2"/>
  <c r="M627" i="2"/>
  <c r="N627" i="2"/>
  <c r="O627" i="2"/>
  <c r="P627" i="2"/>
  <c r="Q627" i="2"/>
  <c r="M640" i="2"/>
  <c r="N640" i="2"/>
  <c r="O640" i="2"/>
  <c r="P640" i="2"/>
  <c r="Q640" i="2"/>
  <c r="M631" i="2"/>
  <c r="N631" i="2"/>
  <c r="O631" i="2"/>
  <c r="P631" i="2"/>
  <c r="Q631" i="2"/>
  <c r="M644" i="2"/>
  <c r="N644" i="2"/>
  <c r="O644" i="2"/>
  <c r="P644" i="2"/>
  <c r="Q644" i="2"/>
  <c r="M647" i="2"/>
  <c r="N647" i="2"/>
  <c r="O647" i="2"/>
  <c r="P647" i="2"/>
  <c r="Q647" i="2"/>
  <c r="M575" i="2"/>
  <c r="N575" i="2"/>
  <c r="O575" i="2"/>
  <c r="P575" i="2"/>
  <c r="Q575" i="2"/>
  <c r="K9" i="1"/>
  <c r="K8" i="1"/>
  <c r="K5" i="1"/>
  <c r="K6" i="1"/>
  <c r="K7" i="1"/>
  <c r="K3" i="1"/>
  <c r="K4" i="1"/>
  <c r="K2" i="1"/>
  <c r="T27" i="2"/>
  <c r="U27" i="2"/>
  <c r="V27" i="2"/>
  <c r="W27" i="2"/>
  <c r="X27" i="2"/>
  <c r="T15" i="2"/>
  <c r="U15" i="2"/>
  <c r="V15" i="2"/>
  <c r="W15" i="2"/>
  <c r="X15" i="2"/>
  <c r="T30" i="2"/>
  <c r="U30" i="2"/>
  <c r="V30" i="2"/>
  <c r="W30" i="2"/>
  <c r="X30" i="2"/>
  <c r="T46" i="2"/>
  <c r="U46" i="2"/>
  <c r="V46" i="2"/>
  <c r="W46" i="2"/>
  <c r="X46" i="2"/>
  <c r="T511" i="2"/>
  <c r="U511" i="2"/>
  <c r="V511" i="2"/>
  <c r="W511" i="2"/>
  <c r="X511" i="2"/>
  <c r="T121" i="2"/>
  <c r="U121" i="2"/>
  <c r="V121" i="2"/>
  <c r="W121" i="2"/>
  <c r="X121" i="2"/>
  <c r="T124" i="2"/>
  <c r="U124" i="2"/>
  <c r="V124" i="2"/>
  <c r="W124" i="2"/>
  <c r="X124" i="2"/>
  <c r="T98" i="2"/>
  <c r="U98" i="2"/>
  <c r="V98" i="2"/>
  <c r="W98" i="2"/>
  <c r="X98" i="2"/>
  <c r="T115" i="2"/>
  <c r="U115" i="2"/>
  <c r="V115" i="2"/>
  <c r="W115" i="2"/>
  <c r="X115" i="2"/>
  <c r="T139" i="2"/>
  <c r="U139" i="2"/>
  <c r="V139" i="2"/>
  <c r="W139" i="2"/>
  <c r="X139" i="2"/>
  <c r="T123" i="2"/>
  <c r="U123" i="2"/>
  <c r="V123" i="2"/>
  <c r="W123" i="2"/>
  <c r="X123" i="2"/>
  <c r="T143" i="2"/>
  <c r="U143" i="2"/>
  <c r="V143" i="2"/>
  <c r="W143" i="2"/>
  <c r="X143" i="2"/>
  <c r="T189" i="2"/>
  <c r="U189" i="2"/>
  <c r="V189" i="2"/>
  <c r="W189" i="2"/>
  <c r="X189" i="2"/>
  <c r="T135" i="2"/>
  <c r="U135" i="2"/>
  <c r="V135" i="2"/>
  <c r="W135" i="2"/>
  <c r="X135" i="2"/>
  <c r="T176" i="2"/>
  <c r="U176" i="2"/>
  <c r="V176" i="2"/>
  <c r="W176" i="2"/>
  <c r="X176" i="2"/>
  <c r="T160" i="2"/>
  <c r="U160" i="2"/>
  <c r="V160" i="2"/>
  <c r="W160" i="2"/>
  <c r="X160" i="2"/>
  <c r="T163" i="2"/>
  <c r="U163" i="2"/>
  <c r="V163" i="2"/>
  <c r="W163" i="2"/>
  <c r="X163" i="2"/>
  <c r="T168" i="2"/>
  <c r="U168" i="2"/>
  <c r="V168" i="2"/>
  <c r="W168" i="2"/>
  <c r="X168" i="2"/>
  <c r="T205" i="2"/>
  <c r="U205" i="2"/>
  <c r="V205" i="2"/>
  <c r="W205" i="2"/>
  <c r="X205" i="2"/>
  <c r="T245" i="2"/>
  <c r="U245" i="2"/>
  <c r="V245" i="2"/>
  <c r="W245" i="2"/>
  <c r="X245" i="2"/>
  <c r="T211" i="2"/>
  <c r="U211" i="2"/>
  <c r="V211" i="2"/>
  <c r="W211" i="2"/>
  <c r="X211" i="2"/>
  <c r="T229" i="2"/>
  <c r="U229" i="2"/>
  <c r="V229" i="2"/>
  <c r="W229" i="2"/>
  <c r="X229" i="2"/>
  <c r="T201" i="2"/>
  <c r="U201" i="2"/>
  <c r="V201" i="2"/>
  <c r="W201" i="2"/>
  <c r="X201" i="2"/>
  <c r="T235" i="2"/>
  <c r="U235" i="2"/>
  <c r="V235" i="2"/>
  <c r="W235" i="2"/>
  <c r="X235" i="2"/>
  <c r="T337" i="2"/>
  <c r="U337" i="2"/>
  <c r="V337" i="2"/>
  <c r="W337" i="2"/>
  <c r="X337" i="2"/>
  <c r="T363" i="2"/>
  <c r="U363" i="2"/>
  <c r="V363" i="2"/>
  <c r="W363" i="2"/>
  <c r="X363" i="2"/>
  <c r="T424" i="2"/>
  <c r="U424" i="2"/>
  <c r="V424" i="2"/>
  <c r="W424" i="2"/>
  <c r="X424" i="2"/>
  <c r="T373" i="2"/>
  <c r="U373" i="2"/>
  <c r="V373" i="2"/>
  <c r="W373" i="2"/>
  <c r="X373" i="2"/>
  <c r="T332" i="2"/>
  <c r="U332" i="2"/>
  <c r="V332" i="2"/>
  <c r="W332" i="2"/>
  <c r="X332" i="2"/>
  <c r="T350" i="2"/>
  <c r="U350" i="2"/>
  <c r="V350" i="2"/>
  <c r="W350" i="2"/>
  <c r="X350" i="2"/>
  <c r="T393" i="2"/>
  <c r="U393" i="2"/>
  <c r="V393" i="2"/>
  <c r="W393" i="2"/>
  <c r="X393" i="2"/>
  <c r="T376" i="2"/>
  <c r="U376" i="2"/>
  <c r="V376" i="2"/>
  <c r="W376" i="2"/>
  <c r="X376" i="2"/>
  <c r="T453" i="2"/>
  <c r="U453" i="2"/>
  <c r="V453" i="2"/>
  <c r="W453" i="2"/>
  <c r="X453" i="2"/>
  <c r="T472" i="2"/>
  <c r="U472" i="2"/>
  <c r="V472" i="2"/>
  <c r="W472" i="2"/>
  <c r="X472" i="2"/>
  <c r="T356" i="2"/>
  <c r="U356" i="2"/>
  <c r="V356" i="2"/>
  <c r="W356" i="2"/>
  <c r="X356" i="2"/>
  <c r="T420" i="2"/>
  <c r="U420" i="2"/>
  <c r="V420" i="2"/>
  <c r="W420" i="2"/>
  <c r="X420" i="2"/>
  <c r="T470" i="2"/>
  <c r="U470" i="2"/>
  <c r="V470" i="2"/>
  <c r="W470" i="2"/>
  <c r="X470" i="2"/>
  <c r="T473" i="2"/>
  <c r="U473" i="2"/>
  <c r="V473" i="2"/>
  <c r="W473" i="2"/>
  <c r="X473" i="2"/>
  <c r="T585" i="2"/>
  <c r="U585" i="2"/>
  <c r="V585" i="2"/>
  <c r="W585" i="2"/>
  <c r="X585" i="2"/>
  <c r="T630" i="2"/>
  <c r="U630" i="2"/>
  <c r="V630" i="2"/>
  <c r="W630" i="2"/>
  <c r="X630" i="2"/>
  <c r="T557" i="2"/>
  <c r="U557" i="2"/>
  <c r="V557" i="2"/>
  <c r="W557" i="2"/>
  <c r="X557" i="2"/>
  <c r="T594" i="2"/>
  <c r="U594" i="2"/>
  <c r="V594" i="2"/>
  <c r="W594" i="2"/>
  <c r="X594" i="2"/>
  <c r="T617" i="2"/>
  <c r="U617" i="2"/>
  <c r="V617" i="2"/>
  <c r="W617" i="2"/>
  <c r="X617" i="2"/>
  <c r="T623" i="2"/>
  <c r="U623" i="2"/>
  <c r="V623" i="2"/>
  <c r="W623" i="2"/>
  <c r="X623" i="2"/>
  <c r="T621" i="2"/>
  <c r="U621" i="2"/>
  <c r="V621" i="2"/>
  <c r="W621" i="2"/>
  <c r="X621" i="2"/>
  <c r="T563" i="2"/>
  <c r="U563" i="2"/>
  <c r="V563" i="2"/>
  <c r="W563" i="2"/>
  <c r="X563" i="2"/>
  <c r="T645" i="2"/>
  <c r="U645" i="2"/>
  <c r="V645" i="2"/>
  <c r="W645" i="2"/>
  <c r="X645" i="2"/>
  <c r="T569" i="2"/>
  <c r="U569" i="2"/>
  <c r="V569" i="2"/>
  <c r="W569" i="2"/>
  <c r="X569" i="2"/>
  <c r="T41" i="2"/>
  <c r="U41" i="2"/>
  <c r="V41" i="2"/>
  <c r="W41" i="2"/>
  <c r="X41" i="2"/>
  <c r="T40" i="2"/>
  <c r="U40" i="2"/>
  <c r="V40" i="2"/>
  <c r="W40" i="2"/>
  <c r="X40" i="2"/>
  <c r="T156" i="2"/>
  <c r="U156" i="2"/>
  <c r="V156" i="2"/>
  <c r="W156" i="2"/>
  <c r="X156" i="2"/>
  <c r="T55" i="2"/>
  <c r="U55" i="2"/>
  <c r="V55" i="2"/>
  <c r="W55" i="2"/>
  <c r="X55" i="2"/>
  <c r="T64" i="2"/>
  <c r="U64" i="2"/>
  <c r="V64" i="2"/>
  <c r="W64" i="2"/>
  <c r="X64" i="2"/>
  <c r="T59" i="2"/>
  <c r="U59" i="2"/>
  <c r="V59" i="2"/>
  <c r="W59" i="2"/>
  <c r="X59" i="2"/>
  <c r="T95" i="2"/>
  <c r="U95" i="2"/>
  <c r="V95" i="2"/>
  <c r="W95" i="2"/>
  <c r="X95" i="2"/>
  <c r="T131" i="2"/>
  <c r="U131" i="2"/>
  <c r="V131" i="2"/>
  <c r="W131" i="2"/>
  <c r="X131" i="2"/>
  <c r="T119" i="2"/>
  <c r="U119" i="2"/>
  <c r="V119" i="2"/>
  <c r="W119" i="2"/>
  <c r="X119" i="2"/>
  <c r="T170" i="2"/>
  <c r="U170" i="2"/>
  <c r="V170" i="2"/>
  <c r="W170" i="2"/>
  <c r="X170" i="2"/>
  <c r="T152" i="2"/>
  <c r="U152" i="2"/>
  <c r="V152" i="2"/>
  <c r="W152" i="2"/>
  <c r="X152" i="2"/>
  <c r="T178" i="2"/>
  <c r="U178" i="2"/>
  <c r="V178" i="2"/>
  <c r="W178" i="2"/>
  <c r="X178" i="2"/>
  <c r="T144" i="2"/>
  <c r="U144" i="2"/>
  <c r="V144" i="2"/>
  <c r="W144" i="2"/>
  <c r="X144" i="2"/>
  <c r="T175" i="2"/>
  <c r="U175" i="2"/>
  <c r="V175" i="2"/>
  <c r="W175" i="2"/>
  <c r="X175" i="2"/>
  <c r="T184" i="2"/>
  <c r="U184" i="2"/>
  <c r="V184" i="2"/>
  <c r="W184" i="2"/>
  <c r="X184" i="2"/>
  <c r="T228" i="2"/>
  <c r="U228" i="2"/>
  <c r="V228" i="2"/>
  <c r="W228" i="2"/>
  <c r="X228" i="2"/>
  <c r="T460" i="2"/>
  <c r="U460" i="2"/>
  <c r="V460" i="2"/>
  <c r="W460" i="2"/>
  <c r="X460" i="2"/>
  <c r="T174" i="2"/>
  <c r="U174" i="2"/>
  <c r="V174" i="2"/>
  <c r="W174" i="2"/>
  <c r="X174" i="2"/>
  <c r="T204" i="2"/>
  <c r="U204" i="2"/>
  <c r="V204" i="2"/>
  <c r="W204" i="2"/>
  <c r="X204" i="2"/>
  <c r="T150" i="2"/>
  <c r="U150" i="2"/>
  <c r="V150" i="2"/>
  <c r="W150" i="2"/>
  <c r="X150" i="2"/>
  <c r="T213" i="2"/>
  <c r="U213" i="2"/>
  <c r="V213" i="2"/>
  <c r="W213" i="2"/>
  <c r="X213" i="2"/>
  <c r="T215" i="2"/>
  <c r="U215" i="2"/>
  <c r="V215" i="2"/>
  <c r="W215" i="2"/>
  <c r="X215" i="2"/>
  <c r="T276" i="2"/>
  <c r="U276" i="2"/>
  <c r="V276" i="2"/>
  <c r="W276" i="2"/>
  <c r="X276" i="2"/>
  <c r="T349" i="2"/>
  <c r="U349" i="2"/>
  <c r="V349" i="2"/>
  <c r="W349" i="2"/>
  <c r="X349" i="2"/>
  <c r="T329" i="2"/>
  <c r="U329" i="2"/>
  <c r="V329" i="2"/>
  <c r="W329" i="2"/>
  <c r="X329" i="2"/>
  <c r="T648" i="2"/>
  <c r="U648" i="2"/>
  <c r="V648" i="2"/>
  <c r="W648" i="2"/>
  <c r="X648" i="2"/>
  <c r="T256" i="2"/>
  <c r="U256" i="2"/>
  <c r="V256" i="2"/>
  <c r="W256" i="2"/>
  <c r="X256" i="2"/>
  <c r="T358" i="2"/>
  <c r="U358" i="2"/>
  <c r="V358" i="2"/>
  <c r="W358" i="2"/>
  <c r="X358" i="2"/>
  <c r="T249" i="2"/>
  <c r="U249" i="2"/>
  <c r="V249" i="2"/>
  <c r="W249" i="2"/>
  <c r="X249" i="2"/>
  <c r="T365" i="2"/>
  <c r="U365" i="2"/>
  <c r="V365" i="2"/>
  <c r="W365" i="2"/>
  <c r="X365" i="2"/>
  <c r="T437" i="2"/>
  <c r="U437" i="2"/>
  <c r="V437" i="2"/>
  <c r="W437" i="2"/>
  <c r="X437" i="2"/>
  <c r="T418" i="2"/>
  <c r="U418" i="2"/>
  <c r="V418" i="2"/>
  <c r="W418" i="2"/>
  <c r="X418" i="2"/>
  <c r="T364" i="2"/>
  <c r="U364" i="2"/>
  <c r="V364" i="2"/>
  <c r="W364" i="2"/>
  <c r="X364" i="2"/>
  <c r="T351" i="2"/>
  <c r="U351" i="2"/>
  <c r="V351" i="2"/>
  <c r="W351" i="2"/>
  <c r="X351" i="2"/>
  <c r="T530" i="2"/>
  <c r="U530" i="2"/>
  <c r="V530" i="2"/>
  <c r="W530" i="2"/>
  <c r="X530" i="2"/>
  <c r="T481" i="2"/>
  <c r="U481" i="2"/>
  <c r="V481" i="2"/>
  <c r="W481" i="2"/>
  <c r="X481" i="2"/>
  <c r="T462" i="2"/>
  <c r="U462" i="2"/>
  <c r="V462" i="2"/>
  <c r="W462" i="2"/>
  <c r="X462" i="2"/>
  <c r="T499" i="2"/>
  <c r="U499" i="2"/>
  <c r="V499" i="2"/>
  <c r="W499" i="2"/>
  <c r="X499" i="2"/>
  <c r="T444" i="2"/>
  <c r="U444" i="2"/>
  <c r="V444" i="2"/>
  <c r="W444" i="2"/>
  <c r="X444" i="2"/>
  <c r="T549" i="2"/>
  <c r="U549" i="2"/>
  <c r="V549" i="2"/>
  <c r="W549" i="2"/>
  <c r="X549" i="2"/>
  <c r="T543" i="2"/>
  <c r="U543" i="2"/>
  <c r="V543" i="2"/>
  <c r="W543" i="2"/>
  <c r="X543" i="2"/>
  <c r="T496" i="2"/>
  <c r="U496" i="2"/>
  <c r="V496" i="2"/>
  <c r="W496" i="2"/>
  <c r="X496" i="2"/>
  <c r="T637" i="2"/>
  <c r="U637" i="2"/>
  <c r="V637" i="2"/>
  <c r="W637" i="2"/>
  <c r="X637" i="2"/>
  <c r="T609" i="2"/>
  <c r="U609" i="2"/>
  <c r="V609" i="2"/>
  <c r="W609" i="2"/>
  <c r="X609" i="2"/>
  <c r="T596" i="2"/>
  <c r="U596" i="2"/>
  <c r="V596" i="2"/>
  <c r="W596" i="2"/>
  <c r="X596" i="2"/>
  <c r="T618" i="2"/>
  <c r="U618" i="2"/>
  <c r="V618" i="2"/>
  <c r="W618" i="2"/>
  <c r="X618" i="2"/>
  <c r="T634" i="2"/>
  <c r="U634" i="2"/>
  <c r="V634" i="2"/>
  <c r="W634" i="2"/>
  <c r="X634" i="2"/>
  <c r="T638" i="2"/>
  <c r="U638" i="2"/>
  <c r="V638" i="2"/>
  <c r="W638" i="2"/>
  <c r="X638" i="2"/>
  <c r="T635" i="2"/>
  <c r="U635" i="2"/>
  <c r="V635" i="2"/>
  <c r="W635" i="2"/>
  <c r="X635" i="2"/>
  <c r="T7" i="2"/>
  <c r="U7" i="2"/>
  <c r="V7" i="2"/>
  <c r="W7" i="2"/>
  <c r="X7" i="2"/>
  <c r="T23" i="2"/>
  <c r="U23" i="2"/>
  <c r="V23" i="2"/>
  <c r="W23" i="2"/>
  <c r="X23" i="2"/>
  <c r="T25" i="2"/>
  <c r="U25" i="2"/>
  <c r="V25" i="2"/>
  <c r="W25" i="2"/>
  <c r="X25" i="2"/>
  <c r="T35" i="2"/>
  <c r="U35" i="2"/>
  <c r="V35" i="2"/>
  <c r="W35" i="2"/>
  <c r="X35" i="2"/>
  <c r="T57" i="2"/>
  <c r="U57" i="2"/>
  <c r="V57" i="2"/>
  <c r="W57" i="2"/>
  <c r="X57" i="2"/>
  <c r="T99" i="2"/>
  <c r="U99" i="2"/>
  <c r="V99" i="2"/>
  <c r="W99" i="2"/>
  <c r="X99" i="2"/>
  <c r="T171" i="2"/>
  <c r="U171" i="2"/>
  <c r="V171" i="2"/>
  <c r="W171" i="2"/>
  <c r="X171" i="2"/>
  <c r="T153" i="2"/>
  <c r="U153" i="2"/>
  <c r="V153" i="2"/>
  <c r="W153" i="2"/>
  <c r="X153" i="2"/>
  <c r="T167" i="2"/>
  <c r="U167" i="2"/>
  <c r="V167" i="2"/>
  <c r="W167" i="2"/>
  <c r="X167" i="2"/>
  <c r="T242" i="2"/>
  <c r="U242" i="2"/>
  <c r="V242" i="2"/>
  <c r="W242" i="2"/>
  <c r="X242" i="2"/>
  <c r="T165" i="2"/>
  <c r="U165" i="2"/>
  <c r="V165" i="2"/>
  <c r="W165" i="2"/>
  <c r="X165" i="2"/>
  <c r="T141" i="2"/>
  <c r="U141" i="2"/>
  <c r="V141" i="2"/>
  <c r="W141" i="2"/>
  <c r="X141" i="2"/>
  <c r="T252" i="2"/>
  <c r="U252" i="2"/>
  <c r="V252" i="2"/>
  <c r="W252" i="2"/>
  <c r="X252" i="2"/>
  <c r="T182" i="2"/>
  <c r="U182" i="2"/>
  <c r="V182" i="2"/>
  <c r="W182" i="2"/>
  <c r="X182" i="2"/>
  <c r="T281" i="2"/>
  <c r="U281" i="2"/>
  <c r="V281" i="2"/>
  <c r="W281" i="2"/>
  <c r="X281" i="2"/>
  <c r="T217" i="2"/>
  <c r="U217" i="2"/>
  <c r="V217" i="2"/>
  <c r="W217" i="2"/>
  <c r="X217" i="2"/>
  <c r="T231" i="2"/>
  <c r="U231" i="2"/>
  <c r="V231" i="2"/>
  <c r="W231" i="2"/>
  <c r="X231" i="2"/>
  <c r="T278" i="2"/>
  <c r="U278" i="2"/>
  <c r="V278" i="2"/>
  <c r="W278" i="2"/>
  <c r="X278" i="2"/>
  <c r="T290" i="2"/>
  <c r="U290" i="2"/>
  <c r="V290" i="2"/>
  <c r="W290" i="2"/>
  <c r="X290" i="2"/>
  <c r="T260" i="2"/>
  <c r="U260" i="2"/>
  <c r="V260" i="2"/>
  <c r="W260" i="2"/>
  <c r="X260" i="2"/>
  <c r="T340" i="2"/>
  <c r="U340" i="2"/>
  <c r="V340" i="2"/>
  <c r="W340" i="2"/>
  <c r="X340" i="2"/>
  <c r="T414" i="2"/>
  <c r="U414" i="2"/>
  <c r="V414" i="2"/>
  <c r="W414" i="2"/>
  <c r="X414" i="2"/>
  <c r="T324" i="2"/>
  <c r="U324" i="2"/>
  <c r="V324" i="2"/>
  <c r="W324" i="2"/>
  <c r="X324" i="2"/>
  <c r="T310" i="2"/>
  <c r="U310" i="2"/>
  <c r="V310" i="2"/>
  <c r="W310" i="2"/>
  <c r="X310" i="2"/>
  <c r="T421" i="2"/>
  <c r="U421" i="2"/>
  <c r="V421" i="2"/>
  <c r="W421" i="2"/>
  <c r="X421" i="2"/>
  <c r="T443" i="2"/>
  <c r="U443" i="2"/>
  <c r="V443" i="2"/>
  <c r="W443" i="2"/>
  <c r="X443" i="2"/>
  <c r="T241" i="2"/>
  <c r="U241" i="2"/>
  <c r="V241" i="2"/>
  <c r="W241" i="2"/>
  <c r="X241" i="2"/>
  <c r="T488" i="2"/>
  <c r="U488" i="2"/>
  <c r="V488" i="2"/>
  <c r="W488" i="2"/>
  <c r="X488" i="2"/>
  <c r="T483" i="2"/>
  <c r="U483" i="2"/>
  <c r="V483" i="2"/>
  <c r="W483" i="2"/>
  <c r="X483" i="2"/>
  <c r="T375" i="2"/>
  <c r="U375" i="2"/>
  <c r="V375" i="2"/>
  <c r="W375" i="2"/>
  <c r="X375" i="2"/>
  <c r="T486" i="2"/>
  <c r="U486" i="2"/>
  <c r="V486" i="2"/>
  <c r="W486" i="2"/>
  <c r="X486" i="2"/>
  <c r="T504" i="2"/>
  <c r="U504" i="2"/>
  <c r="V504" i="2"/>
  <c r="W504" i="2"/>
  <c r="X504" i="2"/>
  <c r="T442" i="2"/>
  <c r="U442" i="2"/>
  <c r="V442" i="2"/>
  <c r="W442" i="2"/>
  <c r="X442" i="2"/>
  <c r="T487" i="2"/>
  <c r="U487" i="2"/>
  <c r="V487" i="2"/>
  <c r="W487" i="2"/>
  <c r="X487" i="2"/>
  <c r="T502" i="2"/>
  <c r="U502" i="2"/>
  <c r="V502" i="2"/>
  <c r="W502" i="2"/>
  <c r="X502" i="2"/>
  <c r="T544" i="2"/>
  <c r="U544" i="2"/>
  <c r="V544" i="2"/>
  <c r="W544" i="2"/>
  <c r="X544" i="2"/>
  <c r="T491" i="2"/>
  <c r="U491" i="2"/>
  <c r="V491" i="2"/>
  <c r="W491" i="2"/>
  <c r="X491" i="2"/>
  <c r="T489" i="2"/>
  <c r="U489" i="2"/>
  <c r="V489" i="2"/>
  <c r="W489" i="2"/>
  <c r="X489" i="2"/>
  <c r="T571" i="2"/>
  <c r="U571" i="2"/>
  <c r="V571" i="2"/>
  <c r="W571" i="2"/>
  <c r="X571" i="2"/>
  <c r="T578" i="2"/>
  <c r="U578" i="2"/>
  <c r="V578" i="2"/>
  <c r="W578" i="2"/>
  <c r="X578" i="2"/>
  <c r="T580" i="2"/>
  <c r="U580" i="2"/>
  <c r="V580" i="2"/>
  <c r="W580" i="2"/>
  <c r="X580" i="2"/>
  <c r="T531" i="2"/>
  <c r="U531" i="2"/>
  <c r="V531" i="2"/>
  <c r="W531" i="2"/>
  <c r="X531" i="2"/>
  <c r="T271" i="2"/>
  <c r="U271" i="2"/>
  <c r="V271" i="2"/>
  <c r="W271" i="2"/>
  <c r="X271" i="2"/>
  <c r="T620" i="2"/>
  <c r="U620" i="2"/>
  <c r="V620" i="2"/>
  <c r="W620" i="2"/>
  <c r="X620" i="2"/>
  <c r="T589" i="2"/>
  <c r="U589" i="2"/>
  <c r="V589" i="2"/>
  <c r="W589" i="2"/>
  <c r="X589" i="2"/>
  <c r="T616" i="2"/>
  <c r="U616" i="2"/>
  <c r="V616" i="2"/>
  <c r="W616" i="2"/>
  <c r="X616" i="2"/>
  <c r="T625" i="2"/>
  <c r="U625" i="2"/>
  <c r="V625" i="2"/>
  <c r="W625" i="2"/>
  <c r="X625" i="2"/>
  <c r="T641" i="2"/>
  <c r="U641" i="2"/>
  <c r="V641" i="2"/>
  <c r="W641" i="2"/>
  <c r="X641" i="2"/>
  <c r="T602" i="2"/>
  <c r="U602" i="2"/>
  <c r="V602" i="2"/>
  <c r="W602" i="2"/>
  <c r="X602" i="2"/>
  <c r="T639" i="2"/>
  <c r="U639" i="2"/>
  <c r="V639" i="2"/>
  <c r="W639" i="2"/>
  <c r="X639" i="2"/>
  <c r="T643" i="2"/>
  <c r="U643" i="2"/>
  <c r="V643" i="2"/>
  <c r="W643" i="2"/>
  <c r="X643" i="2"/>
  <c r="T628" i="2"/>
  <c r="U628" i="2"/>
  <c r="V628" i="2"/>
  <c r="W628" i="2"/>
  <c r="X628" i="2"/>
  <c r="T649" i="2"/>
  <c r="U649" i="2"/>
  <c r="V649" i="2"/>
  <c r="W649" i="2"/>
  <c r="X649" i="2"/>
  <c r="T619" i="2"/>
  <c r="U619" i="2"/>
  <c r="V619" i="2"/>
  <c r="W619" i="2"/>
  <c r="X619" i="2"/>
  <c r="T76" i="2"/>
  <c r="U76" i="2"/>
  <c r="V76" i="2"/>
  <c r="W76" i="2"/>
  <c r="X76" i="2"/>
  <c r="T65" i="2"/>
  <c r="U65" i="2"/>
  <c r="V65" i="2"/>
  <c r="W65" i="2"/>
  <c r="X65" i="2"/>
  <c r="T102" i="2"/>
  <c r="U102" i="2"/>
  <c r="V102" i="2"/>
  <c r="W102" i="2"/>
  <c r="X102" i="2"/>
  <c r="T104" i="2"/>
  <c r="U104" i="2"/>
  <c r="V104" i="2"/>
  <c r="W104" i="2"/>
  <c r="X104" i="2"/>
  <c r="T196" i="2"/>
  <c r="U196" i="2"/>
  <c r="V196" i="2"/>
  <c r="W196" i="2"/>
  <c r="X196" i="2"/>
  <c r="T151" i="2"/>
  <c r="U151" i="2"/>
  <c r="V151" i="2"/>
  <c r="W151" i="2"/>
  <c r="X151" i="2"/>
  <c r="T154" i="2"/>
  <c r="U154" i="2"/>
  <c r="V154" i="2"/>
  <c r="W154" i="2"/>
  <c r="X154" i="2"/>
  <c r="T185" i="2"/>
  <c r="U185" i="2"/>
  <c r="V185" i="2"/>
  <c r="W185" i="2"/>
  <c r="X185" i="2"/>
  <c r="T162" i="2"/>
  <c r="U162" i="2"/>
  <c r="V162" i="2"/>
  <c r="W162" i="2"/>
  <c r="X162" i="2"/>
  <c r="T203" i="2"/>
  <c r="U203" i="2"/>
  <c r="V203" i="2"/>
  <c r="W203" i="2"/>
  <c r="X203" i="2"/>
  <c r="T224" i="2"/>
  <c r="U224" i="2"/>
  <c r="V224" i="2"/>
  <c r="W224" i="2"/>
  <c r="X224" i="2"/>
  <c r="T321" i="2"/>
  <c r="U321" i="2"/>
  <c r="V321" i="2"/>
  <c r="W321" i="2"/>
  <c r="X321" i="2"/>
  <c r="T284" i="2"/>
  <c r="U284" i="2"/>
  <c r="V284" i="2"/>
  <c r="W284" i="2"/>
  <c r="X284" i="2"/>
  <c r="T253" i="2"/>
  <c r="U253" i="2"/>
  <c r="V253" i="2"/>
  <c r="W253" i="2"/>
  <c r="X253" i="2"/>
  <c r="T416" i="2"/>
  <c r="U416" i="2"/>
  <c r="V416" i="2"/>
  <c r="W416" i="2"/>
  <c r="X416" i="2"/>
  <c r="T404" i="2"/>
  <c r="U404" i="2"/>
  <c r="V404" i="2"/>
  <c r="W404" i="2"/>
  <c r="X404" i="2"/>
  <c r="T319" i="2"/>
  <c r="U319" i="2"/>
  <c r="V319" i="2"/>
  <c r="W319" i="2"/>
  <c r="X319" i="2"/>
  <c r="T554" i="2"/>
  <c r="U554" i="2"/>
  <c r="V554" i="2"/>
  <c r="W554" i="2"/>
  <c r="X554" i="2"/>
  <c r="T419" i="2"/>
  <c r="U419" i="2"/>
  <c r="V419" i="2"/>
  <c r="W419" i="2"/>
  <c r="X419" i="2"/>
  <c r="T412" i="2"/>
  <c r="U412" i="2"/>
  <c r="V412" i="2"/>
  <c r="W412" i="2"/>
  <c r="X412" i="2"/>
  <c r="T533" i="2"/>
  <c r="U533" i="2"/>
  <c r="V533" i="2"/>
  <c r="W533" i="2"/>
  <c r="X533" i="2"/>
  <c r="T515" i="2"/>
  <c r="U515" i="2"/>
  <c r="V515" i="2"/>
  <c r="W515" i="2"/>
  <c r="X515" i="2"/>
  <c r="T592" i="2"/>
  <c r="U592" i="2"/>
  <c r="V592" i="2"/>
  <c r="W592" i="2"/>
  <c r="X592" i="2"/>
  <c r="T512" i="2"/>
  <c r="U512" i="2"/>
  <c r="V512" i="2"/>
  <c r="W512" i="2"/>
  <c r="X512" i="2"/>
  <c r="T516" i="2"/>
  <c r="U516" i="2"/>
  <c r="V516" i="2"/>
  <c r="W516" i="2"/>
  <c r="X516" i="2"/>
  <c r="T517" i="2"/>
  <c r="U517" i="2"/>
  <c r="V517" i="2"/>
  <c r="W517" i="2"/>
  <c r="X517" i="2"/>
  <c r="T534" i="2"/>
  <c r="U534" i="2"/>
  <c r="V534" i="2"/>
  <c r="W534" i="2"/>
  <c r="X534" i="2"/>
  <c r="T514" i="2"/>
  <c r="U514" i="2"/>
  <c r="V514" i="2"/>
  <c r="W514" i="2"/>
  <c r="X514" i="2"/>
  <c r="T503" i="2"/>
  <c r="U503" i="2"/>
  <c r="V503" i="2"/>
  <c r="W503" i="2"/>
  <c r="X503" i="2"/>
  <c r="T388" i="2"/>
  <c r="U388" i="2"/>
  <c r="V388" i="2"/>
  <c r="W388" i="2"/>
  <c r="X388" i="2"/>
  <c r="T566" i="2"/>
  <c r="U566" i="2"/>
  <c r="V566" i="2"/>
  <c r="W566" i="2"/>
  <c r="X566" i="2"/>
  <c r="T513" i="2"/>
  <c r="U513" i="2"/>
  <c r="V513" i="2"/>
  <c r="W513" i="2"/>
  <c r="X513" i="2"/>
  <c r="T546" i="2"/>
  <c r="U546" i="2"/>
  <c r="V546" i="2"/>
  <c r="W546" i="2"/>
  <c r="X546" i="2"/>
  <c r="T532" i="2"/>
  <c r="U532" i="2"/>
  <c r="V532" i="2"/>
  <c r="W532" i="2"/>
  <c r="X532" i="2"/>
  <c r="T561" i="2"/>
  <c r="U561" i="2"/>
  <c r="V561" i="2"/>
  <c r="W561" i="2"/>
  <c r="X561" i="2"/>
  <c r="T606" i="2"/>
  <c r="U606" i="2"/>
  <c r="V606" i="2"/>
  <c r="W606" i="2"/>
  <c r="X606" i="2"/>
  <c r="T562" i="2"/>
  <c r="U562" i="2"/>
  <c r="V562" i="2"/>
  <c r="W562" i="2"/>
  <c r="X562" i="2"/>
  <c r="T611" i="2"/>
  <c r="U611" i="2"/>
  <c r="V611" i="2"/>
  <c r="W611" i="2"/>
  <c r="X611" i="2"/>
  <c r="T584" i="2"/>
  <c r="U584" i="2"/>
  <c r="V584" i="2"/>
  <c r="W584" i="2"/>
  <c r="X584" i="2"/>
  <c r="T558" i="2"/>
  <c r="U558" i="2"/>
  <c r="V558" i="2"/>
  <c r="W558" i="2"/>
  <c r="X558" i="2"/>
  <c r="T587" i="2"/>
  <c r="U587" i="2"/>
  <c r="V587" i="2"/>
  <c r="W587" i="2"/>
  <c r="X587" i="2"/>
  <c r="T597" i="2"/>
  <c r="U597" i="2"/>
  <c r="V597" i="2"/>
  <c r="W597" i="2"/>
  <c r="X597" i="2"/>
  <c r="T601" i="2"/>
  <c r="U601" i="2"/>
  <c r="V601" i="2"/>
  <c r="W601" i="2"/>
  <c r="X601" i="2"/>
  <c r="T577" i="2"/>
  <c r="U577" i="2"/>
  <c r="V577" i="2"/>
  <c r="W577" i="2"/>
  <c r="X577" i="2"/>
  <c r="T595" i="2"/>
  <c r="U595" i="2"/>
  <c r="V595" i="2"/>
  <c r="W595" i="2"/>
  <c r="X595" i="2"/>
  <c r="T541" i="2"/>
  <c r="U541" i="2"/>
  <c r="V541" i="2"/>
  <c r="W541" i="2"/>
  <c r="X541" i="2"/>
  <c r="T591" i="2"/>
  <c r="U591" i="2"/>
  <c r="V591" i="2"/>
  <c r="W591" i="2"/>
  <c r="X591" i="2"/>
  <c r="T593" i="2"/>
  <c r="U593" i="2"/>
  <c r="V593" i="2"/>
  <c r="W593" i="2"/>
  <c r="X593" i="2"/>
  <c r="T564" i="2"/>
  <c r="U564" i="2"/>
  <c r="V564" i="2"/>
  <c r="W564" i="2"/>
  <c r="X564" i="2"/>
  <c r="T646" i="2"/>
  <c r="U646" i="2"/>
  <c r="V646" i="2"/>
  <c r="W646" i="2"/>
  <c r="X646" i="2"/>
  <c r="T632" i="2"/>
  <c r="U632" i="2"/>
  <c r="V632" i="2"/>
  <c r="W632" i="2"/>
  <c r="X632" i="2"/>
  <c r="T614" i="2"/>
  <c r="U614" i="2"/>
  <c r="V614" i="2"/>
  <c r="W614" i="2"/>
  <c r="X614" i="2"/>
  <c r="T608" i="2"/>
  <c r="U608" i="2"/>
  <c r="V608" i="2"/>
  <c r="W608" i="2"/>
  <c r="X608" i="2"/>
  <c r="T26" i="2"/>
  <c r="U26" i="2"/>
  <c r="V26" i="2"/>
  <c r="W26" i="2"/>
  <c r="X26" i="2"/>
  <c r="T251" i="2"/>
  <c r="U251" i="2"/>
  <c r="V251" i="2"/>
  <c r="W251" i="2"/>
  <c r="X251" i="2"/>
  <c r="T325" i="2"/>
  <c r="U325" i="2"/>
  <c r="V325" i="2"/>
  <c r="W325" i="2"/>
  <c r="X325" i="2"/>
  <c r="T586" i="2"/>
  <c r="U586" i="2"/>
  <c r="V586" i="2"/>
  <c r="W586" i="2"/>
  <c r="X586" i="2"/>
  <c r="T581" i="2"/>
  <c r="U581" i="2"/>
  <c r="V581" i="2"/>
  <c r="W581" i="2"/>
  <c r="X581" i="2"/>
  <c r="T567" i="2"/>
  <c r="U567" i="2"/>
  <c r="V567" i="2"/>
  <c r="W567" i="2"/>
  <c r="X567" i="2"/>
  <c r="T615" i="2"/>
  <c r="U615" i="2"/>
  <c r="V615" i="2"/>
  <c r="W615" i="2"/>
  <c r="X615" i="2"/>
  <c r="T624" i="2"/>
  <c r="U624" i="2"/>
  <c r="V624" i="2"/>
  <c r="W624" i="2"/>
  <c r="X624" i="2"/>
  <c r="T633" i="2"/>
  <c r="U633" i="2"/>
  <c r="V633" i="2"/>
  <c r="W633" i="2"/>
  <c r="X633" i="2"/>
  <c r="T629" i="2"/>
  <c r="U629" i="2"/>
  <c r="V629" i="2"/>
  <c r="W629" i="2"/>
  <c r="X629" i="2"/>
  <c r="T357" i="2"/>
  <c r="U357" i="2"/>
  <c r="V357" i="2"/>
  <c r="W357" i="2"/>
  <c r="X357" i="2"/>
  <c r="T650" i="2"/>
  <c r="U650" i="2"/>
  <c r="V650" i="2"/>
  <c r="W650" i="2"/>
  <c r="X650" i="2"/>
  <c r="T651" i="2"/>
  <c r="U651" i="2"/>
  <c r="V651" i="2"/>
  <c r="W651" i="2"/>
  <c r="X651" i="2"/>
  <c r="T3" i="2"/>
  <c r="U3" i="2"/>
  <c r="V3" i="2"/>
  <c r="W3" i="2"/>
  <c r="X3" i="2"/>
  <c r="T2" i="2"/>
  <c r="U2" i="2"/>
  <c r="V2" i="2"/>
  <c r="W2" i="2"/>
  <c r="X2" i="2"/>
  <c r="T6" i="2"/>
  <c r="U6" i="2"/>
  <c r="V6" i="2"/>
  <c r="W6" i="2"/>
  <c r="X6" i="2"/>
  <c r="T5" i="2"/>
  <c r="U5" i="2"/>
  <c r="V5" i="2"/>
  <c r="W5" i="2"/>
  <c r="X5" i="2"/>
  <c r="T12" i="2"/>
  <c r="U12" i="2"/>
  <c r="V12" i="2"/>
  <c r="W12" i="2"/>
  <c r="X12" i="2"/>
  <c r="T14" i="2"/>
  <c r="U14" i="2"/>
  <c r="V14" i="2"/>
  <c r="W14" i="2"/>
  <c r="X14" i="2"/>
  <c r="T17" i="2"/>
  <c r="U17" i="2"/>
  <c r="V17" i="2"/>
  <c r="W17" i="2"/>
  <c r="X17" i="2"/>
  <c r="T20" i="2"/>
  <c r="U20" i="2"/>
  <c r="V20" i="2"/>
  <c r="W20" i="2"/>
  <c r="X20" i="2"/>
  <c r="T33" i="2"/>
  <c r="U33" i="2"/>
  <c r="V33" i="2"/>
  <c r="W33" i="2"/>
  <c r="X33" i="2"/>
  <c r="T24" i="2"/>
  <c r="U24" i="2"/>
  <c r="V24" i="2"/>
  <c r="W24" i="2"/>
  <c r="X24" i="2"/>
  <c r="T44" i="2"/>
  <c r="U44" i="2"/>
  <c r="V44" i="2"/>
  <c r="W44" i="2"/>
  <c r="X44" i="2"/>
  <c r="T31" i="2"/>
  <c r="U31" i="2"/>
  <c r="V31" i="2"/>
  <c r="W31" i="2"/>
  <c r="X31" i="2"/>
  <c r="T63" i="2"/>
  <c r="U63" i="2"/>
  <c r="V63" i="2"/>
  <c r="W63" i="2"/>
  <c r="X63" i="2"/>
  <c r="T50" i="2"/>
  <c r="U50" i="2"/>
  <c r="V50" i="2"/>
  <c r="W50" i="2"/>
  <c r="X50" i="2"/>
  <c r="T45" i="2"/>
  <c r="U45" i="2"/>
  <c r="V45" i="2"/>
  <c r="W45" i="2"/>
  <c r="X45" i="2"/>
  <c r="T38" i="2"/>
  <c r="U38" i="2"/>
  <c r="V38" i="2"/>
  <c r="W38" i="2"/>
  <c r="X38" i="2"/>
  <c r="T58" i="2"/>
  <c r="U58" i="2"/>
  <c r="V58" i="2"/>
  <c r="W58" i="2"/>
  <c r="X58" i="2"/>
  <c r="T54" i="2"/>
  <c r="U54" i="2"/>
  <c r="V54" i="2"/>
  <c r="W54" i="2"/>
  <c r="X54" i="2"/>
  <c r="T70" i="2"/>
  <c r="U70" i="2"/>
  <c r="V70" i="2"/>
  <c r="W70" i="2"/>
  <c r="X70" i="2"/>
  <c r="T79" i="2"/>
  <c r="U79" i="2"/>
  <c r="V79" i="2"/>
  <c r="W79" i="2"/>
  <c r="X79" i="2"/>
  <c r="T82" i="2"/>
  <c r="U82" i="2"/>
  <c r="V82" i="2"/>
  <c r="W82" i="2"/>
  <c r="X82" i="2"/>
  <c r="T92" i="2"/>
  <c r="U92" i="2"/>
  <c r="V92" i="2"/>
  <c r="W92" i="2"/>
  <c r="X92" i="2"/>
  <c r="T109" i="2"/>
  <c r="U109" i="2"/>
  <c r="V109" i="2"/>
  <c r="W109" i="2"/>
  <c r="X109" i="2"/>
  <c r="T86" i="2"/>
  <c r="U86" i="2"/>
  <c r="V86" i="2"/>
  <c r="W86" i="2"/>
  <c r="X86" i="2"/>
  <c r="T125" i="2"/>
  <c r="U125" i="2"/>
  <c r="V125" i="2"/>
  <c r="W125" i="2"/>
  <c r="X125" i="2"/>
  <c r="T100" i="2"/>
  <c r="U100" i="2"/>
  <c r="V100" i="2"/>
  <c r="W100" i="2"/>
  <c r="X100" i="2"/>
  <c r="T130" i="2"/>
  <c r="U130" i="2"/>
  <c r="V130" i="2"/>
  <c r="W130" i="2"/>
  <c r="X130" i="2"/>
  <c r="T110" i="2"/>
  <c r="U110" i="2"/>
  <c r="V110" i="2"/>
  <c r="W110" i="2"/>
  <c r="X110" i="2"/>
  <c r="T118" i="2"/>
  <c r="U118" i="2"/>
  <c r="V118" i="2"/>
  <c r="W118" i="2"/>
  <c r="X118" i="2"/>
  <c r="T137" i="2"/>
  <c r="U137" i="2"/>
  <c r="V137" i="2"/>
  <c r="W137" i="2"/>
  <c r="X137" i="2"/>
  <c r="T97" i="2"/>
  <c r="U97" i="2"/>
  <c r="V97" i="2"/>
  <c r="W97" i="2"/>
  <c r="X97" i="2"/>
  <c r="T149" i="2"/>
  <c r="U149" i="2"/>
  <c r="V149" i="2"/>
  <c r="W149" i="2"/>
  <c r="X149" i="2"/>
  <c r="T105" i="2"/>
  <c r="U105" i="2"/>
  <c r="V105" i="2"/>
  <c r="W105" i="2"/>
  <c r="X105" i="2"/>
  <c r="T179" i="2"/>
  <c r="U179" i="2"/>
  <c r="V179" i="2"/>
  <c r="W179" i="2"/>
  <c r="X179" i="2"/>
  <c r="T133" i="2"/>
  <c r="U133" i="2"/>
  <c r="V133" i="2"/>
  <c r="W133" i="2"/>
  <c r="X133" i="2"/>
  <c r="T187" i="2"/>
  <c r="U187" i="2"/>
  <c r="V187" i="2"/>
  <c r="W187" i="2"/>
  <c r="X187" i="2"/>
  <c r="T198" i="2"/>
  <c r="U198" i="2"/>
  <c r="V198" i="2"/>
  <c r="W198" i="2"/>
  <c r="X198" i="2"/>
  <c r="T136" i="2"/>
  <c r="U136" i="2"/>
  <c r="V136" i="2"/>
  <c r="W136" i="2"/>
  <c r="X136" i="2"/>
  <c r="T220" i="2"/>
  <c r="U220" i="2"/>
  <c r="V220" i="2"/>
  <c r="W220" i="2"/>
  <c r="X220" i="2"/>
  <c r="T120" i="2"/>
  <c r="U120" i="2"/>
  <c r="V120" i="2"/>
  <c r="W120" i="2"/>
  <c r="X120" i="2"/>
  <c r="T210" i="2"/>
  <c r="U210" i="2"/>
  <c r="V210" i="2"/>
  <c r="W210" i="2"/>
  <c r="X210" i="2"/>
  <c r="T255" i="2"/>
  <c r="U255" i="2"/>
  <c r="V255" i="2"/>
  <c r="W255" i="2"/>
  <c r="X255" i="2"/>
  <c r="T261" i="2"/>
  <c r="U261" i="2"/>
  <c r="V261" i="2"/>
  <c r="W261" i="2"/>
  <c r="X261" i="2"/>
  <c r="T157" i="2"/>
  <c r="U157" i="2"/>
  <c r="V157" i="2"/>
  <c r="W157" i="2"/>
  <c r="X157" i="2"/>
  <c r="T248" i="2"/>
  <c r="U248" i="2"/>
  <c r="V248" i="2"/>
  <c r="W248" i="2"/>
  <c r="X248" i="2"/>
  <c r="T214" i="2"/>
  <c r="U214" i="2"/>
  <c r="V214" i="2"/>
  <c r="W214" i="2"/>
  <c r="X214" i="2"/>
  <c r="T202" i="2"/>
  <c r="U202" i="2"/>
  <c r="V202" i="2"/>
  <c r="W202" i="2"/>
  <c r="X202" i="2"/>
  <c r="T197" i="2"/>
  <c r="U197" i="2"/>
  <c r="V197" i="2"/>
  <c r="W197" i="2"/>
  <c r="X197" i="2"/>
  <c r="T226" i="2"/>
  <c r="U226" i="2"/>
  <c r="V226" i="2"/>
  <c r="W226" i="2"/>
  <c r="X226" i="2"/>
  <c r="T263" i="2"/>
  <c r="U263" i="2"/>
  <c r="V263" i="2"/>
  <c r="W263" i="2"/>
  <c r="X263" i="2"/>
  <c r="T219" i="2"/>
  <c r="U219" i="2"/>
  <c r="V219" i="2"/>
  <c r="W219" i="2"/>
  <c r="X219" i="2"/>
  <c r="T208" i="2"/>
  <c r="U208" i="2"/>
  <c r="V208" i="2"/>
  <c r="W208" i="2"/>
  <c r="X208" i="2"/>
  <c r="T186" i="2"/>
  <c r="U186" i="2"/>
  <c r="V186" i="2"/>
  <c r="W186" i="2"/>
  <c r="X186" i="2"/>
  <c r="T238" i="2"/>
  <c r="U238" i="2"/>
  <c r="V238" i="2"/>
  <c r="W238" i="2"/>
  <c r="X238" i="2"/>
  <c r="T272" i="2"/>
  <c r="U272" i="2"/>
  <c r="V272" i="2"/>
  <c r="W272" i="2"/>
  <c r="X272" i="2"/>
  <c r="T236" i="2"/>
  <c r="U236" i="2"/>
  <c r="V236" i="2"/>
  <c r="W236" i="2"/>
  <c r="X236" i="2"/>
  <c r="T408" i="2"/>
  <c r="U408" i="2"/>
  <c r="V408" i="2"/>
  <c r="W408" i="2"/>
  <c r="X408" i="2"/>
  <c r="T270" i="2"/>
  <c r="U270" i="2"/>
  <c r="V270" i="2"/>
  <c r="W270" i="2"/>
  <c r="X270" i="2"/>
  <c r="T192" i="2"/>
  <c r="U192" i="2"/>
  <c r="V192" i="2"/>
  <c r="W192" i="2"/>
  <c r="X192" i="2"/>
  <c r="T234" i="2"/>
  <c r="U234" i="2"/>
  <c r="V234" i="2"/>
  <c r="W234" i="2"/>
  <c r="X234" i="2"/>
  <c r="T227" i="2"/>
  <c r="U227" i="2"/>
  <c r="V227" i="2"/>
  <c r="W227" i="2"/>
  <c r="X227" i="2"/>
  <c r="T289" i="2"/>
  <c r="U289" i="2"/>
  <c r="V289" i="2"/>
  <c r="W289" i="2"/>
  <c r="X289" i="2"/>
  <c r="T222" i="2"/>
  <c r="U222" i="2"/>
  <c r="V222" i="2"/>
  <c r="W222" i="2"/>
  <c r="X222" i="2"/>
  <c r="T287" i="2"/>
  <c r="U287" i="2"/>
  <c r="V287" i="2"/>
  <c r="W287" i="2"/>
  <c r="X287" i="2"/>
  <c r="T277" i="2"/>
  <c r="U277" i="2"/>
  <c r="V277" i="2"/>
  <c r="W277" i="2"/>
  <c r="X277" i="2"/>
  <c r="T265" i="2"/>
  <c r="U265" i="2"/>
  <c r="V265" i="2"/>
  <c r="W265" i="2"/>
  <c r="X265" i="2"/>
  <c r="T304" i="2"/>
  <c r="U304" i="2"/>
  <c r="V304" i="2"/>
  <c r="W304" i="2"/>
  <c r="X304" i="2"/>
  <c r="T316" i="2"/>
  <c r="U316" i="2"/>
  <c r="V316" i="2"/>
  <c r="W316" i="2"/>
  <c r="X316" i="2"/>
  <c r="T333" i="2"/>
  <c r="U333" i="2"/>
  <c r="V333" i="2"/>
  <c r="W333" i="2"/>
  <c r="X333" i="2"/>
  <c r="T262" i="2"/>
  <c r="U262" i="2"/>
  <c r="V262" i="2"/>
  <c r="W262" i="2"/>
  <c r="X262" i="2"/>
  <c r="T379" i="2"/>
  <c r="U379" i="2"/>
  <c r="V379" i="2"/>
  <c r="W379" i="2"/>
  <c r="X379" i="2"/>
  <c r="T273" i="2"/>
  <c r="U273" i="2"/>
  <c r="V273" i="2"/>
  <c r="W273" i="2"/>
  <c r="X273" i="2"/>
  <c r="T288" i="2"/>
  <c r="U288" i="2"/>
  <c r="V288" i="2"/>
  <c r="W288" i="2"/>
  <c r="X288" i="2"/>
  <c r="T341" i="2"/>
  <c r="U341" i="2"/>
  <c r="V341" i="2"/>
  <c r="W341" i="2"/>
  <c r="X341" i="2"/>
  <c r="T314" i="2"/>
  <c r="U314" i="2"/>
  <c r="V314" i="2"/>
  <c r="W314" i="2"/>
  <c r="X314" i="2"/>
  <c r="T359" i="2"/>
  <c r="U359" i="2"/>
  <c r="V359" i="2"/>
  <c r="W359" i="2"/>
  <c r="X359" i="2"/>
  <c r="T322" i="2"/>
  <c r="U322" i="2"/>
  <c r="V322" i="2"/>
  <c r="W322" i="2"/>
  <c r="X322" i="2"/>
  <c r="T394" i="2"/>
  <c r="U394" i="2"/>
  <c r="V394" i="2"/>
  <c r="W394" i="2"/>
  <c r="X394" i="2"/>
  <c r="T403" i="2"/>
  <c r="U403" i="2"/>
  <c r="V403" i="2"/>
  <c r="W403" i="2"/>
  <c r="X403" i="2"/>
  <c r="T334" i="2"/>
  <c r="U334" i="2"/>
  <c r="V334" i="2"/>
  <c r="W334" i="2"/>
  <c r="X334" i="2"/>
  <c r="T445" i="2"/>
  <c r="U445" i="2"/>
  <c r="V445" i="2"/>
  <c r="W445" i="2"/>
  <c r="X445" i="2"/>
  <c r="T389" i="2"/>
  <c r="U389" i="2"/>
  <c r="V389" i="2"/>
  <c r="W389" i="2"/>
  <c r="X389" i="2"/>
  <c r="T387" i="2"/>
  <c r="U387" i="2"/>
  <c r="V387" i="2"/>
  <c r="W387" i="2"/>
  <c r="X387" i="2"/>
  <c r="T279" i="2"/>
  <c r="U279" i="2"/>
  <c r="V279" i="2"/>
  <c r="W279" i="2"/>
  <c r="X279" i="2"/>
  <c r="T366" i="2"/>
  <c r="U366" i="2"/>
  <c r="V366" i="2"/>
  <c r="W366" i="2"/>
  <c r="X366" i="2"/>
  <c r="T474" i="2"/>
  <c r="U474" i="2"/>
  <c r="V474" i="2"/>
  <c r="W474" i="2"/>
  <c r="X474" i="2"/>
  <c r="T385" i="2"/>
  <c r="U385" i="2"/>
  <c r="V385" i="2"/>
  <c r="W385" i="2"/>
  <c r="X385" i="2"/>
  <c r="T315" i="2"/>
  <c r="U315" i="2"/>
  <c r="V315" i="2"/>
  <c r="W315" i="2"/>
  <c r="X315" i="2"/>
  <c r="T370" i="2"/>
  <c r="U370" i="2"/>
  <c r="V370" i="2"/>
  <c r="W370" i="2"/>
  <c r="X370" i="2"/>
  <c r="T423" i="2"/>
  <c r="U423" i="2"/>
  <c r="V423" i="2"/>
  <c r="W423" i="2"/>
  <c r="X423" i="2"/>
  <c r="T392" i="2"/>
  <c r="U392" i="2"/>
  <c r="V392" i="2"/>
  <c r="W392" i="2"/>
  <c r="X392" i="2"/>
  <c r="T450" i="2"/>
  <c r="U450" i="2"/>
  <c r="V450" i="2"/>
  <c r="W450" i="2"/>
  <c r="X450" i="2"/>
  <c r="T464" i="2"/>
  <c r="U464" i="2"/>
  <c r="V464" i="2"/>
  <c r="W464" i="2"/>
  <c r="X464" i="2"/>
  <c r="T347" i="2"/>
  <c r="U347" i="2"/>
  <c r="V347" i="2"/>
  <c r="W347" i="2"/>
  <c r="X347" i="2"/>
  <c r="T410" i="2"/>
  <c r="U410" i="2"/>
  <c r="V410" i="2"/>
  <c r="W410" i="2"/>
  <c r="X410" i="2"/>
  <c r="T391" i="2"/>
  <c r="U391" i="2"/>
  <c r="V391" i="2"/>
  <c r="W391" i="2"/>
  <c r="X391" i="2"/>
  <c r="T336" i="2"/>
  <c r="U336" i="2"/>
  <c r="V336" i="2"/>
  <c r="W336" i="2"/>
  <c r="X336" i="2"/>
  <c r="T471" i="2"/>
  <c r="U471" i="2"/>
  <c r="V471" i="2"/>
  <c r="W471" i="2"/>
  <c r="X471" i="2"/>
  <c r="T478" i="2"/>
  <c r="U478" i="2"/>
  <c r="V478" i="2"/>
  <c r="W478" i="2"/>
  <c r="X478" i="2"/>
  <c r="T505" i="2"/>
  <c r="U505" i="2"/>
  <c r="V505" i="2"/>
  <c r="W505" i="2"/>
  <c r="X505" i="2"/>
  <c r="T527" i="2"/>
  <c r="U527" i="2"/>
  <c r="V527" i="2"/>
  <c r="W527" i="2"/>
  <c r="X527" i="2"/>
  <c r="T493" i="2"/>
  <c r="U493" i="2"/>
  <c r="V493" i="2"/>
  <c r="W493" i="2"/>
  <c r="X493" i="2"/>
  <c r="T550" i="2"/>
  <c r="U550" i="2"/>
  <c r="V550" i="2"/>
  <c r="W550" i="2"/>
  <c r="X550" i="2"/>
  <c r="T457" i="2"/>
  <c r="U457" i="2"/>
  <c r="V457" i="2"/>
  <c r="W457" i="2"/>
  <c r="X457" i="2"/>
  <c r="T378" i="2"/>
  <c r="U378" i="2"/>
  <c r="V378" i="2"/>
  <c r="W378" i="2"/>
  <c r="X378" i="2"/>
  <c r="T449" i="2"/>
  <c r="U449" i="2"/>
  <c r="V449" i="2"/>
  <c r="W449" i="2"/>
  <c r="X449" i="2"/>
  <c r="T494" i="2"/>
  <c r="U494" i="2"/>
  <c r="V494" i="2"/>
  <c r="W494" i="2"/>
  <c r="X494" i="2"/>
  <c r="T435" i="2"/>
  <c r="U435" i="2"/>
  <c r="V435" i="2"/>
  <c r="W435" i="2"/>
  <c r="X435" i="2"/>
  <c r="T535" i="2"/>
  <c r="U535" i="2"/>
  <c r="V535" i="2"/>
  <c r="W535" i="2"/>
  <c r="X535" i="2"/>
  <c r="T568" i="2"/>
  <c r="U568" i="2"/>
  <c r="V568" i="2"/>
  <c r="W568" i="2"/>
  <c r="X568" i="2"/>
  <c r="T547" i="2"/>
  <c r="U547" i="2"/>
  <c r="V547" i="2"/>
  <c r="W547" i="2"/>
  <c r="X547" i="2"/>
  <c r="T485" i="2"/>
  <c r="U485" i="2"/>
  <c r="V485" i="2"/>
  <c r="W485" i="2"/>
  <c r="X485" i="2"/>
  <c r="T545" i="2"/>
  <c r="U545" i="2"/>
  <c r="V545" i="2"/>
  <c r="W545" i="2"/>
  <c r="X545" i="2"/>
  <c r="T555" i="2"/>
  <c r="U555" i="2"/>
  <c r="V555" i="2"/>
  <c r="W555" i="2"/>
  <c r="X555" i="2"/>
  <c r="T605" i="2"/>
  <c r="U605" i="2"/>
  <c r="V605" i="2"/>
  <c r="W605" i="2"/>
  <c r="X605" i="2"/>
  <c r="T536" i="2"/>
  <c r="U536" i="2"/>
  <c r="V536" i="2"/>
  <c r="W536" i="2"/>
  <c r="X536" i="2"/>
  <c r="T590" i="2"/>
  <c r="U590" i="2"/>
  <c r="V590" i="2"/>
  <c r="W590" i="2"/>
  <c r="X590" i="2"/>
  <c r="T458" i="2"/>
  <c r="U458" i="2"/>
  <c r="V458" i="2"/>
  <c r="W458" i="2"/>
  <c r="X458" i="2"/>
  <c r="T576" i="2"/>
  <c r="U576" i="2"/>
  <c r="V576" i="2"/>
  <c r="W576" i="2"/>
  <c r="X576" i="2"/>
  <c r="T539" i="2"/>
  <c r="U539" i="2"/>
  <c r="V539" i="2"/>
  <c r="W539" i="2"/>
  <c r="X539" i="2"/>
  <c r="T396" i="2"/>
  <c r="U396" i="2"/>
  <c r="V396" i="2"/>
  <c r="W396" i="2"/>
  <c r="X396" i="2"/>
  <c r="T573" i="2"/>
  <c r="U573" i="2"/>
  <c r="V573" i="2"/>
  <c r="W573" i="2"/>
  <c r="X573" i="2"/>
  <c r="T579" i="2"/>
  <c r="U579" i="2"/>
  <c r="V579" i="2"/>
  <c r="W579" i="2"/>
  <c r="X579" i="2"/>
  <c r="T600" i="2"/>
  <c r="U600" i="2"/>
  <c r="V600" i="2"/>
  <c r="W600" i="2"/>
  <c r="X600" i="2"/>
  <c r="T612" i="2"/>
  <c r="U612" i="2"/>
  <c r="V612" i="2"/>
  <c r="W612" i="2"/>
  <c r="X612" i="2"/>
  <c r="T574" i="2"/>
  <c r="U574" i="2"/>
  <c r="V574" i="2"/>
  <c r="W574" i="2"/>
  <c r="X574" i="2"/>
  <c r="T540" i="2"/>
  <c r="U540" i="2"/>
  <c r="V540" i="2"/>
  <c r="W540" i="2"/>
  <c r="X540" i="2"/>
  <c r="T610" i="2"/>
  <c r="U610" i="2"/>
  <c r="V610" i="2"/>
  <c r="W610" i="2"/>
  <c r="X610" i="2"/>
  <c r="T607" i="2"/>
  <c r="U607" i="2"/>
  <c r="V607" i="2"/>
  <c r="W607" i="2"/>
  <c r="X607" i="2"/>
  <c r="T636" i="2"/>
  <c r="U636" i="2"/>
  <c r="V636" i="2"/>
  <c r="W636" i="2"/>
  <c r="X636" i="2"/>
  <c r="T626" i="2"/>
  <c r="U626" i="2"/>
  <c r="V626" i="2"/>
  <c r="W626" i="2"/>
  <c r="X626" i="2"/>
  <c r="T599" i="2"/>
  <c r="U599" i="2"/>
  <c r="V599" i="2"/>
  <c r="W599" i="2"/>
  <c r="X599" i="2"/>
  <c r="T603" i="2"/>
  <c r="U603" i="2"/>
  <c r="V603" i="2"/>
  <c r="W603" i="2"/>
  <c r="X603" i="2"/>
  <c r="T604" i="2"/>
  <c r="U604" i="2"/>
  <c r="V604" i="2"/>
  <c r="W604" i="2"/>
  <c r="X604" i="2"/>
  <c r="T613" i="2"/>
  <c r="U613" i="2"/>
  <c r="V613" i="2"/>
  <c r="W613" i="2"/>
  <c r="X613" i="2"/>
  <c r="T622" i="2"/>
  <c r="U622" i="2"/>
  <c r="V622" i="2"/>
  <c r="W622" i="2"/>
  <c r="X622" i="2"/>
  <c r="T298" i="2"/>
  <c r="U298" i="2"/>
  <c r="V298" i="2"/>
  <c r="W298" i="2"/>
  <c r="X298" i="2"/>
  <c r="T642" i="2"/>
  <c r="U642" i="2"/>
  <c r="V642" i="2"/>
  <c r="W642" i="2"/>
  <c r="X642" i="2"/>
  <c r="X9" i="2"/>
  <c r="W9" i="2"/>
  <c r="V9" i="2"/>
  <c r="U9" i="2"/>
  <c r="T9" i="2"/>
  <c r="S27" i="2"/>
  <c r="S15" i="2"/>
  <c r="S30" i="2"/>
  <c r="S46" i="2"/>
  <c r="S511" i="2"/>
  <c r="S121" i="2"/>
  <c r="S124" i="2"/>
  <c r="S98" i="2"/>
  <c r="S115" i="2"/>
  <c r="S139" i="2"/>
  <c r="S123" i="2"/>
  <c r="S143" i="2"/>
  <c r="S189" i="2"/>
  <c r="S135" i="2"/>
  <c r="S176" i="2"/>
  <c r="S160" i="2"/>
  <c r="S163" i="2"/>
  <c r="S168" i="2"/>
  <c r="S205" i="2"/>
  <c r="S245" i="2"/>
  <c r="S211" i="2"/>
  <c r="S229" i="2"/>
  <c r="S201" i="2"/>
  <c r="S235" i="2"/>
  <c r="S337" i="2"/>
  <c r="S363" i="2"/>
  <c r="S424" i="2"/>
  <c r="S373" i="2"/>
  <c r="S332" i="2"/>
  <c r="S350" i="2"/>
  <c r="S393" i="2"/>
  <c r="S376" i="2"/>
  <c r="S453" i="2"/>
  <c r="S472" i="2"/>
  <c r="S356" i="2"/>
  <c r="S420" i="2"/>
  <c r="S470" i="2"/>
  <c r="S473" i="2"/>
  <c r="S585" i="2"/>
  <c r="S630" i="2"/>
  <c r="S557" i="2"/>
  <c r="S594" i="2"/>
  <c r="S617" i="2"/>
  <c r="S623" i="2"/>
  <c r="S621" i="2"/>
  <c r="S563" i="2"/>
  <c r="S645" i="2"/>
  <c r="S569" i="2"/>
  <c r="S41" i="2"/>
  <c r="S40" i="2"/>
  <c r="S156" i="2"/>
  <c r="S55" i="2"/>
  <c r="S64" i="2"/>
  <c r="S59" i="2"/>
  <c r="S95" i="2"/>
  <c r="S131" i="2"/>
  <c r="S119" i="2"/>
  <c r="S170" i="2"/>
  <c r="S152" i="2"/>
  <c r="S178" i="2"/>
  <c r="S144" i="2"/>
  <c r="S175" i="2"/>
  <c r="S184" i="2"/>
  <c r="S228" i="2"/>
  <c r="S460" i="2"/>
  <c r="S174" i="2"/>
  <c r="S204" i="2"/>
  <c r="S150" i="2"/>
  <c r="S213" i="2"/>
  <c r="S215" i="2"/>
  <c r="S276" i="2"/>
  <c r="S349" i="2"/>
  <c r="S329" i="2"/>
  <c r="S648" i="2"/>
  <c r="S256" i="2"/>
  <c r="S358" i="2"/>
  <c r="S249" i="2"/>
  <c r="S365" i="2"/>
  <c r="S437" i="2"/>
  <c r="S418" i="2"/>
  <c r="S364" i="2"/>
  <c r="S351" i="2"/>
  <c r="S530" i="2"/>
  <c r="S481" i="2"/>
  <c r="S462" i="2"/>
  <c r="S499" i="2"/>
  <c r="S444" i="2"/>
  <c r="S549" i="2"/>
  <c r="S543" i="2"/>
  <c r="S496" i="2"/>
  <c r="S637" i="2"/>
  <c r="S609" i="2"/>
  <c r="S596" i="2"/>
  <c r="S618" i="2"/>
  <c r="S634" i="2"/>
  <c r="S638" i="2"/>
  <c r="S635" i="2"/>
  <c r="S7" i="2"/>
  <c r="S23" i="2"/>
  <c r="S25" i="2"/>
  <c r="S35" i="2"/>
  <c r="S57" i="2"/>
  <c r="S99" i="2"/>
  <c r="S171" i="2"/>
  <c r="S153" i="2"/>
  <c r="S167" i="2"/>
  <c r="S242" i="2"/>
  <c r="S165" i="2"/>
  <c r="S141" i="2"/>
  <c r="S252" i="2"/>
  <c r="S182" i="2"/>
  <c r="S281" i="2"/>
  <c r="S217" i="2"/>
  <c r="S231" i="2"/>
  <c r="S278" i="2"/>
  <c r="S290" i="2"/>
  <c r="S260" i="2"/>
  <c r="S340" i="2"/>
  <c r="S414" i="2"/>
  <c r="S324" i="2"/>
  <c r="S310" i="2"/>
  <c r="S421" i="2"/>
  <c r="S443" i="2"/>
  <c r="S241" i="2"/>
  <c r="S488" i="2"/>
  <c r="S483" i="2"/>
  <c r="S375" i="2"/>
  <c r="S486" i="2"/>
  <c r="S504" i="2"/>
  <c r="S442" i="2"/>
  <c r="S487" i="2"/>
  <c r="S502" i="2"/>
  <c r="S544" i="2"/>
  <c r="S491" i="2"/>
  <c r="S489" i="2"/>
  <c r="S571" i="2"/>
  <c r="S578" i="2"/>
  <c r="S580" i="2"/>
  <c r="S531" i="2"/>
  <c r="S271" i="2"/>
  <c r="S620" i="2"/>
  <c r="S589" i="2"/>
  <c r="S616" i="2"/>
  <c r="S625" i="2"/>
  <c r="S641" i="2"/>
  <c r="S602" i="2"/>
  <c r="S639" i="2"/>
  <c r="S643" i="2"/>
  <c r="S628" i="2"/>
  <c r="S649" i="2"/>
  <c r="S619" i="2"/>
  <c r="S76" i="2"/>
  <c r="S65" i="2"/>
  <c r="S102" i="2"/>
  <c r="S104" i="2"/>
  <c r="S196" i="2"/>
  <c r="S151" i="2"/>
  <c r="S154" i="2"/>
  <c r="S185" i="2"/>
  <c r="S162" i="2"/>
  <c r="S203" i="2"/>
  <c r="S224" i="2"/>
  <c r="S321" i="2"/>
  <c r="S284" i="2"/>
  <c r="S253" i="2"/>
  <c r="S416" i="2"/>
  <c r="S404" i="2"/>
  <c r="S319" i="2"/>
  <c r="S554" i="2"/>
  <c r="S419" i="2"/>
  <c r="S412" i="2"/>
  <c r="S533" i="2"/>
  <c r="S515" i="2"/>
  <c r="S592" i="2"/>
  <c r="S512" i="2"/>
  <c r="S516" i="2"/>
  <c r="S517" i="2"/>
  <c r="S534" i="2"/>
  <c r="S514" i="2"/>
  <c r="S503" i="2"/>
  <c r="S388" i="2"/>
  <c r="S566" i="2"/>
  <c r="S513" i="2"/>
  <c r="S546" i="2"/>
  <c r="S532" i="2"/>
  <c r="S561" i="2"/>
  <c r="S606" i="2"/>
  <c r="S562" i="2"/>
  <c r="S611" i="2"/>
  <c r="S584" i="2"/>
  <c r="S558" i="2"/>
  <c r="S587" i="2"/>
  <c r="S597" i="2"/>
  <c r="S601" i="2"/>
  <c r="S577" i="2"/>
  <c r="S595" i="2"/>
  <c r="S541" i="2"/>
  <c r="S591" i="2"/>
  <c r="S593" i="2"/>
  <c r="S564" i="2"/>
  <c r="S646" i="2"/>
  <c r="S632" i="2"/>
  <c r="S614" i="2"/>
  <c r="S608" i="2"/>
  <c r="S26" i="2"/>
  <c r="S251" i="2"/>
  <c r="S325" i="2"/>
  <c r="S586" i="2"/>
  <c r="S581" i="2"/>
  <c r="S567" i="2"/>
  <c r="S615" i="2"/>
  <c r="S624" i="2"/>
  <c r="S633" i="2"/>
  <c r="S629" i="2"/>
  <c r="S357" i="2"/>
  <c r="S650" i="2"/>
  <c r="S651" i="2"/>
  <c r="S3" i="2"/>
  <c r="S2" i="2"/>
  <c r="S6" i="2"/>
  <c r="S5" i="2"/>
  <c r="S12" i="2"/>
  <c r="S14" i="2"/>
  <c r="S17" i="2"/>
  <c r="S20" i="2"/>
  <c r="S33" i="2"/>
  <c r="S24" i="2"/>
  <c r="S44" i="2"/>
  <c r="S31" i="2"/>
  <c r="S63" i="2"/>
  <c r="S50" i="2"/>
  <c r="S45" i="2"/>
  <c r="S38" i="2"/>
  <c r="S58" i="2"/>
  <c r="S54" i="2"/>
  <c r="S70" i="2"/>
  <c r="S79" i="2"/>
  <c r="S82" i="2"/>
  <c r="S92" i="2"/>
  <c r="S109" i="2"/>
  <c r="S86" i="2"/>
  <c r="S125" i="2"/>
  <c r="S100" i="2"/>
  <c r="S130" i="2"/>
  <c r="S110" i="2"/>
  <c r="S118" i="2"/>
  <c r="S137" i="2"/>
  <c r="S97" i="2"/>
  <c r="S149" i="2"/>
  <c r="S105" i="2"/>
  <c r="S179" i="2"/>
  <c r="S133" i="2"/>
  <c r="S187" i="2"/>
  <c r="S198" i="2"/>
  <c r="S136" i="2"/>
  <c r="S220" i="2"/>
  <c r="S120" i="2"/>
  <c r="S210" i="2"/>
  <c r="S255" i="2"/>
  <c r="S261" i="2"/>
  <c r="S157" i="2"/>
  <c r="S248" i="2"/>
  <c r="S214" i="2"/>
  <c r="S202" i="2"/>
  <c r="S197" i="2"/>
  <c r="S226" i="2"/>
  <c r="S263" i="2"/>
  <c r="S219" i="2"/>
  <c r="S208" i="2"/>
  <c r="S186" i="2"/>
  <c r="S238" i="2"/>
  <c r="S272" i="2"/>
  <c r="S236" i="2"/>
  <c r="S408" i="2"/>
  <c r="S270" i="2"/>
  <c r="S192" i="2"/>
  <c r="S234" i="2"/>
  <c r="S227" i="2"/>
  <c r="S289" i="2"/>
  <c r="S222" i="2"/>
  <c r="S287" i="2"/>
  <c r="S277" i="2"/>
  <c r="S265" i="2"/>
  <c r="S304" i="2"/>
  <c r="S316" i="2"/>
  <c r="S333" i="2"/>
  <c r="S262" i="2"/>
  <c r="S379" i="2"/>
  <c r="S273" i="2"/>
  <c r="S288" i="2"/>
  <c r="S341" i="2"/>
  <c r="S314" i="2"/>
  <c r="S359" i="2"/>
  <c r="S322" i="2"/>
  <c r="S394" i="2"/>
  <c r="S403" i="2"/>
  <c r="S334" i="2"/>
  <c r="S445" i="2"/>
  <c r="S389" i="2"/>
  <c r="S387" i="2"/>
  <c r="S279" i="2"/>
  <c r="S366" i="2"/>
  <c r="S474" i="2"/>
  <c r="S385" i="2"/>
  <c r="S315" i="2"/>
  <c r="S370" i="2"/>
  <c r="S423" i="2"/>
  <c r="S392" i="2"/>
  <c r="S450" i="2"/>
  <c r="S464" i="2"/>
  <c r="S347" i="2"/>
  <c r="S410" i="2"/>
  <c r="S391" i="2"/>
  <c r="S336" i="2"/>
  <c r="S471" i="2"/>
  <c r="S478" i="2"/>
  <c r="S505" i="2"/>
  <c r="S527" i="2"/>
  <c r="S493" i="2"/>
  <c r="S550" i="2"/>
  <c r="S457" i="2"/>
  <c r="S378" i="2"/>
  <c r="S449" i="2"/>
  <c r="S494" i="2"/>
  <c r="S435" i="2"/>
  <c r="S535" i="2"/>
  <c r="S568" i="2"/>
  <c r="S547" i="2"/>
  <c r="S485" i="2"/>
  <c r="S545" i="2"/>
  <c r="S555" i="2"/>
  <c r="S605" i="2"/>
  <c r="S536" i="2"/>
  <c r="S590" i="2"/>
  <c r="S458" i="2"/>
  <c r="S576" i="2"/>
  <c r="S539" i="2"/>
  <c r="S396" i="2"/>
  <c r="S573" i="2"/>
  <c r="S579" i="2"/>
  <c r="S600" i="2"/>
  <c r="S612" i="2"/>
  <c r="S574" i="2"/>
  <c r="S540" i="2"/>
  <c r="S610" i="2"/>
  <c r="S607" i="2"/>
  <c r="S636" i="2"/>
  <c r="S626" i="2"/>
  <c r="S599" i="2"/>
  <c r="S603" i="2"/>
  <c r="S604" i="2"/>
  <c r="S613" i="2"/>
  <c r="S622" i="2"/>
  <c r="S298" i="2"/>
  <c r="S642" i="2"/>
  <c r="S9" i="2"/>
  <c r="R27" i="2"/>
  <c r="R15" i="2"/>
  <c r="R30" i="2"/>
  <c r="R46" i="2"/>
  <c r="R511" i="2"/>
  <c r="R121" i="2"/>
  <c r="R124" i="2"/>
  <c r="R98" i="2"/>
  <c r="R115" i="2"/>
  <c r="R139" i="2"/>
  <c r="R123" i="2"/>
  <c r="R143" i="2"/>
  <c r="R189" i="2"/>
  <c r="R135" i="2"/>
  <c r="R176" i="2"/>
  <c r="R160" i="2"/>
  <c r="R163" i="2"/>
  <c r="R168" i="2"/>
  <c r="R205" i="2"/>
  <c r="R245" i="2"/>
  <c r="R211" i="2"/>
  <c r="R229" i="2"/>
  <c r="R201" i="2"/>
  <c r="R235" i="2"/>
  <c r="R337" i="2"/>
  <c r="R363" i="2"/>
  <c r="R424" i="2"/>
  <c r="R373" i="2"/>
  <c r="R332" i="2"/>
  <c r="R350" i="2"/>
  <c r="R393" i="2"/>
  <c r="R376" i="2"/>
  <c r="R453" i="2"/>
  <c r="R472" i="2"/>
  <c r="R356" i="2"/>
  <c r="R420" i="2"/>
  <c r="R470" i="2"/>
  <c r="R473" i="2"/>
  <c r="R585" i="2"/>
  <c r="R630" i="2"/>
  <c r="R557" i="2"/>
  <c r="R594" i="2"/>
  <c r="R617" i="2"/>
  <c r="R623" i="2"/>
  <c r="R621" i="2"/>
  <c r="R563" i="2"/>
  <c r="R645" i="2"/>
  <c r="R569" i="2"/>
  <c r="R41" i="2"/>
  <c r="R40" i="2"/>
  <c r="R156" i="2"/>
  <c r="R55" i="2"/>
  <c r="R64" i="2"/>
  <c r="R59" i="2"/>
  <c r="R95" i="2"/>
  <c r="R131" i="2"/>
  <c r="R119" i="2"/>
  <c r="R170" i="2"/>
  <c r="R152" i="2"/>
  <c r="R178" i="2"/>
  <c r="R144" i="2"/>
  <c r="R175" i="2"/>
  <c r="R184" i="2"/>
  <c r="R228" i="2"/>
  <c r="R460" i="2"/>
  <c r="R174" i="2"/>
  <c r="R204" i="2"/>
  <c r="R150" i="2"/>
  <c r="R213" i="2"/>
  <c r="R215" i="2"/>
  <c r="R276" i="2"/>
  <c r="R349" i="2"/>
  <c r="R329" i="2"/>
  <c r="R648" i="2"/>
  <c r="R256" i="2"/>
  <c r="R358" i="2"/>
  <c r="R249" i="2"/>
  <c r="R365" i="2"/>
  <c r="R437" i="2"/>
  <c r="R418" i="2"/>
  <c r="R364" i="2"/>
  <c r="R351" i="2"/>
  <c r="R530" i="2"/>
  <c r="R481" i="2"/>
  <c r="R462" i="2"/>
  <c r="R499" i="2"/>
  <c r="R444" i="2"/>
  <c r="R549" i="2"/>
  <c r="R543" i="2"/>
  <c r="R496" i="2"/>
  <c r="R637" i="2"/>
  <c r="R609" i="2"/>
  <c r="R596" i="2"/>
  <c r="R618" i="2"/>
  <c r="R634" i="2"/>
  <c r="R638" i="2"/>
  <c r="R635" i="2"/>
  <c r="R7" i="2"/>
  <c r="R23" i="2"/>
  <c r="R25" i="2"/>
  <c r="R35" i="2"/>
  <c r="R57" i="2"/>
  <c r="R99" i="2"/>
  <c r="R171" i="2"/>
  <c r="R153" i="2"/>
  <c r="R167" i="2"/>
  <c r="R242" i="2"/>
  <c r="R165" i="2"/>
  <c r="R141" i="2"/>
  <c r="R252" i="2"/>
  <c r="R182" i="2"/>
  <c r="R281" i="2"/>
  <c r="R217" i="2"/>
  <c r="R231" i="2"/>
  <c r="R278" i="2"/>
  <c r="R290" i="2"/>
  <c r="R260" i="2"/>
  <c r="R340" i="2"/>
  <c r="R414" i="2"/>
  <c r="R324" i="2"/>
  <c r="R310" i="2"/>
  <c r="R421" i="2"/>
  <c r="R443" i="2"/>
  <c r="R241" i="2"/>
  <c r="R488" i="2"/>
  <c r="R483" i="2"/>
  <c r="R375" i="2"/>
  <c r="R486" i="2"/>
  <c r="R504" i="2"/>
  <c r="R442" i="2"/>
  <c r="R487" i="2"/>
  <c r="R502" i="2"/>
  <c r="R544" i="2"/>
  <c r="R491" i="2"/>
  <c r="R489" i="2"/>
  <c r="R571" i="2"/>
  <c r="R578" i="2"/>
  <c r="R580" i="2"/>
  <c r="R531" i="2"/>
  <c r="R271" i="2"/>
  <c r="R620" i="2"/>
  <c r="R589" i="2"/>
  <c r="R616" i="2"/>
  <c r="R625" i="2"/>
  <c r="R641" i="2"/>
  <c r="R602" i="2"/>
  <c r="R639" i="2"/>
  <c r="R643" i="2"/>
  <c r="R628" i="2"/>
  <c r="R649" i="2"/>
  <c r="R619" i="2"/>
  <c r="R76" i="2"/>
  <c r="R65" i="2"/>
  <c r="R102" i="2"/>
  <c r="R104" i="2"/>
  <c r="R196" i="2"/>
  <c r="R151" i="2"/>
  <c r="R154" i="2"/>
  <c r="R185" i="2"/>
  <c r="R162" i="2"/>
  <c r="R203" i="2"/>
  <c r="R224" i="2"/>
  <c r="R321" i="2"/>
  <c r="R284" i="2"/>
  <c r="R253" i="2"/>
  <c r="R416" i="2"/>
  <c r="R404" i="2"/>
  <c r="R319" i="2"/>
  <c r="R554" i="2"/>
  <c r="R419" i="2"/>
  <c r="R412" i="2"/>
  <c r="R533" i="2"/>
  <c r="R515" i="2"/>
  <c r="R592" i="2"/>
  <c r="R512" i="2"/>
  <c r="R516" i="2"/>
  <c r="R517" i="2"/>
  <c r="R534" i="2"/>
  <c r="R514" i="2"/>
  <c r="R503" i="2"/>
  <c r="R388" i="2"/>
  <c r="R566" i="2"/>
  <c r="R513" i="2"/>
  <c r="R546" i="2"/>
  <c r="R532" i="2"/>
  <c r="R561" i="2"/>
  <c r="R606" i="2"/>
  <c r="R562" i="2"/>
  <c r="R611" i="2"/>
  <c r="R584" i="2"/>
  <c r="R558" i="2"/>
  <c r="R587" i="2"/>
  <c r="R597" i="2"/>
  <c r="R601" i="2"/>
  <c r="R577" i="2"/>
  <c r="R595" i="2"/>
  <c r="R541" i="2"/>
  <c r="R591" i="2"/>
  <c r="R593" i="2"/>
  <c r="R564" i="2"/>
  <c r="R646" i="2"/>
  <c r="R632" i="2"/>
  <c r="R614" i="2"/>
  <c r="R608" i="2"/>
  <c r="R26" i="2"/>
  <c r="R251" i="2"/>
  <c r="R325" i="2"/>
  <c r="R586" i="2"/>
  <c r="R581" i="2"/>
  <c r="R567" i="2"/>
  <c r="R615" i="2"/>
  <c r="R624" i="2"/>
  <c r="R633" i="2"/>
  <c r="R629" i="2"/>
  <c r="R357" i="2"/>
  <c r="R650" i="2"/>
  <c r="R651" i="2"/>
  <c r="R3" i="2"/>
  <c r="R2" i="2"/>
  <c r="R6" i="2"/>
  <c r="R5" i="2"/>
  <c r="R12" i="2"/>
  <c r="R14" i="2"/>
  <c r="R17" i="2"/>
  <c r="R20" i="2"/>
  <c r="R33" i="2"/>
  <c r="R24" i="2"/>
  <c r="R44" i="2"/>
  <c r="R31" i="2"/>
  <c r="R63" i="2"/>
  <c r="R50" i="2"/>
  <c r="R45" i="2"/>
  <c r="R38" i="2"/>
  <c r="R58" i="2"/>
  <c r="R54" i="2"/>
  <c r="R70" i="2"/>
  <c r="R79" i="2"/>
  <c r="R82" i="2"/>
  <c r="R92" i="2"/>
  <c r="R109" i="2"/>
  <c r="R86" i="2"/>
  <c r="R125" i="2"/>
  <c r="R100" i="2"/>
  <c r="R130" i="2"/>
  <c r="R110" i="2"/>
  <c r="R118" i="2"/>
  <c r="R137" i="2"/>
  <c r="R97" i="2"/>
  <c r="R149" i="2"/>
  <c r="R105" i="2"/>
  <c r="R179" i="2"/>
  <c r="R133" i="2"/>
  <c r="R187" i="2"/>
  <c r="R198" i="2"/>
  <c r="R136" i="2"/>
  <c r="R220" i="2"/>
  <c r="R120" i="2"/>
  <c r="R210" i="2"/>
  <c r="R255" i="2"/>
  <c r="R261" i="2"/>
  <c r="R157" i="2"/>
  <c r="R248" i="2"/>
  <c r="R214" i="2"/>
  <c r="R202" i="2"/>
  <c r="R197" i="2"/>
  <c r="R226" i="2"/>
  <c r="R263" i="2"/>
  <c r="R219" i="2"/>
  <c r="R208" i="2"/>
  <c r="R186" i="2"/>
  <c r="R238" i="2"/>
  <c r="R272" i="2"/>
  <c r="R236" i="2"/>
  <c r="R408" i="2"/>
  <c r="R270" i="2"/>
  <c r="R192" i="2"/>
  <c r="R234" i="2"/>
  <c r="R227" i="2"/>
  <c r="R289" i="2"/>
  <c r="R222" i="2"/>
  <c r="R287" i="2"/>
  <c r="R277" i="2"/>
  <c r="R265" i="2"/>
  <c r="R304" i="2"/>
  <c r="R316" i="2"/>
  <c r="R333" i="2"/>
  <c r="R262" i="2"/>
  <c r="R379" i="2"/>
  <c r="R273" i="2"/>
  <c r="R288" i="2"/>
  <c r="R341" i="2"/>
  <c r="R314" i="2"/>
  <c r="R359" i="2"/>
  <c r="R322" i="2"/>
  <c r="R394" i="2"/>
  <c r="R403" i="2"/>
  <c r="R334" i="2"/>
  <c r="R445" i="2"/>
  <c r="R389" i="2"/>
  <c r="R387" i="2"/>
  <c r="R279" i="2"/>
  <c r="R366" i="2"/>
  <c r="R474" i="2"/>
  <c r="R385" i="2"/>
  <c r="R315" i="2"/>
  <c r="R370" i="2"/>
  <c r="R423" i="2"/>
  <c r="R392" i="2"/>
  <c r="R450" i="2"/>
  <c r="R464" i="2"/>
  <c r="R347" i="2"/>
  <c r="R410" i="2"/>
  <c r="R391" i="2"/>
  <c r="R336" i="2"/>
  <c r="R471" i="2"/>
  <c r="R478" i="2"/>
  <c r="R505" i="2"/>
  <c r="R527" i="2"/>
  <c r="R493" i="2"/>
  <c r="R550" i="2"/>
  <c r="R457" i="2"/>
  <c r="R378" i="2"/>
  <c r="R449" i="2"/>
  <c r="R494" i="2"/>
  <c r="R435" i="2"/>
  <c r="R535" i="2"/>
  <c r="R568" i="2"/>
  <c r="R547" i="2"/>
  <c r="R485" i="2"/>
  <c r="R545" i="2"/>
  <c r="R555" i="2"/>
  <c r="R605" i="2"/>
  <c r="R536" i="2"/>
  <c r="R590" i="2"/>
  <c r="R458" i="2"/>
  <c r="R576" i="2"/>
  <c r="R539" i="2"/>
  <c r="R396" i="2"/>
  <c r="R573" i="2"/>
  <c r="R579" i="2"/>
  <c r="R600" i="2"/>
  <c r="R612" i="2"/>
  <c r="R574" i="2"/>
  <c r="R540" i="2"/>
  <c r="R610" i="2"/>
  <c r="R607" i="2"/>
  <c r="R636" i="2"/>
  <c r="R626" i="2"/>
  <c r="R599" i="2"/>
  <c r="R603" i="2"/>
  <c r="R604" i="2"/>
  <c r="R613" i="2"/>
  <c r="R622" i="2"/>
  <c r="R298" i="2"/>
  <c r="R642" i="2"/>
  <c r="R9" i="2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Y26" i="3"/>
  <c r="X26" i="3"/>
  <c r="W26" i="3"/>
  <c r="V26" i="3"/>
  <c r="V42" i="3" s="1"/>
  <c r="U26" i="3"/>
  <c r="T26" i="3"/>
  <c r="T42" i="3" s="1"/>
  <c r="S26" i="3"/>
  <c r="S42" i="3" s="1"/>
  <c r="R26" i="3"/>
  <c r="R42" i="3" s="1"/>
  <c r="Q26" i="3"/>
  <c r="P26" i="3"/>
  <c r="O26" i="3"/>
  <c r="N26" i="3"/>
  <c r="N42" i="3" s="1"/>
  <c r="M26" i="3"/>
  <c r="M42" i="3" s="1"/>
  <c r="L26" i="3"/>
  <c r="K26" i="3"/>
  <c r="J26" i="3"/>
  <c r="X22" i="3"/>
  <c r="W22" i="3"/>
  <c r="V22" i="3"/>
  <c r="N22" i="3"/>
  <c r="M22" i="3"/>
  <c r="L22" i="3"/>
  <c r="K22" i="3"/>
  <c r="J22" i="3"/>
  <c r="X21" i="3"/>
  <c r="W21" i="3"/>
  <c r="V21" i="3"/>
  <c r="N21" i="3"/>
  <c r="M21" i="3"/>
  <c r="L21" i="3"/>
  <c r="K21" i="3"/>
  <c r="J21" i="3"/>
  <c r="X20" i="3"/>
  <c r="W20" i="3"/>
  <c r="V20" i="3"/>
  <c r="N20" i="3"/>
  <c r="M20" i="3"/>
  <c r="L20" i="3"/>
  <c r="K20" i="3"/>
  <c r="J20" i="3"/>
  <c r="X19" i="3"/>
  <c r="W19" i="3"/>
  <c r="V19" i="3"/>
  <c r="N19" i="3"/>
  <c r="M19" i="3"/>
  <c r="L19" i="3"/>
  <c r="K19" i="3"/>
  <c r="J19" i="3"/>
  <c r="X18" i="3"/>
  <c r="W18" i="3"/>
  <c r="V18" i="3"/>
  <c r="N18" i="3"/>
  <c r="M18" i="3"/>
  <c r="L18" i="3"/>
  <c r="K18" i="3"/>
  <c r="J18" i="3"/>
  <c r="X17" i="3"/>
  <c r="W17" i="3"/>
  <c r="V17" i="3"/>
  <c r="N17" i="3"/>
  <c r="M17" i="3"/>
  <c r="L17" i="3"/>
  <c r="K17" i="3"/>
  <c r="J17" i="3"/>
  <c r="X16" i="3"/>
  <c r="W16" i="3"/>
  <c r="V16" i="3"/>
  <c r="N16" i="3"/>
  <c r="M16" i="3"/>
  <c r="L16" i="3"/>
  <c r="K16" i="3"/>
  <c r="J16" i="3"/>
  <c r="X15" i="3"/>
  <c r="W15" i="3"/>
  <c r="V15" i="3"/>
  <c r="N15" i="3"/>
  <c r="M15" i="3"/>
  <c r="L15" i="3"/>
  <c r="K15" i="3"/>
  <c r="J15" i="3"/>
  <c r="X14" i="3"/>
  <c r="W14" i="3"/>
  <c r="V14" i="3"/>
  <c r="N14" i="3"/>
  <c r="M14" i="3"/>
  <c r="L14" i="3"/>
  <c r="K14" i="3"/>
  <c r="J14" i="3"/>
  <c r="X13" i="3"/>
  <c r="W13" i="3"/>
  <c r="V13" i="3"/>
  <c r="N13" i="3"/>
  <c r="M13" i="3"/>
  <c r="L13" i="3"/>
  <c r="K13" i="3"/>
  <c r="J13" i="3"/>
  <c r="X12" i="3"/>
  <c r="W12" i="3"/>
  <c r="V12" i="3"/>
  <c r="N12" i="3"/>
  <c r="M12" i="3"/>
  <c r="L12" i="3"/>
  <c r="K12" i="3"/>
  <c r="J12" i="3"/>
  <c r="X11" i="3"/>
  <c r="W11" i="3"/>
  <c r="V11" i="3"/>
  <c r="N11" i="3"/>
  <c r="M11" i="3"/>
  <c r="L11" i="3"/>
  <c r="K11" i="3"/>
  <c r="J11" i="3"/>
  <c r="X10" i="3"/>
  <c r="W10" i="3"/>
  <c r="V10" i="3"/>
  <c r="N10" i="3"/>
  <c r="M10" i="3"/>
  <c r="L10" i="3"/>
  <c r="K10" i="3"/>
  <c r="J10" i="3"/>
  <c r="X9" i="3"/>
  <c r="W9" i="3"/>
  <c r="V9" i="3"/>
  <c r="N9" i="3"/>
  <c r="M9" i="3"/>
  <c r="L9" i="3"/>
  <c r="K9" i="3"/>
  <c r="J9" i="3"/>
  <c r="X8" i="3"/>
  <c r="W8" i="3"/>
  <c r="V8" i="3"/>
  <c r="N8" i="3"/>
  <c r="M8" i="3"/>
  <c r="L8" i="3"/>
  <c r="K8" i="3"/>
  <c r="J8" i="3"/>
  <c r="X7" i="3"/>
  <c r="W7" i="3"/>
  <c r="V7" i="3"/>
  <c r="N7" i="3"/>
  <c r="M7" i="3"/>
  <c r="L7" i="3"/>
  <c r="K7" i="3"/>
  <c r="J7" i="3"/>
  <c r="X6" i="3"/>
  <c r="W6" i="3"/>
  <c r="V6" i="3"/>
  <c r="N6" i="3"/>
  <c r="M6" i="3"/>
  <c r="L6" i="3"/>
  <c r="K6" i="3"/>
  <c r="J6" i="3"/>
  <c r="X5" i="3"/>
  <c r="W5" i="3"/>
  <c r="V5" i="3"/>
  <c r="N5" i="3"/>
  <c r="M5" i="3"/>
  <c r="L5" i="3"/>
  <c r="K5" i="3"/>
  <c r="J5" i="3"/>
  <c r="X4" i="3"/>
  <c r="W4" i="3"/>
  <c r="V4" i="3"/>
  <c r="N4" i="3"/>
  <c r="M4" i="3"/>
  <c r="L4" i="3"/>
  <c r="K4" i="3"/>
  <c r="J4" i="3"/>
  <c r="X3" i="3"/>
  <c r="W3" i="3"/>
  <c r="V3" i="3"/>
  <c r="N3" i="3"/>
  <c r="M3" i="3"/>
  <c r="L3" i="3"/>
  <c r="K3" i="3"/>
  <c r="J3" i="3"/>
  <c r="X2" i="3"/>
  <c r="W2" i="3"/>
  <c r="V2" i="3"/>
  <c r="N2" i="3"/>
  <c r="M2" i="3"/>
  <c r="L2" i="3"/>
  <c r="K2" i="3"/>
  <c r="J2" i="3"/>
  <c r="E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C26" i="3"/>
  <c r="B26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H24" i="3"/>
  <c r="G24" i="3"/>
  <c r="B24" i="3"/>
  <c r="E23" i="3"/>
  <c r="B23" i="3"/>
  <c r="H22" i="3"/>
  <c r="G22" i="3"/>
  <c r="E22" i="3"/>
  <c r="C22" i="3"/>
  <c r="B22" i="3"/>
  <c r="H21" i="3"/>
  <c r="G21" i="3"/>
  <c r="E21" i="3"/>
  <c r="C21" i="3"/>
  <c r="B21" i="3"/>
  <c r="H20" i="3"/>
  <c r="G20" i="3"/>
  <c r="E20" i="3"/>
  <c r="C20" i="3"/>
  <c r="B20" i="3"/>
  <c r="H19" i="3"/>
  <c r="G19" i="3"/>
  <c r="E19" i="3"/>
  <c r="C19" i="3"/>
  <c r="B19" i="3"/>
  <c r="H18" i="3"/>
  <c r="G18" i="3"/>
  <c r="E18" i="3"/>
  <c r="C18" i="3"/>
  <c r="B18" i="3"/>
  <c r="C17" i="3"/>
  <c r="B17" i="3"/>
  <c r="H16" i="3"/>
  <c r="G16" i="3"/>
  <c r="E16" i="3"/>
  <c r="C16" i="3"/>
  <c r="B16" i="3"/>
  <c r="H15" i="3"/>
  <c r="G15" i="3"/>
  <c r="E15" i="3"/>
  <c r="C15" i="3"/>
  <c r="B15" i="3"/>
  <c r="C14" i="3"/>
  <c r="B14" i="3"/>
  <c r="H13" i="3"/>
  <c r="G13" i="3"/>
  <c r="E13" i="3"/>
  <c r="C13" i="3"/>
  <c r="B13" i="3"/>
  <c r="H12" i="3"/>
  <c r="G12" i="3"/>
  <c r="E12" i="3"/>
  <c r="C12" i="3"/>
  <c r="B12" i="3"/>
  <c r="C11" i="3"/>
  <c r="B11" i="3"/>
  <c r="H10" i="3"/>
  <c r="G10" i="3"/>
  <c r="E10" i="3"/>
  <c r="C10" i="3"/>
  <c r="B10" i="3"/>
  <c r="H9" i="3"/>
  <c r="G9" i="3"/>
  <c r="E9" i="3"/>
  <c r="C9" i="3"/>
  <c r="B9" i="3"/>
  <c r="C8" i="3"/>
  <c r="B8" i="3"/>
  <c r="H7" i="3"/>
  <c r="G7" i="3"/>
  <c r="E7" i="3"/>
  <c r="C7" i="3"/>
  <c r="B7" i="3"/>
  <c r="H6" i="3"/>
  <c r="G6" i="3"/>
  <c r="E6" i="3"/>
  <c r="C6" i="3"/>
  <c r="B6" i="3"/>
  <c r="C5" i="3"/>
  <c r="B5" i="3"/>
  <c r="H4" i="3"/>
  <c r="G4" i="3"/>
  <c r="E4" i="3"/>
  <c r="C4" i="3"/>
  <c r="B4" i="3"/>
  <c r="H3" i="3"/>
  <c r="G3" i="3"/>
  <c r="E3" i="3"/>
  <c r="C3" i="3"/>
  <c r="B3" i="3"/>
  <c r="C2" i="3"/>
  <c r="B2" i="3"/>
  <c r="AA647" i="2"/>
  <c r="AA644" i="2"/>
  <c r="AA631" i="2"/>
  <c r="AA627" i="2"/>
  <c r="AA640" i="2"/>
  <c r="AA575" i="2"/>
  <c r="AA638" i="2"/>
  <c r="Q638" i="2"/>
  <c r="P638" i="2"/>
  <c r="O638" i="2"/>
  <c r="N638" i="2"/>
  <c r="M638" i="2"/>
  <c r="AA617" i="2"/>
  <c r="Q617" i="2"/>
  <c r="P617" i="2"/>
  <c r="O617" i="2"/>
  <c r="N617" i="2"/>
  <c r="M617" i="2"/>
  <c r="AA634" i="2"/>
  <c r="Q634" i="2"/>
  <c r="P634" i="2"/>
  <c r="O634" i="2"/>
  <c r="N634" i="2"/>
  <c r="M634" i="2"/>
  <c r="AA645" i="2"/>
  <c r="Q645" i="2"/>
  <c r="P645" i="2"/>
  <c r="O645" i="2"/>
  <c r="N645" i="2"/>
  <c r="M645" i="2"/>
  <c r="AA650" i="2"/>
  <c r="Q650" i="2"/>
  <c r="P650" i="2"/>
  <c r="O650" i="2"/>
  <c r="N650" i="2"/>
  <c r="M650" i="2"/>
  <c r="AA605" i="2"/>
  <c r="Q605" i="2"/>
  <c r="P605" i="2"/>
  <c r="O605" i="2"/>
  <c r="N605" i="2"/>
  <c r="M605" i="2"/>
  <c r="AA651" i="2"/>
  <c r="Q651" i="2"/>
  <c r="P651" i="2"/>
  <c r="O651" i="2"/>
  <c r="N651" i="2"/>
  <c r="M651" i="2"/>
  <c r="AA569" i="2"/>
  <c r="Q569" i="2"/>
  <c r="P569" i="2"/>
  <c r="O569" i="2"/>
  <c r="N569" i="2"/>
  <c r="M569" i="2"/>
  <c r="AA618" i="2"/>
  <c r="Q618" i="2"/>
  <c r="P618" i="2"/>
  <c r="O618" i="2"/>
  <c r="N618" i="2"/>
  <c r="M618" i="2"/>
  <c r="AA649" i="2"/>
  <c r="Q649" i="2"/>
  <c r="P649" i="2"/>
  <c r="O649" i="2"/>
  <c r="N649" i="2"/>
  <c r="M649" i="2"/>
  <c r="AA642" i="2"/>
  <c r="Q642" i="2"/>
  <c r="P642" i="2"/>
  <c r="O642" i="2"/>
  <c r="N642" i="2"/>
  <c r="M642" i="2"/>
  <c r="AA623" i="2"/>
  <c r="Q623" i="2"/>
  <c r="P623" i="2"/>
  <c r="O623" i="2"/>
  <c r="N623" i="2"/>
  <c r="M623" i="2"/>
  <c r="AA621" i="2"/>
  <c r="Q621" i="2"/>
  <c r="P621" i="2"/>
  <c r="O621" i="2"/>
  <c r="N621" i="2"/>
  <c r="M621" i="2"/>
  <c r="AA635" i="2"/>
  <c r="Q635" i="2"/>
  <c r="P635" i="2"/>
  <c r="O635" i="2"/>
  <c r="N635" i="2"/>
  <c r="M635" i="2"/>
  <c r="AA626" i="2"/>
  <c r="Q626" i="2"/>
  <c r="P626" i="2"/>
  <c r="O626" i="2"/>
  <c r="N626" i="2"/>
  <c r="M626" i="2"/>
  <c r="AA553" i="2"/>
  <c r="AA594" i="2"/>
  <c r="Q594" i="2"/>
  <c r="P594" i="2"/>
  <c r="O594" i="2"/>
  <c r="N594" i="2"/>
  <c r="M594" i="2"/>
  <c r="AA609" i="2"/>
  <c r="Q609" i="2"/>
  <c r="P609" i="2"/>
  <c r="O609" i="2"/>
  <c r="N609" i="2"/>
  <c r="M609" i="2"/>
  <c r="AA596" i="2"/>
  <c r="Q596" i="2"/>
  <c r="P596" i="2"/>
  <c r="O596" i="2"/>
  <c r="N596" i="2"/>
  <c r="M596" i="2"/>
  <c r="AA641" i="2"/>
  <c r="Q641" i="2"/>
  <c r="P641" i="2"/>
  <c r="O641" i="2"/>
  <c r="N641" i="2"/>
  <c r="M641" i="2"/>
  <c r="AA637" i="2"/>
  <c r="Q637" i="2"/>
  <c r="P637" i="2"/>
  <c r="O637" i="2"/>
  <c r="N637" i="2"/>
  <c r="M637" i="2"/>
  <c r="AA639" i="2"/>
  <c r="Q639" i="2"/>
  <c r="P639" i="2"/>
  <c r="O639" i="2"/>
  <c r="N639" i="2"/>
  <c r="M639" i="2"/>
  <c r="AA643" i="2"/>
  <c r="Q643" i="2"/>
  <c r="P643" i="2"/>
  <c r="O643" i="2"/>
  <c r="N643" i="2"/>
  <c r="M643" i="2"/>
  <c r="AA628" i="2"/>
  <c r="Q628" i="2"/>
  <c r="P628" i="2"/>
  <c r="O628" i="2"/>
  <c r="N628" i="2"/>
  <c r="M628" i="2"/>
  <c r="AA585" i="2"/>
  <c r="Q585" i="2"/>
  <c r="P585" i="2"/>
  <c r="O585" i="2"/>
  <c r="N585" i="2"/>
  <c r="M585" i="2"/>
  <c r="AA357" i="2"/>
  <c r="Q357" i="2"/>
  <c r="P357" i="2"/>
  <c r="O357" i="2"/>
  <c r="N357" i="2"/>
  <c r="M357" i="2"/>
  <c r="AA633" i="2"/>
  <c r="Q633" i="2"/>
  <c r="P633" i="2"/>
  <c r="O633" i="2"/>
  <c r="N633" i="2"/>
  <c r="M633" i="2"/>
  <c r="AA361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A615" i="2"/>
  <c r="Q615" i="2"/>
  <c r="P615" i="2"/>
  <c r="O615" i="2"/>
  <c r="N615" i="2"/>
  <c r="M615" i="2"/>
  <c r="AA612" i="2"/>
  <c r="Q612" i="2"/>
  <c r="P612" i="2"/>
  <c r="O612" i="2"/>
  <c r="N612" i="2"/>
  <c r="M612" i="2"/>
  <c r="AA581" i="2"/>
  <c r="Q581" i="2"/>
  <c r="P581" i="2"/>
  <c r="O581" i="2"/>
  <c r="N581" i="2"/>
  <c r="M581" i="2"/>
  <c r="AA646" i="2"/>
  <c r="Q646" i="2"/>
  <c r="P646" i="2"/>
  <c r="O646" i="2"/>
  <c r="N646" i="2"/>
  <c r="M646" i="2"/>
  <c r="AA586" i="2"/>
  <c r="Q586" i="2"/>
  <c r="P586" i="2"/>
  <c r="O586" i="2"/>
  <c r="N586" i="2"/>
  <c r="M586" i="2"/>
  <c r="AA620" i="2"/>
  <c r="Q620" i="2"/>
  <c r="P620" i="2"/>
  <c r="O620" i="2"/>
  <c r="N620" i="2"/>
  <c r="M620" i="2"/>
  <c r="AA608" i="2"/>
  <c r="Q608" i="2"/>
  <c r="P608" i="2"/>
  <c r="O608" i="2"/>
  <c r="N608" i="2"/>
  <c r="M608" i="2"/>
  <c r="AA632" i="2"/>
  <c r="Q632" i="2"/>
  <c r="P632" i="2"/>
  <c r="O632" i="2"/>
  <c r="N632" i="2"/>
  <c r="M632" i="2"/>
  <c r="AA607" i="2"/>
  <c r="Q607" i="2"/>
  <c r="P607" i="2"/>
  <c r="O607" i="2"/>
  <c r="N607" i="2"/>
  <c r="M607" i="2"/>
  <c r="AA543" i="2"/>
  <c r="Q543" i="2"/>
  <c r="P543" i="2"/>
  <c r="O543" i="2"/>
  <c r="N543" i="2"/>
  <c r="M543" i="2"/>
  <c r="AA614" i="2"/>
  <c r="Q614" i="2"/>
  <c r="P614" i="2"/>
  <c r="O614" i="2"/>
  <c r="N614" i="2"/>
  <c r="M614" i="2"/>
  <c r="AA425" i="2"/>
  <c r="AA557" i="2"/>
  <c r="Q557" i="2"/>
  <c r="P557" i="2"/>
  <c r="O557" i="2"/>
  <c r="N557" i="2"/>
  <c r="M557" i="2"/>
  <c r="AA473" i="2"/>
  <c r="Q473" i="2"/>
  <c r="P473" i="2"/>
  <c r="O473" i="2"/>
  <c r="N473" i="2"/>
  <c r="M473" i="2"/>
  <c r="AA624" i="2"/>
  <c r="Q624" i="2"/>
  <c r="P624" i="2"/>
  <c r="O624" i="2"/>
  <c r="N624" i="2"/>
  <c r="M624" i="2"/>
  <c r="AA625" i="2"/>
  <c r="Q625" i="2"/>
  <c r="P625" i="2"/>
  <c r="O625" i="2"/>
  <c r="N625" i="2"/>
  <c r="M625" i="2"/>
  <c r="AA616" i="2"/>
  <c r="Q616" i="2"/>
  <c r="P616" i="2"/>
  <c r="O616" i="2"/>
  <c r="N616" i="2"/>
  <c r="M616" i="2"/>
  <c r="AA603" i="2"/>
  <c r="Q603" i="2"/>
  <c r="P603" i="2"/>
  <c r="O603" i="2"/>
  <c r="N603" i="2"/>
  <c r="M603" i="2"/>
  <c r="AA540" i="2"/>
  <c r="Q540" i="2"/>
  <c r="P540" i="2"/>
  <c r="O540" i="2"/>
  <c r="N540" i="2"/>
  <c r="M540" i="2"/>
  <c r="AA619" i="2"/>
  <c r="Q619" i="2"/>
  <c r="P619" i="2"/>
  <c r="O619" i="2"/>
  <c r="N619" i="2"/>
  <c r="M619" i="2"/>
  <c r="AA360" i="2"/>
  <c r="AA591" i="2"/>
  <c r="Q591" i="2"/>
  <c r="P591" i="2"/>
  <c r="O591" i="2"/>
  <c r="N591" i="2"/>
  <c r="M591" i="2"/>
  <c r="AA538" i="2"/>
  <c r="AA597" i="2"/>
  <c r="Q597" i="2"/>
  <c r="P597" i="2"/>
  <c r="O597" i="2"/>
  <c r="N597" i="2"/>
  <c r="M597" i="2"/>
  <c r="AA525" i="2"/>
  <c r="AA613" i="2"/>
  <c r="Q613" i="2"/>
  <c r="P613" i="2"/>
  <c r="O613" i="2"/>
  <c r="N613" i="2"/>
  <c r="M613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A595" i="2"/>
  <c r="Q595" i="2"/>
  <c r="P595" i="2"/>
  <c r="O595" i="2"/>
  <c r="N595" i="2"/>
  <c r="M595" i="2"/>
  <c r="AA563" i="2"/>
  <c r="Q563" i="2"/>
  <c r="P563" i="2"/>
  <c r="O563" i="2"/>
  <c r="N563" i="2"/>
  <c r="M563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A601" i="2"/>
  <c r="Q601" i="2"/>
  <c r="P601" i="2"/>
  <c r="O601" i="2"/>
  <c r="N601" i="2"/>
  <c r="M601" i="2"/>
  <c r="AA573" i="2"/>
  <c r="Q573" i="2"/>
  <c r="P573" i="2"/>
  <c r="O573" i="2"/>
  <c r="N573" i="2"/>
  <c r="M573" i="2"/>
  <c r="AA610" i="2"/>
  <c r="Q610" i="2"/>
  <c r="P610" i="2"/>
  <c r="O610" i="2"/>
  <c r="N610" i="2"/>
  <c r="M610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A559" i="2"/>
  <c r="AA604" i="2"/>
  <c r="Q604" i="2"/>
  <c r="P604" i="2"/>
  <c r="O604" i="2"/>
  <c r="N604" i="2"/>
  <c r="M604" i="2"/>
  <c r="AA602" i="2"/>
  <c r="Q602" i="2"/>
  <c r="P602" i="2"/>
  <c r="O602" i="2"/>
  <c r="N602" i="2"/>
  <c r="M602" i="2"/>
  <c r="AA496" i="2"/>
  <c r="Q496" i="2"/>
  <c r="P496" i="2"/>
  <c r="O496" i="2"/>
  <c r="N496" i="2"/>
  <c r="M496" i="2"/>
  <c r="AA593" i="2"/>
  <c r="Q593" i="2"/>
  <c r="P593" i="2"/>
  <c r="O593" i="2"/>
  <c r="N593" i="2"/>
  <c r="M593" i="2"/>
  <c r="AA636" i="2"/>
  <c r="Q636" i="2"/>
  <c r="P636" i="2"/>
  <c r="O636" i="2"/>
  <c r="N636" i="2"/>
  <c r="M636" i="2"/>
  <c r="AA606" i="2"/>
  <c r="Q606" i="2"/>
  <c r="P606" i="2"/>
  <c r="O606" i="2"/>
  <c r="N606" i="2"/>
  <c r="M606" i="2"/>
  <c r="AA409" i="2"/>
  <c r="AA589" i="2"/>
  <c r="Q589" i="2"/>
  <c r="P589" i="2"/>
  <c r="O589" i="2"/>
  <c r="N589" i="2"/>
  <c r="M589" i="2"/>
  <c r="AA531" i="2"/>
  <c r="Q531" i="2"/>
  <c r="P531" i="2"/>
  <c r="O531" i="2"/>
  <c r="N531" i="2"/>
  <c r="M531" i="2"/>
  <c r="AA622" i="2"/>
  <c r="Q622" i="2"/>
  <c r="P622" i="2"/>
  <c r="O622" i="2"/>
  <c r="N622" i="2"/>
  <c r="M622" i="2"/>
  <c r="AA629" i="2"/>
  <c r="Q629" i="2"/>
  <c r="P629" i="2"/>
  <c r="O629" i="2"/>
  <c r="N629" i="2"/>
  <c r="M629" i="2"/>
  <c r="AA577" i="2"/>
  <c r="Q577" i="2"/>
  <c r="P577" i="2"/>
  <c r="O577" i="2"/>
  <c r="N577" i="2"/>
  <c r="M577" i="2"/>
  <c r="AA547" i="2"/>
  <c r="Q547" i="2"/>
  <c r="P547" i="2"/>
  <c r="O547" i="2"/>
  <c r="N547" i="2"/>
  <c r="M54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A266" i="2"/>
  <c r="AA342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A298" i="2"/>
  <c r="Q298" i="2"/>
  <c r="P298" i="2"/>
  <c r="O298" i="2"/>
  <c r="N298" i="2"/>
  <c r="M298" i="2"/>
  <c r="AA453" i="2"/>
  <c r="Q453" i="2"/>
  <c r="P453" i="2"/>
  <c r="O453" i="2"/>
  <c r="N453" i="2"/>
  <c r="M453" i="2"/>
  <c r="AA592" i="2"/>
  <c r="Q592" i="2"/>
  <c r="P592" i="2"/>
  <c r="O592" i="2"/>
  <c r="N592" i="2"/>
  <c r="M592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A584" i="2"/>
  <c r="Q584" i="2"/>
  <c r="P584" i="2"/>
  <c r="O584" i="2"/>
  <c r="N584" i="2"/>
  <c r="M584" i="2"/>
  <c r="AA587" i="2"/>
  <c r="Q587" i="2"/>
  <c r="P587" i="2"/>
  <c r="O587" i="2"/>
  <c r="N587" i="2"/>
  <c r="M587" i="2"/>
  <c r="AA611" i="2"/>
  <c r="Q611" i="2"/>
  <c r="P611" i="2"/>
  <c r="O611" i="2"/>
  <c r="N611" i="2"/>
  <c r="M611" i="2"/>
  <c r="AA578" i="2"/>
  <c r="Q578" i="2"/>
  <c r="P578" i="2"/>
  <c r="O578" i="2"/>
  <c r="N578" i="2"/>
  <c r="M578" i="2"/>
  <c r="AA378" i="2"/>
  <c r="Q378" i="2"/>
  <c r="P378" i="2"/>
  <c r="O378" i="2"/>
  <c r="N378" i="2"/>
  <c r="M378" i="2"/>
  <c r="AA462" i="2"/>
  <c r="Q462" i="2"/>
  <c r="P462" i="2"/>
  <c r="O462" i="2"/>
  <c r="N462" i="2"/>
  <c r="M462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A498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A549" i="2"/>
  <c r="Q549" i="2"/>
  <c r="P549" i="2"/>
  <c r="O549" i="2"/>
  <c r="N549" i="2"/>
  <c r="M549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A630" i="2"/>
  <c r="Q630" i="2"/>
  <c r="P630" i="2"/>
  <c r="O630" i="2"/>
  <c r="N630" i="2"/>
  <c r="M630" i="2"/>
  <c r="AA484" i="2"/>
  <c r="AA564" i="2"/>
  <c r="Q564" i="2"/>
  <c r="P564" i="2"/>
  <c r="O564" i="2"/>
  <c r="N564" i="2"/>
  <c r="M564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A571" i="2"/>
  <c r="Q571" i="2"/>
  <c r="P571" i="2"/>
  <c r="O571" i="2"/>
  <c r="N571" i="2"/>
  <c r="M571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A579" i="2"/>
  <c r="Q579" i="2"/>
  <c r="P579" i="2"/>
  <c r="O579" i="2"/>
  <c r="N579" i="2"/>
  <c r="M579" i="2"/>
  <c r="AA561" i="2"/>
  <c r="Q561" i="2"/>
  <c r="P561" i="2"/>
  <c r="O561" i="2"/>
  <c r="N561" i="2"/>
  <c r="M561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A487" i="2"/>
  <c r="Q487" i="2"/>
  <c r="P487" i="2"/>
  <c r="O487" i="2"/>
  <c r="N487" i="2"/>
  <c r="M487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A420" i="2"/>
  <c r="Q420" i="2"/>
  <c r="P420" i="2"/>
  <c r="O420" i="2"/>
  <c r="N420" i="2"/>
  <c r="M420" i="2"/>
  <c r="AA530" i="2"/>
  <c r="Q530" i="2"/>
  <c r="P530" i="2"/>
  <c r="O530" i="2"/>
  <c r="N530" i="2"/>
  <c r="M530" i="2"/>
  <c r="AA554" i="2"/>
  <c r="Q554" i="2"/>
  <c r="P554" i="2"/>
  <c r="O554" i="2"/>
  <c r="N554" i="2"/>
  <c r="M554" i="2"/>
  <c r="AA599" i="2"/>
  <c r="Q599" i="2"/>
  <c r="P599" i="2"/>
  <c r="O599" i="2"/>
  <c r="N599" i="2"/>
  <c r="M599" i="2"/>
  <c r="AA574" i="2"/>
  <c r="Q574" i="2"/>
  <c r="P574" i="2"/>
  <c r="O574" i="2"/>
  <c r="N574" i="2"/>
  <c r="M574" i="2"/>
  <c r="AA562" i="2"/>
  <c r="Q562" i="2"/>
  <c r="P562" i="2"/>
  <c r="O562" i="2"/>
  <c r="N562" i="2"/>
  <c r="M562" i="2"/>
  <c r="AA481" i="2"/>
  <c r="Q481" i="2"/>
  <c r="P481" i="2"/>
  <c r="O481" i="2"/>
  <c r="N481" i="2"/>
  <c r="M481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A470" i="2"/>
  <c r="Q470" i="2"/>
  <c r="P470" i="2"/>
  <c r="O470" i="2"/>
  <c r="N470" i="2"/>
  <c r="M470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A546" i="2"/>
  <c r="Q546" i="2"/>
  <c r="P546" i="2"/>
  <c r="O546" i="2"/>
  <c r="N546" i="2"/>
  <c r="M546" i="2"/>
  <c r="AA363" i="2"/>
  <c r="Q363" i="2"/>
  <c r="P363" i="2"/>
  <c r="O363" i="2"/>
  <c r="N363" i="2"/>
  <c r="M363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A580" i="2"/>
  <c r="Q580" i="2"/>
  <c r="P580" i="2"/>
  <c r="O580" i="2"/>
  <c r="N580" i="2"/>
  <c r="M580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A576" i="2"/>
  <c r="Q576" i="2"/>
  <c r="P576" i="2"/>
  <c r="O576" i="2"/>
  <c r="N576" i="2"/>
  <c r="M576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A396" i="2"/>
  <c r="Q396" i="2"/>
  <c r="P396" i="2"/>
  <c r="O396" i="2"/>
  <c r="N396" i="2"/>
  <c r="M396" i="2"/>
  <c r="AA393" i="2"/>
  <c r="Q393" i="2"/>
  <c r="P393" i="2"/>
  <c r="O393" i="2"/>
  <c r="N393" i="2"/>
  <c r="M393" i="2"/>
  <c r="AA545" i="2"/>
  <c r="Q545" i="2"/>
  <c r="P545" i="2"/>
  <c r="O545" i="2"/>
  <c r="N545" i="2"/>
  <c r="M545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A566" i="2"/>
  <c r="Q566" i="2"/>
  <c r="P566" i="2"/>
  <c r="O566" i="2"/>
  <c r="N566" i="2"/>
  <c r="M566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A558" i="2"/>
  <c r="Q558" i="2"/>
  <c r="P558" i="2"/>
  <c r="O558" i="2"/>
  <c r="N558" i="2"/>
  <c r="M558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A544" i="2"/>
  <c r="Q544" i="2"/>
  <c r="P544" i="2"/>
  <c r="O544" i="2"/>
  <c r="N544" i="2"/>
  <c r="M544" i="2"/>
  <c r="AA541" i="2"/>
  <c r="Q541" i="2"/>
  <c r="P541" i="2"/>
  <c r="O541" i="2"/>
  <c r="N541" i="2"/>
  <c r="M541" i="2"/>
  <c r="AA343" i="2"/>
  <c r="AA444" i="2"/>
  <c r="Q444" i="2"/>
  <c r="P444" i="2"/>
  <c r="O444" i="2"/>
  <c r="N444" i="2"/>
  <c r="M444" i="2"/>
  <c r="AA424" i="2"/>
  <c r="Q424" i="2"/>
  <c r="P424" i="2"/>
  <c r="O424" i="2"/>
  <c r="N424" i="2"/>
  <c r="M424" i="2"/>
  <c r="AA533" i="2"/>
  <c r="Q533" i="2"/>
  <c r="P533" i="2"/>
  <c r="O533" i="2"/>
  <c r="N533" i="2"/>
  <c r="M533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A472" i="2"/>
  <c r="Q472" i="2"/>
  <c r="P472" i="2"/>
  <c r="O472" i="2"/>
  <c r="N472" i="2"/>
  <c r="M472" i="2"/>
  <c r="AA489" i="2"/>
  <c r="Q489" i="2"/>
  <c r="P489" i="2"/>
  <c r="O489" i="2"/>
  <c r="N489" i="2"/>
  <c r="M489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A497" i="2"/>
  <c r="AA567" i="2"/>
  <c r="Q567" i="2"/>
  <c r="P567" i="2"/>
  <c r="O567" i="2"/>
  <c r="N567" i="2"/>
  <c r="M567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A502" i="2"/>
  <c r="Q502" i="2"/>
  <c r="P502" i="2"/>
  <c r="O502" i="2"/>
  <c r="N502" i="2"/>
  <c r="M502" i="2"/>
  <c r="AA534" i="2"/>
  <c r="Q534" i="2"/>
  <c r="P534" i="2"/>
  <c r="O534" i="2"/>
  <c r="N534" i="2"/>
  <c r="M534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A527" i="2"/>
  <c r="Q527" i="2"/>
  <c r="P527" i="2"/>
  <c r="O527" i="2"/>
  <c r="N527" i="2"/>
  <c r="M527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A494" i="2"/>
  <c r="Q494" i="2"/>
  <c r="P494" i="2"/>
  <c r="O494" i="2"/>
  <c r="N494" i="2"/>
  <c r="M494" i="2"/>
  <c r="AA532" i="2"/>
  <c r="Q532" i="2"/>
  <c r="P532" i="2"/>
  <c r="O532" i="2"/>
  <c r="N532" i="2"/>
  <c r="M532" i="2"/>
  <c r="AA504" i="2"/>
  <c r="Q504" i="2"/>
  <c r="P504" i="2"/>
  <c r="O504" i="2"/>
  <c r="N504" i="2"/>
  <c r="M504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A483" i="2"/>
  <c r="Q483" i="2"/>
  <c r="P483" i="2"/>
  <c r="O483" i="2"/>
  <c r="N483" i="2"/>
  <c r="M483" i="2"/>
  <c r="AA536" i="2"/>
  <c r="Q536" i="2"/>
  <c r="P536" i="2"/>
  <c r="O536" i="2"/>
  <c r="N536" i="2"/>
  <c r="M536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A499" i="2"/>
  <c r="Q499" i="2"/>
  <c r="P499" i="2"/>
  <c r="O499" i="2"/>
  <c r="N499" i="2"/>
  <c r="M499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A269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A351" i="2"/>
  <c r="Q351" i="2"/>
  <c r="P351" i="2"/>
  <c r="O351" i="2"/>
  <c r="N351" i="2"/>
  <c r="M351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A358" i="2"/>
  <c r="Q358" i="2"/>
  <c r="P358" i="2"/>
  <c r="O358" i="2"/>
  <c r="N358" i="2"/>
  <c r="M358" i="2"/>
  <c r="AA365" i="2"/>
  <c r="Q365" i="2"/>
  <c r="P365" i="2"/>
  <c r="O365" i="2"/>
  <c r="N365" i="2"/>
  <c r="M365" i="2"/>
  <c r="AA437" i="2"/>
  <c r="Q437" i="2"/>
  <c r="P437" i="2"/>
  <c r="O437" i="2"/>
  <c r="N437" i="2"/>
  <c r="M437" i="2"/>
  <c r="AA568" i="2"/>
  <c r="Q568" i="2"/>
  <c r="P568" i="2"/>
  <c r="O568" i="2"/>
  <c r="N568" i="2"/>
  <c r="M568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A515" i="2"/>
  <c r="Q515" i="2"/>
  <c r="P515" i="2"/>
  <c r="O515" i="2"/>
  <c r="N515" i="2"/>
  <c r="M515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A491" i="2"/>
  <c r="Q491" i="2"/>
  <c r="P491" i="2"/>
  <c r="O491" i="2"/>
  <c r="N491" i="2"/>
  <c r="M491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A308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A512" i="2"/>
  <c r="Q512" i="2"/>
  <c r="P512" i="2"/>
  <c r="O512" i="2"/>
  <c r="N512" i="2"/>
  <c r="M512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A373" i="2"/>
  <c r="Q373" i="2"/>
  <c r="P373" i="2"/>
  <c r="O373" i="2"/>
  <c r="N373" i="2"/>
  <c r="M373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A514" i="2"/>
  <c r="Q514" i="2"/>
  <c r="P514" i="2"/>
  <c r="O514" i="2"/>
  <c r="N514" i="2"/>
  <c r="M514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A364" i="2"/>
  <c r="Q364" i="2"/>
  <c r="P364" i="2"/>
  <c r="O364" i="2"/>
  <c r="N364" i="2"/>
  <c r="M364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A539" i="2"/>
  <c r="Q539" i="2"/>
  <c r="P539" i="2"/>
  <c r="O539" i="2"/>
  <c r="N539" i="2"/>
  <c r="M539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A516" i="2"/>
  <c r="Q516" i="2"/>
  <c r="P516" i="2"/>
  <c r="O516" i="2"/>
  <c r="N516" i="2"/>
  <c r="M516" i="2"/>
  <c r="AA356" i="2"/>
  <c r="Q356" i="2"/>
  <c r="P356" i="2"/>
  <c r="O356" i="2"/>
  <c r="N356" i="2"/>
  <c r="M356" i="2"/>
  <c r="AA323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A600" i="2"/>
  <c r="Q600" i="2"/>
  <c r="P600" i="2"/>
  <c r="O600" i="2"/>
  <c r="N600" i="2"/>
  <c r="M600" i="2"/>
  <c r="AA513" i="2"/>
  <c r="Q513" i="2"/>
  <c r="P513" i="2"/>
  <c r="O513" i="2"/>
  <c r="N513" i="2"/>
  <c r="M513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A332" i="2"/>
  <c r="Q332" i="2"/>
  <c r="P332" i="2"/>
  <c r="O332" i="2"/>
  <c r="N332" i="2"/>
  <c r="M332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A443" i="2"/>
  <c r="Q443" i="2"/>
  <c r="P443" i="2"/>
  <c r="O443" i="2"/>
  <c r="N443" i="2"/>
  <c r="M443" i="2"/>
  <c r="AA535" i="2"/>
  <c r="Q535" i="2"/>
  <c r="P535" i="2"/>
  <c r="O535" i="2"/>
  <c r="N535" i="2"/>
  <c r="M53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A517" i="2"/>
  <c r="Q517" i="2"/>
  <c r="P517" i="2"/>
  <c r="O517" i="2"/>
  <c r="N517" i="2"/>
  <c r="M517" i="2"/>
  <c r="AA376" i="2"/>
  <c r="Q376" i="2"/>
  <c r="P376" i="2"/>
  <c r="O376" i="2"/>
  <c r="N376" i="2"/>
  <c r="M376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A458" i="2"/>
  <c r="Q458" i="2"/>
  <c r="P458" i="2"/>
  <c r="O458" i="2"/>
  <c r="N458" i="2"/>
  <c r="M458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A388" i="2"/>
  <c r="Q388" i="2"/>
  <c r="P388" i="2"/>
  <c r="O388" i="2"/>
  <c r="N388" i="2"/>
  <c r="M388" i="2"/>
  <c r="AA256" i="2"/>
  <c r="Q256" i="2"/>
  <c r="P256" i="2"/>
  <c r="O256" i="2"/>
  <c r="N256" i="2"/>
  <c r="M256" i="2"/>
  <c r="AA350" i="2"/>
  <c r="Q350" i="2"/>
  <c r="P350" i="2"/>
  <c r="O350" i="2"/>
  <c r="N350" i="2"/>
  <c r="M350" i="2"/>
  <c r="AA486" i="2"/>
  <c r="Q486" i="2"/>
  <c r="P486" i="2"/>
  <c r="O486" i="2"/>
  <c r="N486" i="2"/>
  <c r="M486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A503" i="2"/>
  <c r="Q503" i="2"/>
  <c r="P503" i="2"/>
  <c r="O503" i="2"/>
  <c r="N503" i="2"/>
  <c r="M503" i="2"/>
  <c r="AA464" i="2"/>
  <c r="Q464" i="2"/>
  <c r="P464" i="2"/>
  <c r="O464" i="2"/>
  <c r="N464" i="2"/>
  <c r="M464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A329" i="2"/>
  <c r="Q329" i="2"/>
  <c r="P329" i="2"/>
  <c r="O329" i="2"/>
  <c r="N329" i="2"/>
  <c r="M329" i="2"/>
  <c r="AA449" i="2"/>
  <c r="Q449" i="2"/>
  <c r="P449" i="2"/>
  <c r="O449" i="2"/>
  <c r="N449" i="2"/>
  <c r="M449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A235" i="2"/>
  <c r="Q235" i="2"/>
  <c r="P235" i="2"/>
  <c r="O235" i="2"/>
  <c r="N235" i="2"/>
  <c r="M235" i="2"/>
  <c r="AA212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A410" i="2"/>
  <c r="Q410" i="2"/>
  <c r="P410" i="2"/>
  <c r="O410" i="2"/>
  <c r="N410" i="2"/>
  <c r="M410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A245" i="2"/>
  <c r="Q245" i="2"/>
  <c r="P245" i="2"/>
  <c r="O245" i="2"/>
  <c r="N245" i="2"/>
  <c r="M245" i="2"/>
  <c r="AA550" i="2"/>
  <c r="Q550" i="2"/>
  <c r="P550" i="2"/>
  <c r="O550" i="2"/>
  <c r="N550" i="2"/>
  <c r="M550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A418" i="2"/>
  <c r="Q418" i="2"/>
  <c r="P418" i="2"/>
  <c r="O418" i="2"/>
  <c r="N418" i="2"/>
  <c r="M418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A471" i="2"/>
  <c r="Q471" i="2"/>
  <c r="P471" i="2"/>
  <c r="O471" i="2"/>
  <c r="N471" i="2"/>
  <c r="M471" i="2"/>
  <c r="AA457" i="2"/>
  <c r="Q457" i="2"/>
  <c r="P457" i="2"/>
  <c r="O457" i="2"/>
  <c r="N457" i="2"/>
  <c r="M457" i="2"/>
  <c r="AA485" i="2"/>
  <c r="Q485" i="2"/>
  <c r="P485" i="2"/>
  <c r="O485" i="2"/>
  <c r="N485" i="2"/>
  <c r="M485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A403" i="2"/>
  <c r="Q403" i="2"/>
  <c r="P403" i="2"/>
  <c r="O403" i="2"/>
  <c r="N403" i="2"/>
  <c r="M403" i="2"/>
  <c r="AA271" i="2"/>
  <c r="Q271" i="2"/>
  <c r="P271" i="2"/>
  <c r="O271" i="2"/>
  <c r="N271" i="2"/>
  <c r="M271" i="2"/>
  <c r="AA590" i="2"/>
  <c r="Q590" i="2"/>
  <c r="P590" i="2"/>
  <c r="O590" i="2"/>
  <c r="N590" i="2"/>
  <c r="M590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A412" i="2"/>
  <c r="Q412" i="2"/>
  <c r="P412" i="2"/>
  <c r="O412" i="2"/>
  <c r="N412" i="2"/>
  <c r="M412" i="2"/>
  <c r="AA505" i="2"/>
  <c r="Q505" i="2"/>
  <c r="P505" i="2"/>
  <c r="O505" i="2"/>
  <c r="N505" i="2"/>
  <c r="M505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A375" i="2"/>
  <c r="Q375" i="2"/>
  <c r="P375" i="2"/>
  <c r="O375" i="2"/>
  <c r="N375" i="2"/>
  <c r="M375" i="2"/>
  <c r="AA435" i="2"/>
  <c r="Q435" i="2"/>
  <c r="P435" i="2"/>
  <c r="O435" i="2"/>
  <c r="N435" i="2"/>
  <c r="M435" i="2"/>
  <c r="AA488" i="2"/>
  <c r="Q488" i="2"/>
  <c r="P488" i="2"/>
  <c r="O488" i="2"/>
  <c r="N488" i="2"/>
  <c r="M488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A404" i="2"/>
  <c r="Q404" i="2"/>
  <c r="P404" i="2"/>
  <c r="O404" i="2"/>
  <c r="N404" i="2"/>
  <c r="M404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A555" i="2"/>
  <c r="Q555" i="2"/>
  <c r="P555" i="2"/>
  <c r="O555" i="2"/>
  <c r="N555" i="2"/>
  <c r="M555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A337" i="2"/>
  <c r="Q337" i="2"/>
  <c r="P337" i="2"/>
  <c r="O337" i="2"/>
  <c r="N337" i="2"/>
  <c r="M337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A423" i="2"/>
  <c r="Q423" i="2"/>
  <c r="P423" i="2"/>
  <c r="O423" i="2"/>
  <c r="N423" i="2"/>
  <c r="M423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A315" i="2"/>
  <c r="Q315" i="2"/>
  <c r="P315" i="2"/>
  <c r="O315" i="2"/>
  <c r="N315" i="2"/>
  <c r="M315" i="2"/>
  <c r="AA408" i="2"/>
  <c r="Q408" i="2"/>
  <c r="P408" i="2"/>
  <c r="O408" i="2"/>
  <c r="N408" i="2"/>
  <c r="M408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A507" i="2"/>
  <c r="AA493" i="2"/>
  <c r="Q493" i="2"/>
  <c r="P493" i="2"/>
  <c r="O493" i="2"/>
  <c r="N493" i="2"/>
  <c r="M493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A249" i="2"/>
  <c r="Q249" i="2"/>
  <c r="P249" i="2"/>
  <c r="O249" i="2"/>
  <c r="N249" i="2"/>
  <c r="M249" i="2"/>
  <c r="AA648" i="2"/>
  <c r="Q648" i="2"/>
  <c r="P648" i="2"/>
  <c r="O648" i="2"/>
  <c r="N648" i="2"/>
  <c r="M648" i="2"/>
  <c r="AA276" i="2"/>
  <c r="Q276" i="2"/>
  <c r="P276" i="2"/>
  <c r="O276" i="2"/>
  <c r="N276" i="2"/>
  <c r="M276" i="2"/>
  <c r="AA450" i="2"/>
  <c r="Q450" i="2"/>
  <c r="P450" i="2"/>
  <c r="O450" i="2"/>
  <c r="N450" i="2"/>
  <c r="M450" i="2"/>
  <c r="AA394" i="2"/>
  <c r="Q394" i="2"/>
  <c r="P394" i="2"/>
  <c r="O394" i="2"/>
  <c r="N394" i="2"/>
  <c r="M394" i="2"/>
  <c r="AA442" i="2"/>
  <c r="Q442" i="2"/>
  <c r="P442" i="2"/>
  <c r="O442" i="2"/>
  <c r="N442" i="2"/>
  <c r="M442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A370" i="2"/>
  <c r="Q370" i="2"/>
  <c r="P370" i="2"/>
  <c r="O370" i="2"/>
  <c r="N370" i="2"/>
  <c r="M370" i="2"/>
  <c r="AA419" i="2"/>
  <c r="Q419" i="2"/>
  <c r="P419" i="2"/>
  <c r="O419" i="2"/>
  <c r="N419" i="2"/>
  <c r="M419" i="2"/>
  <c r="AA228" i="2"/>
  <c r="Q228" i="2"/>
  <c r="P228" i="2"/>
  <c r="O228" i="2"/>
  <c r="N228" i="2"/>
  <c r="M228" i="2"/>
  <c r="AA391" i="2"/>
  <c r="Q391" i="2"/>
  <c r="P391" i="2"/>
  <c r="O391" i="2"/>
  <c r="N391" i="2"/>
  <c r="M391" i="2"/>
  <c r="AA478" i="2"/>
  <c r="Q478" i="2"/>
  <c r="P478" i="2"/>
  <c r="O478" i="2"/>
  <c r="N478" i="2"/>
  <c r="M478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A321" i="2"/>
  <c r="Q321" i="2"/>
  <c r="P321" i="2"/>
  <c r="O321" i="2"/>
  <c r="N321" i="2"/>
  <c r="M321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A349" i="2"/>
  <c r="Q349" i="2"/>
  <c r="P349" i="2"/>
  <c r="O349" i="2"/>
  <c r="N349" i="2"/>
  <c r="M349" i="2"/>
  <c r="AA421" i="2"/>
  <c r="Q421" i="2"/>
  <c r="P421" i="2"/>
  <c r="O421" i="2"/>
  <c r="N421" i="2"/>
  <c r="M421" i="2"/>
  <c r="AA310" i="2"/>
  <c r="Q310" i="2"/>
  <c r="P310" i="2"/>
  <c r="O310" i="2"/>
  <c r="N310" i="2"/>
  <c r="M310" i="2"/>
  <c r="AA414" i="2"/>
  <c r="Q414" i="2"/>
  <c r="P414" i="2"/>
  <c r="O414" i="2"/>
  <c r="N414" i="2"/>
  <c r="M414" i="2"/>
  <c r="AA379" i="2"/>
  <c r="Q379" i="2"/>
  <c r="P379" i="2"/>
  <c r="O379" i="2"/>
  <c r="N379" i="2"/>
  <c r="M379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A211" i="2"/>
  <c r="Q211" i="2"/>
  <c r="P211" i="2"/>
  <c r="O211" i="2"/>
  <c r="N211" i="2"/>
  <c r="M211" i="2"/>
  <c r="AA336" i="2"/>
  <c r="Q336" i="2"/>
  <c r="P336" i="2"/>
  <c r="O336" i="2"/>
  <c r="N336" i="2"/>
  <c r="M336" i="2"/>
  <c r="AA347" i="2"/>
  <c r="Q347" i="2"/>
  <c r="P347" i="2"/>
  <c r="O347" i="2"/>
  <c r="N347" i="2"/>
  <c r="M347" i="2"/>
  <c r="AA392" i="2"/>
  <c r="Q392" i="2"/>
  <c r="P392" i="2"/>
  <c r="O392" i="2"/>
  <c r="N392" i="2"/>
  <c r="M392" i="2"/>
  <c r="AA314" i="2"/>
  <c r="Q314" i="2"/>
  <c r="P314" i="2"/>
  <c r="O314" i="2"/>
  <c r="N314" i="2"/>
  <c r="M314" i="2"/>
  <c r="AA416" i="2"/>
  <c r="Q416" i="2"/>
  <c r="P416" i="2"/>
  <c r="O416" i="2"/>
  <c r="N416" i="2"/>
  <c r="M416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A385" i="2"/>
  <c r="Q385" i="2"/>
  <c r="P385" i="2"/>
  <c r="O385" i="2"/>
  <c r="N385" i="2"/>
  <c r="M385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A213" i="2"/>
  <c r="Q213" i="2"/>
  <c r="P213" i="2"/>
  <c r="O213" i="2"/>
  <c r="N213" i="2"/>
  <c r="M213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A316" i="2"/>
  <c r="Q316" i="2"/>
  <c r="P316" i="2"/>
  <c r="O316" i="2"/>
  <c r="N316" i="2"/>
  <c r="M316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A340" i="2"/>
  <c r="Q340" i="2"/>
  <c r="P340" i="2"/>
  <c r="O340" i="2"/>
  <c r="N340" i="2"/>
  <c r="M340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A319" i="2"/>
  <c r="Q319" i="2"/>
  <c r="P319" i="2"/>
  <c r="O319" i="2"/>
  <c r="N319" i="2"/>
  <c r="M31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A215" i="2"/>
  <c r="Q215" i="2"/>
  <c r="P215" i="2"/>
  <c r="O215" i="2"/>
  <c r="N215" i="2"/>
  <c r="M215" i="2"/>
  <c r="AA333" i="2"/>
  <c r="Q333" i="2"/>
  <c r="P333" i="2"/>
  <c r="O333" i="2"/>
  <c r="N333" i="2"/>
  <c r="M333" i="2"/>
  <c r="AA304" i="2"/>
  <c r="Q304" i="2"/>
  <c r="P304" i="2"/>
  <c r="O304" i="2"/>
  <c r="N304" i="2"/>
  <c r="M30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A284" i="2"/>
  <c r="Q284" i="2"/>
  <c r="P284" i="2"/>
  <c r="O284" i="2"/>
  <c r="N284" i="2"/>
  <c r="M284" i="2"/>
  <c r="AA229" i="2"/>
  <c r="Q229" i="2"/>
  <c r="P229" i="2"/>
  <c r="O229" i="2"/>
  <c r="N229" i="2"/>
  <c r="M229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A260" i="2"/>
  <c r="Q260" i="2"/>
  <c r="P260" i="2"/>
  <c r="O260" i="2"/>
  <c r="N260" i="2"/>
  <c r="M260" i="2"/>
  <c r="AA389" i="2"/>
  <c r="Q389" i="2"/>
  <c r="P389" i="2"/>
  <c r="O389" i="2"/>
  <c r="N389" i="2"/>
  <c r="M389" i="2"/>
  <c r="AA387" i="2"/>
  <c r="Q387" i="2"/>
  <c r="P387" i="2"/>
  <c r="O387" i="2"/>
  <c r="N387" i="2"/>
  <c r="M387" i="2"/>
  <c r="AA201" i="2"/>
  <c r="Q201" i="2"/>
  <c r="P201" i="2"/>
  <c r="O201" i="2"/>
  <c r="N201" i="2"/>
  <c r="M201" i="2"/>
  <c r="AA289" i="2"/>
  <c r="Q289" i="2"/>
  <c r="P289" i="2"/>
  <c r="O289" i="2"/>
  <c r="N289" i="2"/>
  <c r="M289" i="2"/>
  <c r="AA341" i="2"/>
  <c r="Q341" i="2"/>
  <c r="P341" i="2"/>
  <c r="O341" i="2"/>
  <c r="N341" i="2"/>
  <c r="M341" i="2"/>
  <c r="AA366" i="2"/>
  <c r="Q366" i="2"/>
  <c r="P366" i="2"/>
  <c r="O366" i="2"/>
  <c r="N366" i="2"/>
  <c r="M366" i="2"/>
  <c r="AA325" i="2"/>
  <c r="Q325" i="2"/>
  <c r="P325" i="2"/>
  <c r="O325" i="2"/>
  <c r="N325" i="2"/>
  <c r="M325" i="2"/>
  <c r="AA189" i="2"/>
  <c r="Q189" i="2"/>
  <c r="P189" i="2"/>
  <c r="O189" i="2"/>
  <c r="N189" i="2"/>
  <c r="M189" i="2"/>
  <c r="AA205" i="2"/>
  <c r="Q205" i="2"/>
  <c r="P205" i="2"/>
  <c r="O205" i="2"/>
  <c r="N205" i="2"/>
  <c r="M205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A334" i="2"/>
  <c r="Q334" i="2"/>
  <c r="P334" i="2"/>
  <c r="O334" i="2"/>
  <c r="N334" i="2"/>
  <c r="M33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A281" i="2"/>
  <c r="Q281" i="2"/>
  <c r="P281" i="2"/>
  <c r="O281" i="2"/>
  <c r="N281" i="2"/>
  <c r="M281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A474" i="2"/>
  <c r="Q474" i="2"/>
  <c r="P474" i="2"/>
  <c r="O474" i="2"/>
  <c r="N474" i="2"/>
  <c r="M474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A445" i="2"/>
  <c r="Q445" i="2"/>
  <c r="P445" i="2"/>
  <c r="O445" i="2"/>
  <c r="N445" i="2"/>
  <c r="M445" i="2"/>
  <c r="AA145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A252" i="2"/>
  <c r="Q252" i="2"/>
  <c r="P252" i="2"/>
  <c r="O252" i="2"/>
  <c r="N252" i="2"/>
  <c r="M252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A322" i="2"/>
  <c r="Q322" i="2"/>
  <c r="P322" i="2"/>
  <c r="O322" i="2"/>
  <c r="N322" i="2"/>
  <c r="M322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A270" i="2"/>
  <c r="Q270" i="2"/>
  <c r="P270" i="2"/>
  <c r="O270" i="2"/>
  <c r="N270" i="2"/>
  <c r="M270" i="2"/>
  <c r="AA324" i="2"/>
  <c r="Q324" i="2"/>
  <c r="P324" i="2"/>
  <c r="O324" i="2"/>
  <c r="N324" i="2"/>
  <c r="M324" i="2"/>
  <c r="AA143" i="2"/>
  <c r="Q143" i="2"/>
  <c r="P143" i="2"/>
  <c r="O143" i="2"/>
  <c r="N143" i="2"/>
  <c r="M143" i="2"/>
  <c r="AA168" i="2"/>
  <c r="Q168" i="2"/>
  <c r="P168" i="2"/>
  <c r="O168" i="2"/>
  <c r="N168" i="2"/>
  <c r="M168" i="2"/>
  <c r="AA178" i="2"/>
  <c r="Q178" i="2"/>
  <c r="P178" i="2"/>
  <c r="O178" i="2"/>
  <c r="N178" i="2"/>
  <c r="M178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A224" i="2"/>
  <c r="Q224" i="2"/>
  <c r="P224" i="2"/>
  <c r="O224" i="2"/>
  <c r="N224" i="2"/>
  <c r="M224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A116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A460" i="2"/>
  <c r="Q460" i="2"/>
  <c r="P460" i="2"/>
  <c r="O460" i="2"/>
  <c r="N460" i="2"/>
  <c r="M460" i="2"/>
  <c r="AA231" i="2"/>
  <c r="Q231" i="2"/>
  <c r="P231" i="2"/>
  <c r="O231" i="2"/>
  <c r="N231" i="2"/>
  <c r="M231" i="2"/>
  <c r="AA160" i="2"/>
  <c r="Q160" i="2"/>
  <c r="P160" i="2"/>
  <c r="O160" i="2"/>
  <c r="N160" i="2"/>
  <c r="M160" i="2"/>
  <c r="AA359" i="2"/>
  <c r="Q359" i="2"/>
  <c r="P359" i="2"/>
  <c r="O359" i="2"/>
  <c r="N359" i="2"/>
  <c r="M359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A232" i="2"/>
  <c r="AA253" i="2"/>
  <c r="Q253" i="2"/>
  <c r="P253" i="2"/>
  <c r="O253" i="2"/>
  <c r="N253" i="2"/>
  <c r="M253" i="2"/>
  <c r="AA174" i="2"/>
  <c r="Q174" i="2"/>
  <c r="P174" i="2"/>
  <c r="O174" i="2"/>
  <c r="N174" i="2"/>
  <c r="M174" i="2"/>
  <c r="AA263" i="2"/>
  <c r="Q263" i="2"/>
  <c r="P263" i="2"/>
  <c r="O263" i="2"/>
  <c r="N263" i="2"/>
  <c r="M263" i="2"/>
  <c r="AA144" i="2"/>
  <c r="Q144" i="2"/>
  <c r="P144" i="2"/>
  <c r="O144" i="2"/>
  <c r="N144" i="2"/>
  <c r="M144" i="2"/>
  <c r="AA273" i="2"/>
  <c r="Q273" i="2"/>
  <c r="P273" i="2"/>
  <c r="O273" i="2"/>
  <c r="N273" i="2"/>
  <c r="M273" i="2"/>
  <c r="AA101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A176" i="2"/>
  <c r="Q176" i="2"/>
  <c r="P176" i="2"/>
  <c r="O176" i="2"/>
  <c r="N176" i="2"/>
  <c r="M176" i="2"/>
  <c r="AA288" i="2"/>
  <c r="Q288" i="2"/>
  <c r="P288" i="2"/>
  <c r="O288" i="2"/>
  <c r="N288" i="2"/>
  <c r="M288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A227" i="2"/>
  <c r="Q227" i="2"/>
  <c r="P227" i="2"/>
  <c r="O227" i="2"/>
  <c r="N227" i="2"/>
  <c r="M227" i="2"/>
  <c r="AA119" i="2"/>
  <c r="Q119" i="2"/>
  <c r="P119" i="2"/>
  <c r="O119" i="2"/>
  <c r="N119" i="2"/>
  <c r="M119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A251" i="2"/>
  <c r="Q251" i="2"/>
  <c r="P251" i="2"/>
  <c r="O251" i="2"/>
  <c r="N251" i="2"/>
  <c r="M251" i="2"/>
  <c r="AA236" i="2"/>
  <c r="Q236" i="2"/>
  <c r="P236" i="2"/>
  <c r="O236" i="2"/>
  <c r="N236" i="2"/>
  <c r="M236" i="2"/>
  <c r="AA150" i="2"/>
  <c r="Q150" i="2"/>
  <c r="P150" i="2"/>
  <c r="O150" i="2"/>
  <c r="N150" i="2"/>
  <c r="M150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A262" i="2"/>
  <c r="Q262" i="2"/>
  <c r="P262" i="2"/>
  <c r="O262" i="2"/>
  <c r="N262" i="2"/>
  <c r="M262" i="2"/>
  <c r="AA184" i="2"/>
  <c r="Q184" i="2"/>
  <c r="P184" i="2"/>
  <c r="O184" i="2"/>
  <c r="N184" i="2"/>
  <c r="M184" i="2"/>
  <c r="AA226" i="2"/>
  <c r="Q226" i="2"/>
  <c r="P226" i="2"/>
  <c r="O226" i="2"/>
  <c r="N226" i="2"/>
  <c r="M226" i="2"/>
  <c r="AA265" i="2"/>
  <c r="Q265" i="2"/>
  <c r="P265" i="2"/>
  <c r="O265" i="2"/>
  <c r="N265" i="2"/>
  <c r="M265" i="2"/>
  <c r="AA277" i="2"/>
  <c r="Q277" i="2"/>
  <c r="P277" i="2"/>
  <c r="O277" i="2"/>
  <c r="N277" i="2"/>
  <c r="M277" i="2"/>
  <c r="AA278" i="2"/>
  <c r="Q278" i="2"/>
  <c r="P278" i="2"/>
  <c r="O278" i="2"/>
  <c r="N278" i="2"/>
  <c r="M278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A113" i="2"/>
  <c r="AA170" i="2"/>
  <c r="Q170" i="2"/>
  <c r="P170" i="2"/>
  <c r="O170" i="2"/>
  <c r="N170" i="2"/>
  <c r="M170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A222" i="2"/>
  <c r="Q222" i="2"/>
  <c r="P222" i="2"/>
  <c r="O222" i="2"/>
  <c r="N222" i="2"/>
  <c r="M222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A220" i="2"/>
  <c r="Q220" i="2"/>
  <c r="P220" i="2"/>
  <c r="O220" i="2"/>
  <c r="N220" i="2"/>
  <c r="M220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A272" i="2"/>
  <c r="Q272" i="2"/>
  <c r="P272" i="2"/>
  <c r="O272" i="2"/>
  <c r="N272" i="2"/>
  <c r="M272" i="2"/>
  <c r="AA238" i="2"/>
  <c r="Q238" i="2"/>
  <c r="P238" i="2"/>
  <c r="O238" i="2"/>
  <c r="N238" i="2"/>
  <c r="M238" i="2"/>
  <c r="AA103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A255" i="2"/>
  <c r="Q255" i="2"/>
  <c r="P255" i="2"/>
  <c r="O255" i="2"/>
  <c r="N255" i="2"/>
  <c r="M255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A290" i="2"/>
  <c r="Q290" i="2"/>
  <c r="P290" i="2"/>
  <c r="O290" i="2"/>
  <c r="N290" i="2"/>
  <c r="M290" i="2"/>
  <c r="AA163" i="2"/>
  <c r="Q163" i="2"/>
  <c r="P163" i="2"/>
  <c r="O163" i="2"/>
  <c r="N163" i="2"/>
  <c r="M163" i="2"/>
  <c r="AA139" i="2"/>
  <c r="Q139" i="2"/>
  <c r="P139" i="2"/>
  <c r="O139" i="2"/>
  <c r="N139" i="2"/>
  <c r="M139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A287" i="2"/>
  <c r="Q287" i="2"/>
  <c r="P287" i="2"/>
  <c r="O287" i="2"/>
  <c r="N287" i="2"/>
  <c r="M287" i="2"/>
  <c r="AA192" i="2"/>
  <c r="Q192" i="2"/>
  <c r="P192" i="2"/>
  <c r="O192" i="2"/>
  <c r="N192" i="2"/>
  <c r="M192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A248" i="2"/>
  <c r="Q248" i="2"/>
  <c r="P248" i="2"/>
  <c r="O248" i="2"/>
  <c r="N248" i="2"/>
  <c r="M248" i="2"/>
  <c r="AA175" i="2"/>
  <c r="Q175" i="2"/>
  <c r="P175" i="2"/>
  <c r="O175" i="2"/>
  <c r="N175" i="2"/>
  <c r="M175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A81" i="2"/>
  <c r="AA115" i="2"/>
  <c r="Q115" i="2"/>
  <c r="P115" i="2"/>
  <c r="O115" i="2"/>
  <c r="N115" i="2"/>
  <c r="M115" i="2"/>
  <c r="AA242" i="2"/>
  <c r="Q242" i="2"/>
  <c r="P242" i="2"/>
  <c r="O242" i="2"/>
  <c r="N242" i="2"/>
  <c r="M242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A185" i="2"/>
  <c r="Q185" i="2"/>
  <c r="P185" i="2"/>
  <c r="O185" i="2"/>
  <c r="N185" i="2"/>
  <c r="M185" i="2"/>
  <c r="AA279" i="2"/>
  <c r="Q279" i="2"/>
  <c r="P279" i="2"/>
  <c r="O279" i="2"/>
  <c r="N279" i="2"/>
  <c r="M279" i="2"/>
  <c r="AA131" i="2"/>
  <c r="Q131" i="2"/>
  <c r="P131" i="2"/>
  <c r="O131" i="2"/>
  <c r="N131" i="2"/>
  <c r="M131" i="2"/>
  <c r="AA511" i="2"/>
  <c r="Q511" i="2"/>
  <c r="P511" i="2"/>
  <c r="O511" i="2"/>
  <c r="N511" i="2"/>
  <c r="M511" i="2"/>
  <c r="AA234" i="2"/>
  <c r="Q234" i="2"/>
  <c r="P234" i="2"/>
  <c r="O234" i="2"/>
  <c r="N234" i="2"/>
  <c r="M234" i="2"/>
  <c r="AA121" i="2"/>
  <c r="Q121" i="2"/>
  <c r="P121" i="2"/>
  <c r="O121" i="2"/>
  <c r="N121" i="2"/>
  <c r="M121" i="2"/>
  <c r="AA152" i="2"/>
  <c r="Q152" i="2"/>
  <c r="P152" i="2"/>
  <c r="O152" i="2"/>
  <c r="N152" i="2"/>
  <c r="M152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A135" i="2"/>
  <c r="Q135" i="2"/>
  <c r="P135" i="2"/>
  <c r="O135" i="2"/>
  <c r="N135" i="2"/>
  <c r="M135" i="2"/>
  <c r="AA202" i="2"/>
  <c r="Q202" i="2"/>
  <c r="P202" i="2"/>
  <c r="O202" i="2"/>
  <c r="N202" i="2"/>
  <c r="M202" i="2"/>
  <c r="AA214" i="2"/>
  <c r="Q214" i="2"/>
  <c r="P214" i="2"/>
  <c r="O214" i="2"/>
  <c r="N214" i="2"/>
  <c r="M214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A182" i="2"/>
  <c r="Q182" i="2"/>
  <c r="P182" i="2"/>
  <c r="O182" i="2"/>
  <c r="N182" i="2"/>
  <c r="M182" i="2"/>
  <c r="AA179" i="2"/>
  <c r="Q179" i="2"/>
  <c r="P179" i="2"/>
  <c r="O179" i="2"/>
  <c r="N179" i="2"/>
  <c r="M179" i="2"/>
  <c r="AA141" i="2"/>
  <c r="Q141" i="2"/>
  <c r="P141" i="2"/>
  <c r="O141" i="2"/>
  <c r="N141" i="2"/>
  <c r="M141" i="2"/>
  <c r="AA217" i="2"/>
  <c r="Q217" i="2"/>
  <c r="P217" i="2"/>
  <c r="O217" i="2"/>
  <c r="N217" i="2"/>
  <c r="M217" i="2"/>
  <c r="AA151" i="2"/>
  <c r="Q151" i="2"/>
  <c r="P151" i="2"/>
  <c r="O151" i="2"/>
  <c r="N151" i="2"/>
  <c r="M151" i="2"/>
  <c r="AA89" i="2"/>
  <c r="AA241" i="2"/>
  <c r="Q241" i="2"/>
  <c r="P241" i="2"/>
  <c r="O241" i="2"/>
  <c r="N241" i="2"/>
  <c r="M241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A84" i="2"/>
  <c r="AA171" i="2"/>
  <c r="Q171" i="2"/>
  <c r="P171" i="2"/>
  <c r="O171" i="2"/>
  <c r="N171" i="2"/>
  <c r="M171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A95" i="2"/>
  <c r="Q95" i="2"/>
  <c r="P95" i="2"/>
  <c r="O95" i="2"/>
  <c r="N95" i="2"/>
  <c r="M95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A210" i="2"/>
  <c r="Q210" i="2"/>
  <c r="P210" i="2"/>
  <c r="O210" i="2"/>
  <c r="N210" i="2"/>
  <c r="M210" i="2"/>
  <c r="AA203" i="2"/>
  <c r="Q203" i="2"/>
  <c r="P203" i="2"/>
  <c r="O203" i="2"/>
  <c r="N203" i="2"/>
  <c r="M203" i="2"/>
  <c r="AA98" i="2"/>
  <c r="Q98" i="2"/>
  <c r="P98" i="2"/>
  <c r="O98" i="2"/>
  <c r="N98" i="2"/>
  <c r="M98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A219" i="2"/>
  <c r="Q219" i="2"/>
  <c r="P219" i="2"/>
  <c r="O219" i="2"/>
  <c r="N219" i="2"/>
  <c r="M219" i="2"/>
  <c r="AA165" i="2"/>
  <c r="Q165" i="2"/>
  <c r="P165" i="2"/>
  <c r="O165" i="2"/>
  <c r="N165" i="2"/>
  <c r="M165" i="2"/>
  <c r="AA124" i="2"/>
  <c r="Q124" i="2"/>
  <c r="P124" i="2"/>
  <c r="O124" i="2"/>
  <c r="N124" i="2"/>
  <c r="M124" i="2"/>
  <c r="AA83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A123" i="2"/>
  <c r="Q123" i="2"/>
  <c r="P123" i="2"/>
  <c r="O123" i="2"/>
  <c r="N123" i="2"/>
  <c r="M123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A157" i="2"/>
  <c r="Q157" i="2"/>
  <c r="P157" i="2"/>
  <c r="O157" i="2"/>
  <c r="N157" i="2"/>
  <c r="M157" i="2"/>
  <c r="AA187" i="2"/>
  <c r="Q187" i="2"/>
  <c r="P187" i="2"/>
  <c r="O187" i="2"/>
  <c r="N187" i="2"/>
  <c r="M187" i="2"/>
  <c r="AA186" i="2"/>
  <c r="Q186" i="2"/>
  <c r="P186" i="2"/>
  <c r="O186" i="2"/>
  <c r="N186" i="2"/>
  <c r="M186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A167" i="2"/>
  <c r="Q167" i="2"/>
  <c r="P167" i="2"/>
  <c r="O167" i="2"/>
  <c r="N167" i="2"/>
  <c r="M167" i="2"/>
  <c r="AA208" i="2"/>
  <c r="Q208" i="2"/>
  <c r="P208" i="2"/>
  <c r="O208" i="2"/>
  <c r="N208" i="2"/>
  <c r="M208" i="2"/>
  <c r="AA56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A71" i="2"/>
  <c r="AA154" i="2"/>
  <c r="Q154" i="2"/>
  <c r="P154" i="2"/>
  <c r="O154" i="2"/>
  <c r="N154" i="2"/>
  <c r="M154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A80" i="2"/>
  <c r="AA198" i="2"/>
  <c r="Q198" i="2"/>
  <c r="P198" i="2"/>
  <c r="O198" i="2"/>
  <c r="N198" i="2"/>
  <c r="M198" i="2"/>
  <c r="AA197" i="2"/>
  <c r="Q197" i="2"/>
  <c r="P197" i="2"/>
  <c r="O197" i="2"/>
  <c r="N197" i="2"/>
  <c r="M197" i="2"/>
  <c r="AA153" i="2"/>
  <c r="Q153" i="2"/>
  <c r="P153" i="2"/>
  <c r="O153" i="2"/>
  <c r="N153" i="2"/>
  <c r="M153" i="2"/>
  <c r="AA49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A196" i="2"/>
  <c r="Q196" i="2"/>
  <c r="P196" i="2"/>
  <c r="O196" i="2"/>
  <c r="N196" i="2"/>
  <c r="M196" i="2"/>
  <c r="AA204" i="2"/>
  <c r="Q204" i="2"/>
  <c r="P204" i="2"/>
  <c r="O204" i="2"/>
  <c r="N204" i="2"/>
  <c r="M204" i="2"/>
  <c r="AA162" i="2"/>
  <c r="Q162" i="2"/>
  <c r="P162" i="2"/>
  <c r="O162" i="2"/>
  <c r="N162" i="2"/>
  <c r="M162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A64" i="2"/>
  <c r="Q64" i="2"/>
  <c r="P64" i="2"/>
  <c r="O64" i="2"/>
  <c r="N64" i="2"/>
  <c r="M64" i="2"/>
  <c r="AA149" i="2"/>
  <c r="Q149" i="2"/>
  <c r="P149" i="2"/>
  <c r="O149" i="2"/>
  <c r="N149" i="2"/>
  <c r="M149" i="2"/>
  <c r="AA133" i="2"/>
  <c r="Q133" i="2"/>
  <c r="P133" i="2"/>
  <c r="O133" i="2"/>
  <c r="N133" i="2"/>
  <c r="M133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A55" i="2"/>
  <c r="Q55" i="2"/>
  <c r="P55" i="2"/>
  <c r="O55" i="2"/>
  <c r="N55" i="2"/>
  <c r="M55" i="2"/>
  <c r="AA120" i="2"/>
  <c r="Q120" i="2"/>
  <c r="P120" i="2"/>
  <c r="O120" i="2"/>
  <c r="N120" i="2"/>
  <c r="M120" i="2"/>
  <c r="AA130" i="2"/>
  <c r="Q130" i="2"/>
  <c r="P130" i="2"/>
  <c r="O130" i="2"/>
  <c r="N130" i="2"/>
  <c r="M130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A118" i="2"/>
  <c r="Q118" i="2"/>
  <c r="P118" i="2"/>
  <c r="O118" i="2"/>
  <c r="N118" i="2"/>
  <c r="M118" i="2"/>
  <c r="AA59" i="2"/>
  <c r="Q59" i="2"/>
  <c r="P59" i="2"/>
  <c r="O59" i="2"/>
  <c r="N59" i="2"/>
  <c r="M59" i="2"/>
  <c r="AA99" i="2"/>
  <c r="Q99" i="2"/>
  <c r="P99" i="2"/>
  <c r="O99" i="2"/>
  <c r="N99" i="2"/>
  <c r="M99" i="2"/>
  <c r="AA136" i="2"/>
  <c r="Q136" i="2"/>
  <c r="P136" i="2"/>
  <c r="O136" i="2"/>
  <c r="N136" i="2"/>
  <c r="M136" i="2"/>
  <c r="AA47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A46" i="2"/>
  <c r="Q46" i="2"/>
  <c r="P46" i="2"/>
  <c r="O46" i="2"/>
  <c r="N46" i="2"/>
  <c r="M46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A110" i="2"/>
  <c r="Q110" i="2"/>
  <c r="P110" i="2"/>
  <c r="O110" i="2"/>
  <c r="N110" i="2"/>
  <c r="M110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A105" i="2"/>
  <c r="Q105" i="2"/>
  <c r="P105" i="2"/>
  <c r="O105" i="2"/>
  <c r="N105" i="2"/>
  <c r="M105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A137" i="2"/>
  <c r="Q137" i="2"/>
  <c r="P137" i="2"/>
  <c r="O137" i="2"/>
  <c r="N137" i="2"/>
  <c r="M137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A100" i="2"/>
  <c r="Q100" i="2"/>
  <c r="P100" i="2"/>
  <c r="O100" i="2"/>
  <c r="N100" i="2"/>
  <c r="M100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A109" i="2"/>
  <c r="Q109" i="2"/>
  <c r="P109" i="2"/>
  <c r="O109" i="2"/>
  <c r="N109" i="2"/>
  <c r="M109" i="2"/>
  <c r="AA92" i="2"/>
  <c r="Q92" i="2"/>
  <c r="P92" i="2"/>
  <c r="O92" i="2"/>
  <c r="N92" i="2"/>
  <c r="M92" i="2"/>
  <c r="AA102" i="2"/>
  <c r="Q102" i="2"/>
  <c r="P102" i="2"/>
  <c r="O102" i="2"/>
  <c r="N102" i="2"/>
  <c r="M102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A40" i="2"/>
  <c r="Q40" i="2"/>
  <c r="P40" i="2"/>
  <c r="O40" i="2"/>
  <c r="N40" i="2"/>
  <c r="M40" i="2"/>
  <c r="AA104" i="2"/>
  <c r="Q104" i="2"/>
  <c r="P104" i="2"/>
  <c r="O104" i="2"/>
  <c r="N104" i="2"/>
  <c r="M104" i="2"/>
  <c r="AA125" i="2"/>
  <c r="Q125" i="2"/>
  <c r="P125" i="2"/>
  <c r="O125" i="2"/>
  <c r="N125" i="2"/>
  <c r="M125" i="2"/>
  <c r="AA82" i="2"/>
  <c r="Q82" i="2"/>
  <c r="P82" i="2"/>
  <c r="O82" i="2"/>
  <c r="N82" i="2"/>
  <c r="M82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A70" i="2"/>
  <c r="Q70" i="2"/>
  <c r="P70" i="2"/>
  <c r="O70" i="2"/>
  <c r="N70" i="2"/>
  <c r="M70" i="2"/>
  <c r="AA41" i="2"/>
  <c r="Q41" i="2"/>
  <c r="P41" i="2"/>
  <c r="O41" i="2"/>
  <c r="N41" i="2"/>
  <c r="M41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A156" i="2"/>
  <c r="Q156" i="2"/>
  <c r="P156" i="2"/>
  <c r="O156" i="2"/>
  <c r="N156" i="2"/>
  <c r="M156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A76" i="2"/>
  <c r="Q76" i="2"/>
  <c r="P76" i="2"/>
  <c r="O76" i="2"/>
  <c r="N76" i="2"/>
  <c r="M76" i="2"/>
  <c r="AA97" i="2"/>
  <c r="Q97" i="2"/>
  <c r="P97" i="2"/>
  <c r="O97" i="2"/>
  <c r="N97" i="2"/>
  <c r="M97" i="2"/>
  <c r="AA261" i="2"/>
  <c r="Q261" i="2"/>
  <c r="P261" i="2"/>
  <c r="O261" i="2"/>
  <c r="N261" i="2"/>
  <c r="M261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A54" i="2"/>
  <c r="Q54" i="2"/>
  <c r="P54" i="2"/>
  <c r="O54" i="2"/>
  <c r="N54" i="2"/>
  <c r="M54" i="2"/>
  <c r="AA86" i="2"/>
  <c r="Q86" i="2"/>
  <c r="P86" i="2"/>
  <c r="O86" i="2"/>
  <c r="N86" i="2"/>
  <c r="M86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A30" i="2"/>
  <c r="Q30" i="2"/>
  <c r="P30" i="2"/>
  <c r="O30" i="2"/>
  <c r="N30" i="2"/>
  <c r="M30" i="2"/>
  <c r="AA58" i="2"/>
  <c r="Q58" i="2"/>
  <c r="P58" i="2"/>
  <c r="O58" i="2"/>
  <c r="N58" i="2"/>
  <c r="M58" i="2"/>
  <c r="AA63" i="2"/>
  <c r="Q63" i="2"/>
  <c r="P63" i="2"/>
  <c r="O63" i="2"/>
  <c r="N63" i="2"/>
  <c r="M63" i="2"/>
  <c r="AA65" i="2"/>
  <c r="Q65" i="2"/>
  <c r="P65" i="2"/>
  <c r="O65" i="2"/>
  <c r="N65" i="2"/>
  <c r="M65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A27" i="2"/>
  <c r="Q27" i="2"/>
  <c r="P27" i="2"/>
  <c r="O27" i="2"/>
  <c r="N27" i="2"/>
  <c r="M27" i="2"/>
  <c r="AA10" i="2"/>
  <c r="AA44" i="2"/>
  <c r="Q44" i="2"/>
  <c r="P44" i="2"/>
  <c r="O44" i="2"/>
  <c r="N44" i="2"/>
  <c r="M44" i="2"/>
  <c r="AA16" i="2"/>
  <c r="AA57" i="2"/>
  <c r="Q57" i="2"/>
  <c r="P57" i="2"/>
  <c r="O57" i="2"/>
  <c r="N57" i="2"/>
  <c r="M57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A79" i="2"/>
  <c r="Q79" i="2"/>
  <c r="P79" i="2"/>
  <c r="O79" i="2"/>
  <c r="N79" i="2"/>
  <c r="M79" i="2"/>
  <c r="AA50" i="2"/>
  <c r="Q50" i="2"/>
  <c r="P50" i="2"/>
  <c r="O50" i="2"/>
  <c r="N50" i="2"/>
  <c r="M50" i="2"/>
  <c r="AA18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A38" i="2"/>
  <c r="Q38" i="2"/>
  <c r="P38" i="2"/>
  <c r="O38" i="2"/>
  <c r="N38" i="2"/>
  <c r="M38" i="2"/>
  <c r="AA26" i="2"/>
  <c r="Q26" i="2"/>
  <c r="P26" i="2"/>
  <c r="O26" i="2"/>
  <c r="N26" i="2"/>
  <c r="M26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A45" i="2"/>
  <c r="Q45" i="2"/>
  <c r="P45" i="2"/>
  <c r="O45" i="2"/>
  <c r="N45" i="2"/>
  <c r="M45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A35" i="2"/>
  <c r="Q35" i="2"/>
  <c r="P35" i="2"/>
  <c r="O35" i="2"/>
  <c r="N35" i="2"/>
  <c r="M35" i="2"/>
  <c r="AA15" i="2"/>
  <c r="Q15" i="2"/>
  <c r="P15" i="2"/>
  <c r="O15" i="2"/>
  <c r="N15" i="2"/>
  <c r="M15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A25" i="2"/>
  <c r="Q25" i="2"/>
  <c r="P25" i="2"/>
  <c r="O25" i="2"/>
  <c r="N25" i="2"/>
  <c r="M25" i="2"/>
  <c r="AA24" i="2"/>
  <c r="Q24" i="2"/>
  <c r="P24" i="2"/>
  <c r="O24" i="2"/>
  <c r="N24" i="2"/>
  <c r="M24" i="2"/>
  <c r="AA33" i="2"/>
  <c r="Q33" i="2"/>
  <c r="P33" i="2"/>
  <c r="O33" i="2"/>
  <c r="N33" i="2"/>
  <c r="M33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A9" i="2"/>
  <c r="Q9" i="2"/>
  <c r="P9" i="2"/>
  <c r="O9" i="2"/>
  <c r="N9" i="2"/>
  <c r="M9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Q4" i="2"/>
  <c r="P4" i="2"/>
  <c r="O4" i="2"/>
  <c r="N4" i="2"/>
  <c r="M4" i="2"/>
  <c r="AA20" i="2"/>
  <c r="Q20" i="2"/>
  <c r="P20" i="2"/>
  <c r="O20" i="2"/>
  <c r="N20" i="2"/>
  <c r="M20" i="2"/>
  <c r="AA23" i="2"/>
  <c r="Q23" i="2"/>
  <c r="P23" i="2"/>
  <c r="O23" i="2"/>
  <c r="N23" i="2"/>
  <c r="M23" i="2"/>
  <c r="AA31" i="2"/>
  <c r="Q31" i="2"/>
  <c r="P31" i="2"/>
  <c r="O31" i="2"/>
  <c r="N31" i="2"/>
  <c r="M31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A14" i="2"/>
  <c r="Q14" i="2"/>
  <c r="P14" i="2"/>
  <c r="O14" i="2"/>
  <c r="N14" i="2"/>
  <c r="M14" i="2"/>
  <c r="AA12" i="2"/>
  <c r="Q12" i="2"/>
  <c r="P12" i="2"/>
  <c r="O12" i="2"/>
  <c r="N12" i="2"/>
  <c r="M12" i="2"/>
  <c r="AA17" i="2"/>
  <c r="Q17" i="2"/>
  <c r="P17" i="2"/>
  <c r="O17" i="2"/>
  <c r="N17" i="2"/>
  <c r="M17" i="2"/>
  <c r="AA5" i="2"/>
  <c r="Q5" i="2"/>
  <c r="P5" i="2"/>
  <c r="O5" i="2"/>
  <c r="N5" i="2"/>
  <c r="M5" i="2"/>
  <c r="AA7" i="2"/>
  <c r="Q7" i="2"/>
  <c r="P7" i="2"/>
  <c r="O7" i="2"/>
  <c r="N7" i="2"/>
  <c r="M7" i="2"/>
  <c r="AA3" i="2"/>
  <c r="Q3" i="2"/>
  <c r="P3" i="2"/>
  <c r="O3" i="2"/>
  <c r="N3" i="2"/>
  <c r="M3" i="2"/>
  <c r="AA6" i="2"/>
  <c r="Q6" i="2"/>
  <c r="P6" i="2"/>
  <c r="O6" i="2"/>
  <c r="N6" i="2"/>
  <c r="M6" i="2"/>
  <c r="AA2" i="2"/>
  <c r="Q2" i="2"/>
  <c r="P2" i="2"/>
  <c r="O2" i="2"/>
  <c r="N2" i="2"/>
  <c r="M2" i="2"/>
  <c r="F24" i="3" l="1"/>
  <c r="G2" i="2"/>
  <c r="Q42" i="3"/>
  <c r="U42" i="3"/>
  <c r="X42" i="3"/>
  <c r="P42" i="3"/>
  <c r="Y42" i="3"/>
  <c r="O42" i="3"/>
  <c r="W42" i="3"/>
  <c r="G9" i="2"/>
  <c r="F2" i="3" s="1"/>
  <c r="G15" i="2"/>
  <c r="G38" i="2"/>
  <c r="E19" i="10" s="1"/>
  <c r="G165" i="2"/>
  <c r="G210" i="2"/>
  <c r="E40" i="10" s="1"/>
  <c r="G217" i="2"/>
  <c r="G214" i="2"/>
  <c r="E43" i="10" s="1"/>
  <c r="G121" i="2"/>
  <c r="G632" i="2"/>
  <c r="E51" i="9" s="1"/>
  <c r="G646" i="2"/>
  <c r="E53" i="9" s="1"/>
  <c r="G650" i="2"/>
  <c r="E63" i="6" s="1"/>
  <c r="G638" i="2"/>
  <c r="G197" i="2"/>
  <c r="E49" i="10" s="1"/>
  <c r="G279" i="2"/>
  <c r="E66" i="10" s="1"/>
  <c r="G272" i="2"/>
  <c r="E56" i="10" s="1"/>
  <c r="G273" i="2"/>
  <c r="E70" i="10" s="1"/>
  <c r="G253" i="2"/>
  <c r="E13" i="9" s="1"/>
  <c r="G224" i="2"/>
  <c r="E12" i="9" s="1"/>
  <c r="G324" i="2"/>
  <c r="G315" i="2"/>
  <c r="E72" i="10" s="1"/>
  <c r="G404" i="2"/>
  <c r="E16" i="9" s="1"/>
  <c r="G505" i="2"/>
  <c r="E107" i="10" s="1"/>
  <c r="G403" i="2"/>
  <c r="E92" i="10" s="1"/>
  <c r="G418" i="2"/>
  <c r="G356" i="2"/>
  <c r="G514" i="2"/>
  <c r="E34" i="9" s="1"/>
  <c r="G504" i="2"/>
  <c r="G534" i="2"/>
  <c r="E23" i="9" s="1"/>
  <c r="G544" i="2"/>
  <c r="G393" i="2"/>
  <c r="G363" i="2"/>
  <c r="G562" i="2"/>
  <c r="E37" i="9" s="1"/>
  <c r="G530" i="2"/>
  <c r="G579" i="2"/>
  <c r="E126" i="10" s="1"/>
  <c r="G462" i="2"/>
  <c r="G587" i="2"/>
  <c r="E44" i="9" s="1"/>
  <c r="G298" i="2"/>
  <c r="E77" i="10" s="1"/>
  <c r="G547" i="2"/>
  <c r="E119" i="10" s="1"/>
  <c r="G531" i="2"/>
  <c r="G573" i="2"/>
  <c r="E121" i="10" s="1"/>
  <c r="G613" i="2"/>
  <c r="E137" i="10" s="1"/>
  <c r="G621" i="2"/>
  <c r="G618" i="2"/>
  <c r="G92" i="2"/>
  <c r="E16" i="10" s="1"/>
  <c r="G105" i="2"/>
  <c r="E26" i="10" s="1"/>
  <c r="G33" i="2"/>
  <c r="E11" i="10" s="1"/>
  <c r="G35" i="2"/>
  <c r="G99" i="2"/>
  <c r="G120" i="2"/>
  <c r="E31" i="10" s="1"/>
  <c r="G64" i="2"/>
  <c r="F5" i="3" s="1"/>
  <c r="G186" i="2"/>
  <c r="E46" i="10" s="1"/>
  <c r="G175" i="2"/>
  <c r="G139" i="2"/>
  <c r="G278" i="2"/>
  <c r="G184" i="2"/>
  <c r="G251" i="2"/>
  <c r="E21" i="6" s="1"/>
  <c r="G176" i="2"/>
  <c r="G460" i="2"/>
  <c r="G445" i="2"/>
  <c r="E99" i="10" s="1"/>
  <c r="G205" i="2"/>
  <c r="G341" i="2"/>
  <c r="E80" i="10" s="1"/>
  <c r="G389" i="2"/>
  <c r="E84" i="10" s="1"/>
  <c r="G304" i="2"/>
  <c r="E78" i="10" s="1"/>
  <c r="G340" i="2"/>
  <c r="G416" i="2"/>
  <c r="E17" i="9" s="1"/>
  <c r="G336" i="2"/>
  <c r="E88" i="10" s="1"/>
  <c r="G310" i="2"/>
  <c r="G478" i="2"/>
  <c r="E105" i="10" s="1"/>
  <c r="G370" i="2"/>
  <c r="E83" i="10" s="1"/>
  <c r="G276" i="2"/>
  <c r="G235" i="2"/>
  <c r="G503" i="2"/>
  <c r="E22" i="9" s="1"/>
  <c r="G388" i="2"/>
  <c r="E24" i="9" s="1"/>
  <c r="G535" i="2"/>
  <c r="E116" i="10" s="1"/>
  <c r="G600" i="2"/>
  <c r="E123" i="10" s="1"/>
  <c r="G515" i="2"/>
  <c r="E19" i="9" s="1"/>
  <c r="G358" i="2"/>
  <c r="G472" i="2"/>
  <c r="G549" i="2"/>
  <c r="G593" i="2"/>
  <c r="E49" i="9" s="1"/>
  <c r="G603" i="2"/>
  <c r="E135" i="10" s="1"/>
  <c r="G473" i="2"/>
  <c r="G633" i="2"/>
  <c r="E50" i="6" s="1"/>
  <c r="G643" i="2"/>
  <c r="G596" i="2"/>
  <c r="G525" i="2"/>
  <c r="G266" i="2"/>
  <c r="G269" i="2"/>
  <c r="G116" i="2"/>
  <c r="G49" i="2"/>
  <c r="G79" i="2"/>
  <c r="E33" i="10" s="1"/>
  <c r="G63" i="2"/>
  <c r="E24" i="10" s="1"/>
  <c r="G6" i="2"/>
  <c r="E9" i="10" s="1"/>
  <c r="G17" i="2"/>
  <c r="E7" i="10" s="1"/>
  <c r="G23" i="2"/>
  <c r="G50" i="2"/>
  <c r="E13" i="10" s="1"/>
  <c r="G65" i="2"/>
  <c r="E5" i="9" s="1"/>
  <c r="G86" i="2"/>
  <c r="E22" i="10" s="1"/>
  <c r="G76" i="2"/>
  <c r="E3" i="9" s="1"/>
  <c r="G82" i="2"/>
  <c r="E28" i="10" s="1"/>
  <c r="G102" i="2"/>
  <c r="G137" i="2"/>
  <c r="E37" i="10" s="1"/>
  <c r="G153" i="2"/>
  <c r="G124" i="2"/>
  <c r="G203" i="2"/>
  <c r="E11" i="9" s="1"/>
  <c r="G151" i="2"/>
  <c r="E10" i="9" s="1"/>
  <c r="G182" i="2"/>
  <c r="G152" i="2"/>
  <c r="G131" i="2"/>
  <c r="G115" i="2"/>
  <c r="G238" i="2"/>
  <c r="E68" i="10" s="1"/>
  <c r="G170" i="2"/>
  <c r="G174" i="2"/>
  <c r="G143" i="2"/>
  <c r="G252" i="2"/>
  <c r="G408" i="2"/>
  <c r="E69" i="10" s="1"/>
  <c r="G555" i="2"/>
  <c r="E130" i="10" s="1"/>
  <c r="G375" i="2"/>
  <c r="G271" i="2"/>
  <c r="G471" i="2"/>
  <c r="E104" i="10" s="1"/>
  <c r="G410" i="2"/>
  <c r="E95" i="10" s="1"/>
  <c r="G364" i="2"/>
  <c r="G483" i="2"/>
  <c r="G527" i="2"/>
  <c r="E97" i="10" s="1"/>
  <c r="G541" i="2"/>
  <c r="E42" i="9" s="1"/>
  <c r="G545" i="2"/>
  <c r="E115" i="10" s="1"/>
  <c r="G580" i="2"/>
  <c r="G481" i="2"/>
  <c r="G554" i="2"/>
  <c r="E27" i="9" s="1"/>
  <c r="G561" i="2"/>
  <c r="E33" i="9" s="1"/>
  <c r="G611" i="2"/>
  <c r="E45" i="9" s="1"/>
  <c r="G453" i="2"/>
  <c r="G622" i="2"/>
  <c r="E139" i="10" s="1"/>
  <c r="G610" i="2"/>
  <c r="E131" i="10" s="1"/>
  <c r="G595" i="2"/>
  <c r="E46" i="9" s="1"/>
  <c r="G607" i="2"/>
  <c r="E129" i="10" s="1"/>
  <c r="G586" i="2"/>
  <c r="E44" i="6" s="1"/>
  <c r="G615" i="2"/>
  <c r="E47" i="6" s="1"/>
  <c r="G635" i="2"/>
  <c r="G649" i="2"/>
  <c r="G605" i="2"/>
  <c r="E111" i="10" s="1"/>
  <c r="G617" i="2"/>
  <c r="G640" i="2"/>
  <c r="G498" i="2"/>
  <c r="G323" i="2"/>
  <c r="G103" i="2"/>
  <c r="G84" i="2"/>
  <c r="G136" i="2"/>
  <c r="E27" i="10" s="1"/>
  <c r="G130" i="2"/>
  <c r="E30" i="10" s="1"/>
  <c r="G149" i="2"/>
  <c r="E36" i="10" s="1"/>
  <c r="G196" i="2"/>
  <c r="E7" i="9" s="1"/>
  <c r="G167" i="2"/>
  <c r="G123" i="2"/>
  <c r="G241" i="2"/>
  <c r="G287" i="2"/>
  <c r="E60" i="10" s="1"/>
  <c r="G255" i="2"/>
  <c r="E53" i="10" s="1"/>
  <c r="G226" i="2"/>
  <c r="E57" i="10" s="1"/>
  <c r="G236" i="2"/>
  <c r="E45" i="10" s="1"/>
  <c r="G288" i="2"/>
  <c r="E73" i="10" s="1"/>
  <c r="G231" i="2"/>
  <c r="G334" i="2"/>
  <c r="E76" i="10" s="1"/>
  <c r="G366" i="2"/>
  <c r="E94" i="10" s="1"/>
  <c r="G387" i="2"/>
  <c r="E86" i="10" s="1"/>
  <c r="G284" i="2"/>
  <c r="E14" i="9" s="1"/>
  <c r="G319" i="2"/>
  <c r="E18" i="9" s="1"/>
  <c r="G385" i="2"/>
  <c r="E89" i="10" s="1"/>
  <c r="G347" i="2"/>
  <c r="E93" i="10" s="1"/>
  <c r="G414" i="2"/>
  <c r="G321" i="2"/>
  <c r="E15" i="9" s="1"/>
  <c r="G419" i="2"/>
  <c r="E21" i="9" s="1"/>
  <c r="G450" i="2"/>
  <c r="E96" i="10" s="1"/>
  <c r="G493" i="2"/>
  <c r="E108" i="10" s="1"/>
  <c r="G464" i="2"/>
  <c r="E100" i="10" s="1"/>
  <c r="G256" i="2"/>
  <c r="G517" i="2"/>
  <c r="E25" i="9" s="1"/>
  <c r="G513" i="2"/>
  <c r="E32" i="9" s="1"/>
  <c r="G491" i="2"/>
  <c r="G365" i="2"/>
  <c r="G489" i="2"/>
  <c r="G444" i="2"/>
  <c r="G630" i="2"/>
  <c r="G636" i="2"/>
  <c r="E134" i="10" s="1"/>
  <c r="G604" i="2"/>
  <c r="E136" i="10" s="1"/>
  <c r="G540" i="2"/>
  <c r="E127" i="10" s="1"/>
  <c r="G624" i="2"/>
  <c r="E49" i="6" s="1"/>
  <c r="G628" i="2"/>
  <c r="G641" i="2"/>
  <c r="G647" i="2"/>
  <c r="G361" i="2"/>
  <c r="G484" i="2"/>
  <c r="G212" i="2"/>
  <c r="G83" i="2"/>
  <c r="G16" i="2"/>
  <c r="E3" i="10"/>
  <c r="G5" i="2"/>
  <c r="E5" i="10" s="1"/>
  <c r="G31" i="2"/>
  <c r="E15" i="10" s="1"/>
  <c r="G27" i="2"/>
  <c r="G30" i="2"/>
  <c r="G97" i="2"/>
  <c r="E17" i="10" s="1"/>
  <c r="G100" i="2"/>
  <c r="E21" i="10" s="1"/>
  <c r="G46" i="2"/>
  <c r="G98" i="2"/>
  <c r="G171" i="2"/>
  <c r="G179" i="2"/>
  <c r="E42" i="10" s="1"/>
  <c r="G135" i="2"/>
  <c r="G511" i="2"/>
  <c r="G242" i="2"/>
  <c r="G222" i="2"/>
  <c r="E61" i="10" s="1"/>
  <c r="G263" i="2"/>
  <c r="E58" i="10" s="1"/>
  <c r="G168" i="2"/>
  <c r="G322" i="2"/>
  <c r="E91" i="10" s="1"/>
  <c r="G337" i="2"/>
  <c r="G435" i="2"/>
  <c r="E113" i="10" s="1"/>
  <c r="G590" i="2"/>
  <c r="E125" i="10" s="1"/>
  <c r="G457" i="2"/>
  <c r="E102" i="10" s="1"/>
  <c r="G245" i="2"/>
  <c r="G539" i="2"/>
  <c r="E120" i="10" s="1"/>
  <c r="G512" i="2"/>
  <c r="E28" i="9" s="1"/>
  <c r="G536" i="2"/>
  <c r="E118" i="10" s="1"/>
  <c r="G494" i="2"/>
  <c r="E110" i="10" s="1"/>
  <c r="G567" i="2"/>
  <c r="E46" i="6" s="1"/>
  <c r="G566" i="2"/>
  <c r="E30" i="9" s="1"/>
  <c r="G576" i="2"/>
  <c r="E122" i="10" s="1"/>
  <c r="G470" i="2"/>
  <c r="G599" i="2"/>
  <c r="E133" i="10" s="1"/>
  <c r="G487" i="2"/>
  <c r="G564" i="2"/>
  <c r="E50" i="9" s="1"/>
  <c r="G578" i="2"/>
  <c r="G592" i="2"/>
  <c r="E31" i="9" s="1"/>
  <c r="G629" i="2"/>
  <c r="E54" i="6" s="1"/>
  <c r="G563" i="2"/>
  <c r="G543" i="2"/>
  <c r="G620" i="2"/>
  <c r="G612" i="2"/>
  <c r="E124" i="10" s="1"/>
  <c r="G626" i="2"/>
  <c r="E132" i="10" s="1"/>
  <c r="G642" i="2"/>
  <c r="E138" i="10" s="1"/>
  <c r="G651" i="2"/>
  <c r="E62" i="6" s="1"/>
  <c r="G634" i="2"/>
  <c r="G559" i="2"/>
  <c r="G553" i="2"/>
  <c r="G308" i="2"/>
  <c r="G113" i="2"/>
  <c r="G71" i="2"/>
  <c r="G70" i="2"/>
  <c r="E32" i="10" s="1"/>
  <c r="G40" i="2"/>
  <c r="G25" i="2"/>
  <c r="G133" i="2"/>
  <c r="E20" i="10" s="1"/>
  <c r="G204" i="2"/>
  <c r="G154" i="2"/>
  <c r="E4" i="9" s="1"/>
  <c r="G208" i="2"/>
  <c r="E50" i="10" s="1"/>
  <c r="G157" i="2"/>
  <c r="E39" i="10" s="1"/>
  <c r="G192" i="2"/>
  <c r="E55" i="10" s="1"/>
  <c r="G290" i="2"/>
  <c r="G265" i="2"/>
  <c r="E62" i="10" s="1"/>
  <c r="G150" i="2"/>
  <c r="G227" i="2"/>
  <c r="E51" i="10" s="1"/>
  <c r="G160" i="2"/>
  <c r="G281" i="2"/>
  <c r="G325" i="2"/>
  <c r="E35" i="6" s="1"/>
  <c r="G201" i="2"/>
  <c r="G229" i="2"/>
  <c r="G215" i="2"/>
  <c r="G213" i="2"/>
  <c r="G392" i="2"/>
  <c r="E81" i="10" s="1"/>
  <c r="G379" i="2"/>
  <c r="E79" i="10" s="1"/>
  <c r="G349" i="2"/>
  <c r="G228" i="2"/>
  <c r="G394" i="2"/>
  <c r="E87" i="10" s="1"/>
  <c r="G249" i="2"/>
  <c r="G329" i="2"/>
  <c r="G350" i="2"/>
  <c r="G376" i="2"/>
  <c r="G332" i="2"/>
  <c r="G437" i="2"/>
  <c r="G424" i="2"/>
  <c r="G606" i="2"/>
  <c r="E38" i="9" s="1"/>
  <c r="G602" i="2"/>
  <c r="G619" i="2"/>
  <c r="G625" i="2"/>
  <c r="G585" i="2"/>
  <c r="G637" i="2"/>
  <c r="G594" i="2"/>
  <c r="G631" i="2"/>
  <c r="G497" i="2"/>
  <c r="G360" i="2"/>
  <c r="G101" i="2"/>
  <c r="G56" i="2"/>
  <c r="G26" i="2"/>
  <c r="E4" i="6" s="1"/>
  <c r="G44" i="2"/>
  <c r="E10" i="10" s="1"/>
  <c r="G118" i="2"/>
  <c r="E34" i="10" s="1"/>
  <c r="G7" i="2"/>
  <c r="F8" i="3" s="1"/>
  <c r="G14" i="2"/>
  <c r="G4" i="2"/>
  <c r="G57" i="2"/>
  <c r="G58" i="2"/>
  <c r="E23" i="10" s="1"/>
  <c r="G261" i="2"/>
  <c r="E74" i="10" s="1"/>
  <c r="G41" i="2"/>
  <c r="G104" i="2"/>
  <c r="E2" i="9" s="1"/>
  <c r="G109" i="2"/>
  <c r="E18" i="10" s="1"/>
  <c r="G110" i="2"/>
  <c r="E35" i="10" s="1"/>
  <c r="G198" i="2"/>
  <c r="E44" i="10" s="1"/>
  <c r="G219" i="2"/>
  <c r="E63" i="10" s="1"/>
  <c r="G95" i="2"/>
  <c r="G141" i="2"/>
  <c r="G202" i="2"/>
  <c r="E47" i="10" s="1"/>
  <c r="G234" i="2"/>
  <c r="E65" i="10" s="1"/>
  <c r="G185" i="2"/>
  <c r="E9" i="9" s="1"/>
  <c r="G220" i="2"/>
  <c r="E52" i="10" s="1"/>
  <c r="G144" i="2"/>
  <c r="G178" i="2"/>
  <c r="G270" i="2"/>
  <c r="E82" i="10" s="1"/>
  <c r="G423" i="2"/>
  <c r="E98" i="10" s="1"/>
  <c r="G488" i="2"/>
  <c r="G412" i="2"/>
  <c r="E20" i="9" s="1"/>
  <c r="G485" i="2"/>
  <c r="E117" i="10" s="1"/>
  <c r="G550" i="2"/>
  <c r="E106" i="10" s="1"/>
  <c r="G516" i="2"/>
  <c r="E26" i="9" s="1"/>
  <c r="G373" i="2"/>
  <c r="G499" i="2"/>
  <c r="G532" i="2"/>
  <c r="E36" i="9" s="1"/>
  <c r="G502" i="2"/>
  <c r="G558" i="2"/>
  <c r="E39" i="9" s="1"/>
  <c r="G396" i="2"/>
  <c r="E64" i="10" s="1"/>
  <c r="G546" i="2"/>
  <c r="E35" i="9" s="1"/>
  <c r="G574" i="2"/>
  <c r="E128" i="10" s="1"/>
  <c r="G420" i="2"/>
  <c r="G571" i="2"/>
  <c r="G378" i="2"/>
  <c r="E103" i="10" s="1"/>
  <c r="G584" i="2"/>
  <c r="E40" i="9" s="1"/>
  <c r="G577" i="2"/>
  <c r="E47" i="9" s="1"/>
  <c r="G589" i="2"/>
  <c r="G601" i="2"/>
  <c r="E41" i="9" s="1"/>
  <c r="G591" i="2"/>
  <c r="E48" i="9" s="1"/>
  <c r="G614" i="2"/>
  <c r="E52" i="9" s="1"/>
  <c r="G608" i="2"/>
  <c r="E54" i="9" s="1"/>
  <c r="G581" i="2"/>
  <c r="E45" i="6" s="1"/>
  <c r="G623" i="2"/>
  <c r="G569" i="2"/>
  <c r="G645" i="2"/>
  <c r="G575" i="2"/>
  <c r="G507" i="2"/>
  <c r="G538" i="2"/>
  <c r="G145" i="2"/>
  <c r="G89" i="2"/>
  <c r="G10" i="2"/>
  <c r="F14" i="3" s="1"/>
  <c r="G24" i="2"/>
  <c r="E14" i="10" s="1"/>
  <c r="G45" i="2"/>
  <c r="E25" i="10" s="1"/>
  <c r="G59" i="2"/>
  <c r="G55" i="2"/>
  <c r="G162" i="2"/>
  <c r="E8" i="9" s="1"/>
  <c r="G187" i="2"/>
  <c r="E38" i="10" s="1"/>
  <c r="G248" i="2"/>
  <c r="E41" i="10" s="1"/>
  <c r="G163" i="2"/>
  <c r="G277" i="2"/>
  <c r="E67" i="10" s="1"/>
  <c r="G262" i="2"/>
  <c r="E48" i="10" s="1"/>
  <c r="G119" i="2"/>
  <c r="G359" i="2"/>
  <c r="E85" i="10" s="1"/>
  <c r="G474" i="2"/>
  <c r="E101" i="10" s="1"/>
  <c r="G189" i="2"/>
  <c r="G289" i="2"/>
  <c r="E54" i="10" s="1"/>
  <c r="G260" i="2"/>
  <c r="G333" i="2"/>
  <c r="E59" i="10" s="1"/>
  <c r="G316" i="2"/>
  <c r="E75" i="10" s="1"/>
  <c r="G314" i="2"/>
  <c r="E71" i="10" s="1"/>
  <c r="G211" i="2"/>
  <c r="G421" i="2"/>
  <c r="G391" i="2"/>
  <c r="E90" i="10" s="1"/>
  <c r="G442" i="2"/>
  <c r="G648" i="2"/>
  <c r="G449" i="2"/>
  <c r="E109" i="10" s="1"/>
  <c r="G486" i="2"/>
  <c r="G458" i="2"/>
  <c r="E114" i="10" s="1"/>
  <c r="G443" i="2"/>
  <c r="G568" i="2"/>
  <c r="E112" i="10" s="1"/>
  <c r="G351" i="2"/>
  <c r="G533" i="2"/>
  <c r="E29" i="9" s="1"/>
  <c r="G496" i="2"/>
  <c r="G597" i="2"/>
  <c r="E43" i="9" s="1"/>
  <c r="G616" i="2"/>
  <c r="G557" i="2"/>
  <c r="G357" i="2"/>
  <c r="E57" i="6" s="1"/>
  <c r="G639" i="2"/>
  <c r="G609" i="2"/>
  <c r="G627" i="2"/>
  <c r="G342" i="2"/>
  <c r="G343" i="2"/>
  <c r="G81" i="2"/>
  <c r="G80" i="2"/>
  <c r="G3" i="2"/>
  <c r="E6" i="10" s="1"/>
  <c r="G12" i="2"/>
  <c r="E4" i="10" s="1"/>
  <c r="G20" i="2"/>
  <c r="E8" i="10" s="1"/>
  <c r="G54" i="2"/>
  <c r="E12" i="10" s="1"/>
  <c r="G156" i="2"/>
  <c r="G125" i="2"/>
  <c r="E29" i="10" s="1"/>
  <c r="G644" i="2"/>
  <c r="G425" i="2"/>
  <c r="G409" i="2"/>
  <c r="G232" i="2"/>
  <c r="G47" i="2"/>
  <c r="G18" i="2"/>
  <c r="L331" i="4"/>
  <c r="N326" i="4"/>
  <c r="K343" i="4"/>
  <c r="M326" i="4"/>
  <c r="O87" i="4"/>
  <c r="O103" i="4"/>
  <c r="O105" i="4"/>
  <c r="O114" i="4"/>
  <c r="O122" i="4"/>
  <c r="O130" i="4"/>
  <c r="O138" i="4"/>
  <c r="O146" i="4"/>
  <c r="O154" i="4"/>
  <c r="O162" i="4"/>
  <c r="O170" i="4"/>
  <c r="O178" i="4"/>
  <c r="O186" i="4"/>
  <c r="O194" i="4"/>
  <c r="O202" i="4"/>
  <c r="O31" i="4"/>
  <c r="O107" i="4"/>
  <c r="O119" i="4"/>
  <c r="O127" i="4"/>
  <c r="O135" i="4"/>
  <c r="O143" i="4"/>
  <c r="O151" i="4"/>
  <c r="O159" i="4"/>
  <c r="O167" i="4"/>
  <c r="O175" i="4"/>
  <c r="O183" i="4"/>
  <c r="O191" i="4"/>
  <c r="O199" i="4"/>
  <c r="O57" i="4"/>
  <c r="O88" i="4"/>
  <c r="O109" i="4"/>
  <c r="O116" i="4"/>
  <c r="O124" i="4"/>
  <c r="O132" i="4"/>
  <c r="O140" i="4"/>
  <c r="O148" i="4"/>
  <c r="O156" i="4"/>
  <c r="O164" i="4"/>
  <c r="O172" i="4"/>
  <c r="O180" i="4"/>
  <c r="O188" i="4"/>
  <c r="O196" i="4"/>
  <c r="O7" i="4"/>
  <c r="O71" i="4"/>
  <c r="O96" i="4"/>
  <c r="O98" i="4"/>
  <c r="O102" i="4"/>
  <c r="O111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104" i="4"/>
  <c r="O118" i="4"/>
  <c r="O126" i="4"/>
  <c r="O134" i="4"/>
  <c r="O142" i="4"/>
  <c r="O150" i="4"/>
  <c r="O158" i="4"/>
  <c r="O166" i="4"/>
  <c r="O174" i="4"/>
  <c r="O182" i="4"/>
  <c r="O190" i="4"/>
  <c r="O63" i="4"/>
  <c r="O106" i="4"/>
  <c r="O115" i="4"/>
  <c r="O123" i="4"/>
  <c r="O131" i="4"/>
  <c r="O139" i="4"/>
  <c r="O147" i="4"/>
  <c r="O155" i="4"/>
  <c r="O163" i="4"/>
  <c r="O171" i="4"/>
  <c r="O179" i="4"/>
  <c r="O187" i="4"/>
  <c r="O195" i="4"/>
  <c r="O203" i="4"/>
  <c r="O25" i="4"/>
  <c r="O99" i="4"/>
  <c r="O110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39" i="4"/>
  <c r="O101" i="4"/>
  <c r="O112" i="4"/>
  <c r="O117" i="4"/>
  <c r="O125" i="4"/>
  <c r="O133" i="4"/>
  <c r="O141" i="4"/>
  <c r="O149" i="4"/>
  <c r="O157" i="4"/>
  <c r="O165" i="4"/>
  <c r="O173" i="4"/>
  <c r="O181" i="4"/>
  <c r="O189" i="4"/>
  <c r="O198" i="4"/>
  <c r="O207" i="4"/>
  <c r="O215" i="4"/>
  <c r="O223" i="4"/>
  <c r="O231" i="4"/>
  <c r="O239" i="4"/>
  <c r="O247" i="4"/>
  <c r="O255" i="4"/>
  <c r="O263" i="4"/>
  <c r="O271" i="4"/>
  <c r="O279" i="4"/>
  <c r="O287" i="4"/>
  <c r="O295" i="4"/>
  <c r="O303" i="4"/>
  <c r="O311" i="4"/>
  <c r="O319" i="4"/>
  <c r="O327" i="4"/>
  <c r="O205" i="4"/>
  <c r="O210" i="4"/>
  <c r="O212" i="4"/>
  <c r="O220" i="4"/>
  <c r="O228" i="4"/>
  <c r="O236" i="4"/>
  <c r="O244" i="4"/>
  <c r="O252" i="4"/>
  <c r="O260" i="4"/>
  <c r="O268" i="4"/>
  <c r="O276" i="4"/>
  <c r="O284" i="4"/>
  <c r="O292" i="4"/>
  <c r="O300" i="4"/>
  <c r="O308" i="4"/>
  <c r="O316" i="4"/>
  <c r="O324" i="4"/>
  <c r="O217" i="4"/>
  <c r="O225" i="4"/>
  <c r="O233" i="4"/>
  <c r="O241" i="4"/>
  <c r="O249" i="4"/>
  <c r="O257" i="4"/>
  <c r="O265" i="4"/>
  <c r="O273" i="4"/>
  <c r="O281" i="4"/>
  <c r="O289" i="4"/>
  <c r="O297" i="4"/>
  <c r="O305" i="4"/>
  <c r="O313" i="4"/>
  <c r="O321" i="4"/>
  <c r="O214" i="4"/>
  <c r="O222" i="4"/>
  <c r="O230" i="4"/>
  <c r="O238" i="4"/>
  <c r="O246" i="4"/>
  <c r="O254" i="4"/>
  <c r="O262" i="4"/>
  <c r="O270" i="4"/>
  <c r="O278" i="4"/>
  <c r="O286" i="4"/>
  <c r="O294" i="4"/>
  <c r="O302" i="4"/>
  <c r="O310" i="4"/>
  <c r="O318" i="4"/>
  <c r="O326" i="4"/>
  <c r="O334" i="4"/>
  <c r="O219" i="4"/>
  <c r="O227" i="4"/>
  <c r="O235" i="4"/>
  <c r="O243" i="4"/>
  <c r="O251" i="4"/>
  <c r="O259" i="4"/>
  <c r="O267" i="4"/>
  <c r="O275" i="4"/>
  <c r="O283" i="4"/>
  <c r="O291" i="4"/>
  <c r="O299" i="4"/>
  <c r="O307" i="4"/>
  <c r="O315" i="4"/>
  <c r="O206" i="4"/>
  <c r="O211" i="4"/>
  <c r="O216" i="4"/>
  <c r="O224" i="4"/>
  <c r="O232" i="4"/>
  <c r="O240" i="4"/>
  <c r="O248" i="4"/>
  <c r="O256" i="4"/>
  <c r="O264" i="4"/>
  <c r="O272" i="4"/>
  <c r="O280" i="4"/>
  <c r="O288" i="4"/>
  <c r="O296" i="4"/>
  <c r="O304" i="4"/>
  <c r="O312" i="4"/>
  <c r="O320" i="4"/>
  <c r="O213" i="4"/>
  <c r="O221" i="4"/>
  <c r="O229" i="4"/>
  <c r="O237" i="4"/>
  <c r="O245" i="4"/>
  <c r="O253" i="4"/>
  <c r="O261" i="4"/>
  <c r="O269" i="4"/>
  <c r="O277" i="4"/>
  <c r="O285" i="4"/>
  <c r="O293" i="4"/>
  <c r="O301" i="4"/>
  <c r="O309" i="4"/>
  <c r="O317" i="4"/>
  <c r="O325" i="4"/>
  <c r="O333" i="4"/>
  <c r="O197" i="4"/>
  <c r="O204" i="4"/>
  <c r="O218" i="4"/>
  <c r="O226" i="4"/>
  <c r="O234" i="4"/>
  <c r="O242" i="4"/>
  <c r="O250" i="4"/>
  <c r="O258" i="4"/>
  <c r="O266" i="4"/>
  <c r="O274" i="4"/>
  <c r="O282" i="4"/>
  <c r="O290" i="4"/>
  <c r="O298" i="4"/>
  <c r="O306" i="4"/>
  <c r="O314" i="4"/>
  <c r="O322" i="4"/>
  <c r="O330" i="4"/>
  <c r="M2" i="4"/>
  <c r="O400" i="4"/>
  <c r="L399" i="4"/>
  <c r="N397" i="4"/>
  <c r="K396" i="4"/>
  <c r="M394" i="4"/>
  <c r="O392" i="4"/>
  <c r="L391" i="4"/>
  <c r="N389" i="4"/>
  <c r="K388" i="4"/>
  <c r="M386" i="4"/>
  <c r="O384" i="4"/>
  <c r="L383" i="4"/>
  <c r="N381" i="4"/>
  <c r="K380" i="4"/>
  <c r="M378" i="4"/>
  <c r="O376" i="4"/>
  <c r="L375" i="4"/>
  <c r="N373" i="4"/>
  <c r="K372" i="4"/>
  <c r="M370" i="4"/>
  <c r="O368" i="4"/>
  <c r="L367" i="4"/>
  <c r="N365" i="4"/>
  <c r="K364" i="4"/>
  <c r="M362" i="4"/>
  <c r="O360" i="4"/>
  <c r="L359" i="4"/>
  <c r="N357" i="4"/>
  <c r="K356" i="4"/>
  <c r="M354" i="4"/>
  <c r="O352" i="4"/>
  <c r="L351" i="4"/>
  <c r="N349" i="4"/>
  <c r="K348" i="4"/>
  <c r="M346" i="4"/>
  <c r="O344" i="4"/>
  <c r="L343" i="4"/>
  <c r="N341" i="4"/>
  <c r="K340" i="4"/>
  <c r="M338" i="4"/>
  <c r="K336" i="4"/>
  <c r="K333" i="4"/>
  <c r="O329" i="4"/>
  <c r="N52" i="4"/>
  <c r="N107" i="4"/>
  <c r="N119" i="4"/>
  <c r="N127" i="4"/>
  <c r="N135" i="4"/>
  <c r="N143" i="4"/>
  <c r="N151" i="4"/>
  <c r="N159" i="4"/>
  <c r="N167" i="4"/>
  <c r="N175" i="4"/>
  <c r="N183" i="4"/>
  <c r="N191" i="4"/>
  <c r="N199" i="4"/>
  <c r="N109" i="4"/>
  <c r="N116" i="4"/>
  <c r="N124" i="4"/>
  <c r="N132" i="4"/>
  <c r="N140" i="4"/>
  <c r="N148" i="4"/>
  <c r="N156" i="4"/>
  <c r="N164" i="4"/>
  <c r="N172" i="4"/>
  <c r="N180" i="4"/>
  <c r="N188" i="4"/>
  <c r="N196" i="4"/>
  <c r="N6" i="4"/>
  <c r="N44" i="4"/>
  <c r="N70" i="4"/>
  <c r="N96" i="4"/>
  <c r="N98" i="4"/>
  <c r="N100" i="4"/>
  <c r="N102" i="4"/>
  <c r="N111" i="4"/>
  <c r="N121" i="4"/>
  <c r="N129" i="4"/>
  <c r="N137" i="4"/>
  <c r="N145" i="4"/>
  <c r="N153" i="4"/>
  <c r="N161" i="4"/>
  <c r="N169" i="4"/>
  <c r="N177" i="4"/>
  <c r="N185" i="4"/>
  <c r="N193" i="4"/>
  <c r="N104" i="4"/>
  <c r="N118" i="4"/>
  <c r="N126" i="4"/>
  <c r="N134" i="4"/>
  <c r="N142" i="4"/>
  <c r="N150" i="4"/>
  <c r="N158" i="4"/>
  <c r="N166" i="4"/>
  <c r="N174" i="4"/>
  <c r="N182" i="4"/>
  <c r="N190" i="4"/>
  <c r="N198" i="4"/>
  <c r="N206" i="4"/>
  <c r="N20" i="4"/>
  <c r="N94" i="4"/>
  <c r="N106" i="4"/>
  <c r="N115" i="4"/>
  <c r="N123" i="4"/>
  <c r="N131" i="4"/>
  <c r="N139" i="4"/>
  <c r="N147" i="4"/>
  <c r="N155" i="4"/>
  <c r="N163" i="4"/>
  <c r="N171" i="4"/>
  <c r="N179" i="4"/>
  <c r="N187" i="4"/>
  <c r="N84" i="4"/>
  <c r="N108" i="4"/>
  <c r="N110" i="4"/>
  <c r="N120" i="4"/>
  <c r="N128" i="4"/>
  <c r="N136" i="4"/>
  <c r="N144" i="4"/>
  <c r="N152" i="4"/>
  <c r="N160" i="4"/>
  <c r="N168" i="4"/>
  <c r="N176" i="4"/>
  <c r="N184" i="4"/>
  <c r="N192" i="4"/>
  <c r="N200" i="4"/>
  <c r="N208" i="4"/>
  <c r="N12" i="4"/>
  <c r="N38" i="4"/>
  <c r="N76" i="4"/>
  <c r="N101" i="4"/>
  <c r="N112" i="4"/>
  <c r="N117" i="4"/>
  <c r="N125" i="4"/>
  <c r="N133" i="4"/>
  <c r="N141" i="4"/>
  <c r="N149" i="4"/>
  <c r="N157" i="4"/>
  <c r="N165" i="4"/>
  <c r="N173" i="4"/>
  <c r="N181" i="4"/>
  <c r="N189" i="4"/>
  <c r="N197" i="4"/>
  <c r="N205" i="4"/>
  <c r="N95" i="4"/>
  <c r="N103" i="4"/>
  <c r="N114" i="4"/>
  <c r="N122" i="4"/>
  <c r="N130" i="4"/>
  <c r="N138" i="4"/>
  <c r="N146" i="4"/>
  <c r="N154" i="4"/>
  <c r="N162" i="4"/>
  <c r="N170" i="4"/>
  <c r="N178" i="4"/>
  <c r="N186" i="4"/>
  <c r="N194" i="4"/>
  <c r="N202" i="4"/>
  <c r="N210" i="4"/>
  <c r="N212" i="4"/>
  <c r="N220" i="4"/>
  <c r="N228" i="4"/>
  <c r="N236" i="4"/>
  <c r="N244" i="4"/>
  <c r="N252" i="4"/>
  <c r="N260" i="4"/>
  <c r="N268" i="4"/>
  <c r="N276" i="4"/>
  <c r="N284" i="4"/>
  <c r="N292" i="4"/>
  <c r="N300" i="4"/>
  <c r="N308" i="4"/>
  <c r="N316" i="4"/>
  <c r="N324" i="4"/>
  <c r="N332" i="4"/>
  <c r="N217" i="4"/>
  <c r="N225" i="4"/>
  <c r="N233" i="4"/>
  <c r="N241" i="4"/>
  <c r="N249" i="4"/>
  <c r="N257" i="4"/>
  <c r="N265" i="4"/>
  <c r="N273" i="4"/>
  <c r="N281" i="4"/>
  <c r="N289" i="4"/>
  <c r="N297" i="4"/>
  <c r="N305" i="4"/>
  <c r="N313" i="4"/>
  <c r="N321" i="4"/>
  <c r="N214" i="4"/>
  <c r="N222" i="4"/>
  <c r="N230" i="4"/>
  <c r="N238" i="4"/>
  <c r="N246" i="4"/>
  <c r="N254" i="4"/>
  <c r="N262" i="4"/>
  <c r="N270" i="4"/>
  <c r="N278" i="4"/>
  <c r="N286" i="4"/>
  <c r="N294" i="4"/>
  <c r="N302" i="4"/>
  <c r="N310" i="4"/>
  <c r="N318" i="4"/>
  <c r="N203" i="4"/>
  <c r="N219" i="4"/>
  <c r="N227" i="4"/>
  <c r="N235" i="4"/>
  <c r="N243" i="4"/>
  <c r="N251" i="4"/>
  <c r="N259" i="4"/>
  <c r="N267" i="4"/>
  <c r="N275" i="4"/>
  <c r="N283" i="4"/>
  <c r="N291" i="4"/>
  <c r="N299" i="4"/>
  <c r="N307" i="4"/>
  <c r="N315" i="4"/>
  <c r="N323" i="4"/>
  <c r="N331" i="4"/>
  <c r="N195" i="4"/>
  <c r="N211" i="4"/>
  <c r="N216" i="4"/>
  <c r="N224" i="4"/>
  <c r="N232" i="4"/>
  <c r="N240" i="4"/>
  <c r="N248" i="4"/>
  <c r="N256" i="4"/>
  <c r="N264" i="4"/>
  <c r="N272" i="4"/>
  <c r="N280" i="4"/>
  <c r="N288" i="4"/>
  <c r="N296" i="4"/>
  <c r="N304" i="4"/>
  <c r="N312" i="4"/>
  <c r="N320" i="4"/>
  <c r="N213" i="4"/>
  <c r="N221" i="4"/>
  <c r="N229" i="4"/>
  <c r="N237" i="4"/>
  <c r="N245" i="4"/>
  <c r="N253" i="4"/>
  <c r="N261" i="4"/>
  <c r="N269" i="4"/>
  <c r="N277" i="4"/>
  <c r="N285" i="4"/>
  <c r="N293" i="4"/>
  <c r="N301" i="4"/>
  <c r="N309" i="4"/>
  <c r="N317" i="4"/>
  <c r="N201" i="4"/>
  <c r="N204" i="4"/>
  <c r="N209" i="4"/>
  <c r="N218" i="4"/>
  <c r="N226" i="4"/>
  <c r="N234" i="4"/>
  <c r="N242" i="4"/>
  <c r="N250" i="4"/>
  <c r="N258" i="4"/>
  <c r="N266" i="4"/>
  <c r="N274" i="4"/>
  <c r="N282" i="4"/>
  <c r="N290" i="4"/>
  <c r="N298" i="4"/>
  <c r="N306" i="4"/>
  <c r="N314" i="4"/>
  <c r="N322" i="4"/>
  <c r="N330" i="4"/>
  <c r="N207" i="4"/>
  <c r="N215" i="4"/>
  <c r="N223" i="4"/>
  <c r="N231" i="4"/>
  <c r="N239" i="4"/>
  <c r="N247" i="4"/>
  <c r="N255" i="4"/>
  <c r="N263" i="4"/>
  <c r="N271" i="4"/>
  <c r="N279" i="4"/>
  <c r="N287" i="4"/>
  <c r="N295" i="4"/>
  <c r="N303" i="4"/>
  <c r="N311" i="4"/>
  <c r="N319" i="4"/>
  <c r="N327" i="4"/>
  <c r="N335" i="4"/>
  <c r="N2" i="4"/>
  <c r="N400" i="4"/>
  <c r="K399" i="4"/>
  <c r="M397" i="4"/>
  <c r="O395" i="4"/>
  <c r="L394" i="4"/>
  <c r="N392" i="4"/>
  <c r="K391" i="4"/>
  <c r="M389" i="4"/>
  <c r="O387" i="4"/>
  <c r="L386" i="4"/>
  <c r="N384" i="4"/>
  <c r="K383" i="4"/>
  <c r="M381" i="4"/>
  <c r="O379" i="4"/>
  <c r="L378" i="4"/>
  <c r="N376" i="4"/>
  <c r="K375" i="4"/>
  <c r="M373" i="4"/>
  <c r="O371" i="4"/>
  <c r="L370" i="4"/>
  <c r="N368" i="4"/>
  <c r="K367" i="4"/>
  <c r="M365" i="4"/>
  <c r="O363" i="4"/>
  <c r="L362" i="4"/>
  <c r="N360" i="4"/>
  <c r="K359" i="4"/>
  <c r="M357" i="4"/>
  <c r="O355" i="4"/>
  <c r="L354" i="4"/>
  <c r="N352" i="4"/>
  <c r="K351" i="4"/>
  <c r="M349" i="4"/>
  <c r="O347" i="4"/>
  <c r="L346" i="4"/>
  <c r="N344" i="4"/>
  <c r="M341" i="4"/>
  <c r="O339" i="4"/>
  <c r="L338" i="4"/>
  <c r="O335" i="4"/>
  <c r="O332" i="4"/>
  <c r="N329" i="4"/>
  <c r="K102" i="4"/>
  <c r="K113" i="4"/>
  <c r="K118" i="4"/>
  <c r="K126" i="4"/>
  <c r="K134" i="4"/>
  <c r="K142" i="4"/>
  <c r="K150" i="4"/>
  <c r="K158" i="4"/>
  <c r="K166" i="4"/>
  <c r="K174" i="4"/>
  <c r="K182" i="4"/>
  <c r="K190" i="4"/>
  <c r="K198" i="4"/>
  <c r="K93" i="4"/>
  <c r="K106" i="4"/>
  <c r="K115" i="4"/>
  <c r="K123" i="4"/>
  <c r="K131" i="4"/>
  <c r="K139" i="4"/>
  <c r="K147" i="4"/>
  <c r="K155" i="4"/>
  <c r="K163" i="4"/>
  <c r="K171" i="4"/>
  <c r="K179" i="4"/>
  <c r="K187" i="4"/>
  <c r="K195" i="4"/>
  <c r="K19" i="4"/>
  <c r="K94" i="4"/>
  <c r="K108" i="4"/>
  <c r="K120" i="4"/>
  <c r="K128" i="4"/>
  <c r="K136" i="4"/>
  <c r="K144" i="4"/>
  <c r="K152" i="4"/>
  <c r="K160" i="4"/>
  <c r="K168" i="4"/>
  <c r="K176" i="4"/>
  <c r="K184" i="4"/>
  <c r="K192" i="4"/>
  <c r="K45" i="4"/>
  <c r="K59" i="4"/>
  <c r="K83" i="4"/>
  <c r="K101" i="4"/>
  <c r="K110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97" i="4"/>
  <c r="K99" i="4"/>
  <c r="K103" i="4"/>
  <c r="K114" i="4"/>
  <c r="K122" i="4"/>
  <c r="K130" i="4"/>
  <c r="K138" i="4"/>
  <c r="K146" i="4"/>
  <c r="K154" i="4"/>
  <c r="K162" i="4"/>
  <c r="K170" i="4"/>
  <c r="K178" i="4"/>
  <c r="K186" i="4"/>
  <c r="K91" i="4"/>
  <c r="K105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51" i="4"/>
  <c r="K107" i="4"/>
  <c r="K109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13" i="4"/>
  <c r="K27" i="4"/>
  <c r="K77" i="4"/>
  <c r="K92" i="4"/>
  <c r="K98" i="4"/>
  <c r="K100" i="4"/>
  <c r="K111" i="4"/>
  <c r="K121" i="4"/>
  <c r="K129" i="4"/>
  <c r="K137" i="4"/>
  <c r="K145" i="4"/>
  <c r="K153" i="4"/>
  <c r="K161" i="4"/>
  <c r="K169" i="4"/>
  <c r="K177" i="4"/>
  <c r="K185" i="4"/>
  <c r="K193" i="4"/>
  <c r="K219" i="4"/>
  <c r="K227" i="4"/>
  <c r="K235" i="4"/>
  <c r="K243" i="4"/>
  <c r="K251" i="4"/>
  <c r="K259" i="4"/>
  <c r="K267" i="4"/>
  <c r="K275" i="4"/>
  <c r="K283" i="4"/>
  <c r="K291" i="4"/>
  <c r="K299" i="4"/>
  <c r="K307" i="4"/>
  <c r="K315" i="4"/>
  <c r="K323" i="4"/>
  <c r="K331" i="4"/>
  <c r="K203" i="4"/>
  <c r="K208" i="4"/>
  <c r="K216" i="4"/>
  <c r="K224" i="4"/>
  <c r="K232" i="4"/>
  <c r="K240" i="4"/>
  <c r="K248" i="4"/>
  <c r="K256" i="4"/>
  <c r="K264" i="4"/>
  <c r="K272" i="4"/>
  <c r="K280" i="4"/>
  <c r="K288" i="4"/>
  <c r="K296" i="4"/>
  <c r="K304" i="4"/>
  <c r="K312" i="4"/>
  <c r="K320" i="4"/>
  <c r="K200" i="4"/>
  <c r="K206" i="4"/>
  <c r="K211" i="4"/>
  <c r="K213" i="4"/>
  <c r="K221" i="4"/>
  <c r="K229" i="4"/>
  <c r="K237" i="4"/>
  <c r="K245" i="4"/>
  <c r="K253" i="4"/>
  <c r="K261" i="4"/>
  <c r="K269" i="4"/>
  <c r="K277" i="4"/>
  <c r="K285" i="4"/>
  <c r="K293" i="4"/>
  <c r="K301" i="4"/>
  <c r="K309" i="4"/>
  <c r="K317" i="4"/>
  <c r="K325" i="4"/>
  <c r="K194" i="4"/>
  <c r="K209" i="4"/>
  <c r="K218" i="4"/>
  <c r="K226" i="4"/>
  <c r="K234" i="4"/>
  <c r="K242" i="4"/>
  <c r="K250" i="4"/>
  <c r="K258" i="4"/>
  <c r="K266" i="4"/>
  <c r="K274" i="4"/>
  <c r="K282" i="4"/>
  <c r="K290" i="4"/>
  <c r="K298" i="4"/>
  <c r="K306" i="4"/>
  <c r="K314" i="4"/>
  <c r="K322" i="4"/>
  <c r="K330" i="4"/>
  <c r="K338" i="4"/>
  <c r="K201" i="4"/>
  <c r="K215" i="4"/>
  <c r="K223" i="4"/>
  <c r="K231" i="4"/>
  <c r="K239" i="4"/>
  <c r="K247" i="4"/>
  <c r="K255" i="4"/>
  <c r="K263" i="4"/>
  <c r="K271" i="4"/>
  <c r="K279" i="4"/>
  <c r="K287" i="4"/>
  <c r="K295" i="4"/>
  <c r="K303" i="4"/>
  <c r="K311" i="4"/>
  <c r="K319" i="4"/>
  <c r="K220" i="4"/>
  <c r="K228" i="4"/>
  <c r="K236" i="4"/>
  <c r="K244" i="4"/>
  <c r="K252" i="4"/>
  <c r="K260" i="4"/>
  <c r="K268" i="4"/>
  <c r="K276" i="4"/>
  <c r="K284" i="4"/>
  <c r="K292" i="4"/>
  <c r="K300" i="4"/>
  <c r="K308" i="4"/>
  <c r="K316" i="4"/>
  <c r="K324" i="4"/>
  <c r="K217" i="4"/>
  <c r="K225" i="4"/>
  <c r="K233" i="4"/>
  <c r="K241" i="4"/>
  <c r="K249" i="4"/>
  <c r="K257" i="4"/>
  <c r="K265" i="4"/>
  <c r="K273" i="4"/>
  <c r="K281" i="4"/>
  <c r="K289" i="4"/>
  <c r="K297" i="4"/>
  <c r="K305" i="4"/>
  <c r="K313" i="4"/>
  <c r="K321" i="4"/>
  <c r="K329" i="4"/>
  <c r="K337" i="4"/>
  <c r="K202" i="4"/>
  <c r="K210" i="4"/>
  <c r="K214" i="4"/>
  <c r="K222" i="4"/>
  <c r="K230" i="4"/>
  <c r="K238" i="4"/>
  <c r="K246" i="4"/>
  <c r="K254" i="4"/>
  <c r="K262" i="4"/>
  <c r="K270" i="4"/>
  <c r="K278" i="4"/>
  <c r="K286" i="4"/>
  <c r="K294" i="4"/>
  <c r="K302" i="4"/>
  <c r="K310" i="4"/>
  <c r="K318" i="4"/>
  <c r="K326" i="4"/>
  <c r="K334" i="4"/>
  <c r="M3" i="4"/>
  <c r="M27" i="4"/>
  <c r="M41" i="4"/>
  <c r="M67" i="4"/>
  <c r="M92" i="4"/>
  <c r="M109" i="4"/>
  <c r="M116" i="4"/>
  <c r="M124" i="4"/>
  <c r="M132" i="4"/>
  <c r="M140" i="4"/>
  <c r="M148" i="4"/>
  <c r="M156" i="4"/>
  <c r="M164" i="4"/>
  <c r="M172" i="4"/>
  <c r="M180" i="4"/>
  <c r="M188" i="4"/>
  <c r="M196" i="4"/>
  <c r="M17" i="4"/>
  <c r="M43" i="4"/>
  <c r="M57" i="4"/>
  <c r="M96" i="4"/>
  <c r="M98" i="4"/>
  <c r="M100" i="4"/>
  <c r="M111" i="4"/>
  <c r="M121" i="4"/>
  <c r="M129" i="4"/>
  <c r="M137" i="4"/>
  <c r="M145" i="4"/>
  <c r="M153" i="4"/>
  <c r="M161" i="4"/>
  <c r="M169" i="4"/>
  <c r="M177" i="4"/>
  <c r="M185" i="4"/>
  <c r="M193" i="4"/>
  <c r="M81" i="4"/>
  <c r="M104" i="4"/>
  <c r="M113" i="4"/>
  <c r="M118" i="4"/>
  <c r="M126" i="4"/>
  <c r="M134" i="4"/>
  <c r="M142" i="4"/>
  <c r="M150" i="4"/>
  <c r="M158" i="4"/>
  <c r="M166" i="4"/>
  <c r="M174" i="4"/>
  <c r="M182" i="4"/>
  <c r="M190" i="4"/>
  <c r="M198" i="4"/>
  <c r="M19" i="4"/>
  <c r="M33" i="4"/>
  <c r="M89" i="4"/>
  <c r="M106" i="4"/>
  <c r="M115" i="4"/>
  <c r="M123" i="4"/>
  <c r="M131" i="4"/>
  <c r="M139" i="4"/>
  <c r="M147" i="4"/>
  <c r="M155" i="4"/>
  <c r="M163" i="4"/>
  <c r="M171" i="4"/>
  <c r="M179" i="4"/>
  <c r="M187" i="4"/>
  <c r="M195" i="4"/>
  <c r="M203" i="4"/>
  <c r="M211" i="4"/>
  <c r="M9" i="4"/>
  <c r="M35" i="4"/>
  <c r="M59" i="4"/>
  <c r="M73" i="4"/>
  <c r="M83" i="4"/>
  <c r="M90" i="4"/>
  <c r="M108" i="4"/>
  <c r="M120" i="4"/>
  <c r="M128" i="4"/>
  <c r="M136" i="4"/>
  <c r="M144" i="4"/>
  <c r="M152" i="4"/>
  <c r="M160" i="4"/>
  <c r="M168" i="4"/>
  <c r="M176" i="4"/>
  <c r="M184" i="4"/>
  <c r="M192" i="4"/>
  <c r="M11" i="4"/>
  <c r="M25" i="4"/>
  <c r="M49" i="4"/>
  <c r="M75" i="4"/>
  <c r="M99" i="4"/>
  <c r="M101" i="4"/>
  <c r="M112" i="4"/>
  <c r="M117" i="4"/>
  <c r="M125" i="4"/>
  <c r="M133" i="4"/>
  <c r="M141" i="4"/>
  <c r="M149" i="4"/>
  <c r="M157" i="4"/>
  <c r="M165" i="4"/>
  <c r="M173" i="4"/>
  <c r="M181" i="4"/>
  <c r="M189" i="4"/>
  <c r="M197" i="4"/>
  <c r="M205" i="4"/>
  <c r="M91" i="4"/>
  <c r="M95" i="4"/>
  <c r="M97" i="4"/>
  <c r="M103" i="4"/>
  <c r="M114" i="4"/>
  <c r="M122" i="4"/>
  <c r="M130" i="4"/>
  <c r="M138" i="4"/>
  <c r="M146" i="4"/>
  <c r="M154" i="4"/>
  <c r="M162" i="4"/>
  <c r="M170" i="4"/>
  <c r="M178" i="4"/>
  <c r="M186" i="4"/>
  <c r="M194" i="4"/>
  <c r="M202" i="4"/>
  <c r="M210" i="4"/>
  <c r="M51" i="4"/>
  <c r="M65" i="4"/>
  <c r="M105" i="4"/>
  <c r="M107" i="4"/>
  <c r="M119" i="4"/>
  <c r="M127" i="4"/>
  <c r="M135" i="4"/>
  <c r="M143" i="4"/>
  <c r="M151" i="4"/>
  <c r="M159" i="4"/>
  <c r="M167" i="4"/>
  <c r="M175" i="4"/>
  <c r="M183" i="4"/>
  <c r="M191" i="4"/>
  <c r="M217" i="4"/>
  <c r="M225" i="4"/>
  <c r="M233" i="4"/>
  <c r="M241" i="4"/>
  <c r="M249" i="4"/>
  <c r="M257" i="4"/>
  <c r="M265" i="4"/>
  <c r="M273" i="4"/>
  <c r="M281" i="4"/>
  <c r="M289" i="4"/>
  <c r="M297" i="4"/>
  <c r="M305" i="4"/>
  <c r="M313" i="4"/>
  <c r="M321" i="4"/>
  <c r="M329" i="4"/>
  <c r="M199" i="4"/>
  <c r="M214" i="4"/>
  <c r="M222" i="4"/>
  <c r="M230" i="4"/>
  <c r="M238" i="4"/>
  <c r="M246" i="4"/>
  <c r="M254" i="4"/>
  <c r="M262" i="4"/>
  <c r="M270" i="4"/>
  <c r="M278" i="4"/>
  <c r="M286" i="4"/>
  <c r="M294" i="4"/>
  <c r="M302" i="4"/>
  <c r="M310" i="4"/>
  <c r="M318" i="4"/>
  <c r="M208" i="4"/>
  <c r="M219" i="4"/>
  <c r="M227" i="4"/>
  <c r="M235" i="4"/>
  <c r="M243" i="4"/>
  <c r="M251" i="4"/>
  <c r="M259" i="4"/>
  <c r="M267" i="4"/>
  <c r="M275" i="4"/>
  <c r="M283" i="4"/>
  <c r="M291" i="4"/>
  <c r="M299" i="4"/>
  <c r="M307" i="4"/>
  <c r="M315" i="4"/>
  <c r="M323" i="4"/>
  <c r="M200" i="4"/>
  <c r="M216" i="4"/>
  <c r="M224" i="4"/>
  <c r="M232" i="4"/>
  <c r="M240" i="4"/>
  <c r="M248" i="4"/>
  <c r="M256" i="4"/>
  <c r="M264" i="4"/>
  <c r="M272" i="4"/>
  <c r="M280" i="4"/>
  <c r="M288" i="4"/>
  <c r="M296" i="4"/>
  <c r="M304" i="4"/>
  <c r="M312" i="4"/>
  <c r="M320" i="4"/>
  <c r="M328" i="4"/>
  <c r="M336" i="4"/>
  <c r="M206" i="4"/>
  <c r="M213" i="4"/>
  <c r="M221" i="4"/>
  <c r="M229" i="4"/>
  <c r="M237" i="4"/>
  <c r="M245" i="4"/>
  <c r="M253" i="4"/>
  <c r="M261" i="4"/>
  <c r="M269" i="4"/>
  <c r="M277" i="4"/>
  <c r="M285" i="4"/>
  <c r="M293" i="4"/>
  <c r="M301" i="4"/>
  <c r="M309" i="4"/>
  <c r="M317" i="4"/>
  <c r="M201" i="4"/>
  <c r="M204" i="4"/>
  <c r="M209" i="4"/>
  <c r="M218" i="4"/>
  <c r="M226" i="4"/>
  <c r="M234" i="4"/>
  <c r="M242" i="4"/>
  <c r="M250" i="4"/>
  <c r="M258" i="4"/>
  <c r="M266" i="4"/>
  <c r="M274" i="4"/>
  <c r="M282" i="4"/>
  <c r="M290" i="4"/>
  <c r="M298" i="4"/>
  <c r="M306" i="4"/>
  <c r="M314" i="4"/>
  <c r="M322" i="4"/>
  <c r="M207" i="4"/>
  <c r="M215" i="4"/>
  <c r="M223" i="4"/>
  <c r="M231" i="4"/>
  <c r="M239" i="4"/>
  <c r="M247" i="4"/>
  <c r="M255" i="4"/>
  <c r="M263" i="4"/>
  <c r="M271" i="4"/>
  <c r="M279" i="4"/>
  <c r="M287" i="4"/>
  <c r="M295" i="4"/>
  <c r="M303" i="4"/>
  <c r="M311" i="4"/>
  <c r="M319" i="4"/>
  <c r="M327" i="4"/>
  <c r="M335" i="4"/>
  <c r="M212" i="4"/>
  <c r="M220" i="4"/>
  <c r="M228" i="4"/>
  <c r="M236" i="4"/>
  <c r="M244" i="4"/>
  <c r="M252" i="4"/>
  <c r="M260" i="4"/>
  <c r="M268" i="4"/>
  <c r="M276" i="4"/>
  <c r="M284" i="4"/>
  <c r="M292" i="4"/>
  <c r="M300" i="4"/>
  <c r="M308" i="4"/>
  <c r="M316" i="4"/>
  <c r="M324" i="4"/>
  <c r="M332" i="4"/>
  <c r="O2" i="4"/>
  <c r="M400" i="4"/>
  <c r="O398" i="4"/>
  <c r="L397" i="4"/>
  <c r="N395" i="4"/>
  <c r="K394" i="4"/>
  <c r="M392" i="4"/>
  <c r="O390" i="4"/>
  <c r="L389" i="4"/>
  <c r="N387" i="4"/>
  <c r="K386" i="4"/>
  <c r="M384" i="4"/>
  <c r="O382" i="4"/>
  <c r="L381" i="4"/>
  <c r="N379" i="4"/>
  <c r="K378" i="4"/>
  <c r="M376" i="4"/>
  <c r="O374" i="4"/>
  <c r="L373" i="4"/>
  <c r="N371" i="4"/>
  <c r="K370" i="4"/>
  <c r="M368" i="4"/>
  <c r="O366" i="4"/>
  <c r="L365" i="4"/>
  <c r="N363" i="4"/>
  <c r="K362" i="4"/>
  <c r="M360" i="4"/>
  <c r="O358" i="4"/>
  <c r="L357" i="4"/>
  <c r="N355" i="4"/>
  <c r="K354" i="4"/>
  <c r="M352" i="4"/>
  <c r="O350" i="4"/>
  <c r="L349" i="4"/>
  <c r="N347" i="4"/>
  <c r="K346" i="4"/>
  <c r="M344" i="4"/>
  <c r="O342" i="4"/>
  <c r="L341" i="4"/>
  <c r="N339" i="4"/>
  <c r="O337" i="4"/>
  <c r="L335" i="4"/>
  <c r="K332" i="4"/>
  <c r="O328" i="4"/>
  <c r="N325" i="4"/>
  <c r="O401" i="4"/>
  <c r="L400" i="4"/>
  <c r="N398" i="4"/>
  <c r="K397" i="4"/>
  <c r="M395" i="4"/>
  <c r="O393" i="4"/>
  <c r="L392" i="4"/>
  <c r="N390" i="4"/>
  <c r="K389" i="4"/>
  <c r="M387" i="4"/>
  <c r="O385" i="4"/>
  <c r="L384" i="4"/>
  <c r="N382" i="4"/>
  <c r="K381" i="4"/>
  <c r="M379" i="4"/>
  <c r="O377" i="4"/>
  <c r="L376" i="4"/>
  <c r="N374" i="4"/>
  <c r="K373" i="4"/>
  <c r="M371" i="4"/>
  <c r="O369" i="4"/>
  <c r="L368" i="4"/>
  <c r="N366" i="4"/>
  <c r="K365" i="4"/>
  <c r="M363" i="4"/>
  <c r="O361" i="4"/>
  <c r="L360" i="4"/>
  <c r="N358" i="4"/>
  <c r="K357" i="4"/>
  <c r="M355" i="4"/>
  <c r="O353" i="4"/>
  <c r="L352" i="4"/>
  <c r="N350" i="4"/>
  <c r="K349" i="4"/>
  <c r="M347" i="4"/>
  <c r="O345" i="4"/>
  <c r="L344" i="4"/>
  <c r="N342" i="4"/>
  <c r="K341" i="4"/>
  <c r="M339" i="4"/>
  <c r="N337" i="4"/>
  <c r="K335" i="4"/>
  <c r="O331" i="4"/>
  <c r="N328" i="4"/>
  <c r="M325" i="4"/>
  <c r="N401" i="4"/>
  <c r="K400" i="4"/>
  <c r="M398" i="4"/>
  <c r="O396" i="4"/>
  <c r="L395" i="4"/>
  <c r="N393" i="4"/>
  <c r="K392" i="4"/>
  <c r="M390" i="4"/>
  <c r="O388" i="4"/>
  <c r="L387" i="4"/>
  <c r="N385" i="4"/>
  <c r="K384" i="4"/>
  <c r="M382" i="4"/>
  <c r="O380" i="4"/>
  <c r="L379" i="4"/>
  <c r="N377" i="4"/>
  <c r="K376" i="4"/>
  <c r="M374" i="4"/>
  <c r="O372" i="4"/>
  <c r="L371" i="4"/>
  <c r="N369" i="4"/>
  <c r="K368" i="4"/>
  <c r="M366" i="4"/>
  <c r="O364" i="4"/>
  <c r="L363" i="4"/>
  <c r="N361" i="4"/>
  <c r="K360" i="4"/>
  <c r="M358" i="4"/>
  <c r="O356" i="4"/>
  <c r="L355" i="4"/>
  <c r="N353" i="4"/>
  <c r="K352" i="4"/>
  <c r="M350" i="4"/>
  <c r="O348" i="4"/>
  <c r="L347" i="4"/>
  <c r="N345" i="4"/>
  <c r="K344" i="4"/>
  <c r="M342" i="4"/>
  <c r="O340" i="4"/>
  <c r="L339" i="4"/>
  <c r="M337" i="4"/>
  <c r="N334" i="4"/>
  <c r="M331" i="4"/>
  <c r="L328" i="4"/>
  <c r="O323" i="4"/>
  <c r="M401" i="4"/>
  <c r="O399" i="4"/>
  <c r="L398" i="4"/>
  <c r="N396" i="4"/>
  <c r="K395" i="4"/>
  <c r="M393" i="4"/>
  <c r="O391" i="4"/>
  <c r="L390" i="4"/>
  <c r="N388" i="4"/>
  <c r="K387" i="4"/>
  <c r="M385" i="4"/>
  <c r="O383" i="4"/>
  <c r="L382" i="4"/>
  <c r="N380" i="4"/>
  <c r="K379" i="4"/>
  <c r="M377" i="4"/>
  <c r="O375" i="4"/>
  <c r="L374" i="4"/>
  <c r="N372" i="4"/>
  <c r="K371" i="4"/>
  <c r="M369" i="4"/>
  <c r="O367" i="4"/>
  <c r="L366" i="4"/>
  <c r="N364" i="4"/>
  <c r="K363" i="4"/>
  <c r="M361" i="4"/>
  <c r="O359" i="4"/>
  <c r="L358" i="4"/>
  <c r="N356" i="4"/>
  <c r="K355" i="4"/>
  <c r="M353" i="4"/>
  <c r="O351" i="4"/>
  <c r="L350" i="4"/>
  <c r="N348" i="4"/>
  <c r="K347" i="4"/>
  <c r="M345" i="4"/>
  <c r="O343" i="4"/>
  <c r="L342" i="4"/>
  <c r="N340" i="4"/>
  <c r="K339" i="4"/>
  <c r="O336" i="4"/>
  <c r="M334" i="4"/>
  <c r="K328" i="4"/>
  <c r="L14" i="4"/>
  <c r="L78" i="4"/>
  <c r="L96" i="4"/>
  <c r="L98" i="4"/>
  <c r="L100" i="4"/>
  <c r="L111" i="4"/>
  <c r="L121" i="4"/>
  <c r="L129" i="4"/>
  <c r="L137" i="4"/>
  <c r="L145" i="4"/>
  <c r="L153" i="4"/>
  <c r="L161" i="4"/>
  <c r="L169" i="4"/>
  <c r="L177" i="4"/>
  <c r="L185" i="4"/>
  <c r="L193" i="4"/>
  <c r="L201" i="4"/>
  <c r="L6" i="4"/>
  <c r="L70" i="4"/>
  <c r="L80" i="4"/>
  <c r="L88" i="4"/>
  <c r="L102" i="4"/>
  <c r="L104" i="4"/>
  <c r="L113" i="4"/>
  <c r="L118" i="4"/>
  <c r="L126" i="4"/>
  <c r="L134" i="4"/>
  <c r="L142" i="4"/>
  <c r="L150" i="4"/>
  <c r="L158" i="4"/>
  <c r="L166" i="4"/>
  <c r="L174" i="4"/>
  <c r="L182" i="4"/>
  <c r="L190" i="4"/>
  <c r="L198" i="4"/>
  <c r="L32" i="4"/>
  <c r="L106" i="4"/>
  <c r="L115" i="4"/>
  <c r="L123" i="4"/>
  <c r="L131" i="4"/>
  <c r="L139" i="4"/>
  <c r="L147" i="4"/>
  <c r="L155" i="4"/>
  <c r="L163" i="4"/>
  <c r="L171" i="4"/>
  <c r="L179" i="4"/>
  <c r="L187" i="4"/>
  <c r="L195" i="4"/>
  <c r="L94" i="4"/>
  <c r="L108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46" i="4"/>
  <c r="L101" i="4"/>
  <c r="L110" i="4"/>
  <c r="L112" i="4"/>
  <c r="L117" i="4"/>
  <c r="L125" i="4"/>
  <c r="L133" i="4"/>
  <c r="L141" i="4"/>
  <c r="L149" i="4"/>
  <c r="L157" i="4"/>
  <c r="L165" i="4"/>
  <c r="L173" i="4"/>
  <c r="L181" i="4"/>
  <c r="L189" i="4"/>
  <c r="L38" i="4"/>
  <c r="L95" i="4"/>
  <c r="L97" i="4"/>
  <c r="L103" i="4"/>
  <c r="L114" i="4"/>
  <c r="L122" i="4"/>
  <c r="L130" i="4"/>
  <c r="L138" i="4"/>
  <c r="L146" i="4"/>
  <c r="L154" i="4"/>
  <c r="L162" i="4"/>
  <c r="L170" i="4"/>
  <c r="L178" i="4"/>
  <c r="L186" i="4"/>
  <c r="L194" i="4"/>
  <c r="L202" i="4"/>
  <c r="L210" i="4"/>
  <c r="L64" i="4"/>
  <c r="L86" i="4"/>
  <c r="L105" i="4"/>
  <c r="L119" i="4"/>
  <c r="L127" i="4"/>
  <c r="L135" i="4"/>
  <c r="L143" i="4"/>
  <c r="L151" i="4"/>
  <c r="L159" i="4"/>
  <c r="L167" i="4"/>
  <c r="L175" i="4"/>
  <c r="L183" i="4"/>
  <c r="L191" i="4"/>
  <c r="L199" i="4"/>
  <c r="L207" i="4"/>
  <c r="L87" i="4"/>
  <c r="L109" i="4"/>
  <c r="L116" i="4"/>
  <c r="L124" i="4"/>
  <c r="L132" i="4"/>
  <c r="L140" i="4"/>
  <c r="L148" i="4"/>
  <c r="L156" i="4"/>
  <c r="L164" i="4"/>
  <c r="L172" i="4"/>
  <c r="L180" i="4"/>
  <c r="L188" i="4"/>
  <c r="L205" i="4"/>
  <c r="L214" i="4"/>
  <c r="L222" i="4"/>
  <c r="L230" i="4"/>
  <c r="L238" i="4"/>
  <c r="L246" i="4"/>
  <c r="L254" i="4"/>
  <c r="L262" i="4"/>
  <c r="L270" i="4"/>
  <c r="L278" i="4"/>
  <c r="L286" i="4"/>
  <c r="L294" i="4"/>
  <c r="L302" i="4"/>
  <c r="L310" i="4"/>
  <c r="L318" i="4"/>
  <c r="L326" i="4"/>
  <c r="L334" i="4"/>
  <c r="L219" i="4"/>
  <c r="L227" i="4"/>
  <c r="L235" i="4"/>
  <c r="L243" i="4"/>
  <c r="L251" i="4"/>
  <c r="L259" i="4"/>
  <c r="L267" i="4"/>
  <c r="L275" i="4"/>
  <c r="L283" i="4"/>
  <c r="L291" i="4"/>
  <c r="L299" i="4"/>
  <c r="L307" i="4"/>
  <c r="L315" i="4"/>
  <c r="L323" i="4"/>
  <c r="L203" i="4"/>
  <c r="L216" i="4"/>
  <c r="L224" i="4"/>
  <c r="L232" i="4"/>
  <c r="L240" i="4"/>
  <c r="L248" i="4"/>
  <c r="L256" i="4"/>
  <c r="L264" i="4"/>
  <c r="L272" i="4"/>
  <c r="L280" i="4"/>
  <c r="L288" i="4"/>
  <c r="L296" i="4"/>
  <c r="L304" i="4"/>
  <c r="L312" i="4"/>
  <c r="L320" i="4"/>
  <c r="L206" i="4"/>
  <c r="L211" i="4"/>
  <c r="L213" i="4"/>
  <c r="L221" i="4"/>
  <c r="L229" i="4"/>
  <c r="L237" i="4"/>
  <c r="L245" i="4"/>
  <c r="L253" i="4"/>
  <c r="L261" i="4"/>
  <c r="L269" i="4"/>
  <c r="L277" i="4"/>
  <c r="L285" i="4"/>
  <c r="L293" i="4"/>
  <c r="L301" i="4"/>
  <c r="L309" i="4"/>
  <c r="L317" i="4"/>
  <c r="L325" i="4"/>
  <c r="L333" i="4"/>
  <c r="L204" i="4"/>
  <c r="L209" i="4"/>
  <c r="L218" i="4"/>
  <c r="L226" i="4"/>
  <c r="L234" i="4"/>
  <c r="L242" i="4"/>
  <c r="L250" i="4"/>
  <c r="L258" i="4"/>
  <c r="L266" i="4"/>
  <c r="L274" i="4"/>
  <c r="L282" i="4"/>
  <c r="L290" i="4"/>
  <c r="L298" i="4"/>
  <c r="L306" i="4"/>
  <c r="L314" i="4"/>
  <c r="L322" i="4"/>
  <c r="L196" i="4"/>
  <c r="L215" i="4"/>
  <c r="L223" i="4"/>
  <c r="L231" i="4"/>
  <c r="L239" i="4"/>
  <c r="L247" i="4"/>
  <c r="L255" i="4"/>
  <c r="L263" i="4"/>
  <c r="L271" i="4"/>
  <c r="L279" i="4"/>
  <c r="L287" i="4"/>
  <c r="L295" i="4"/>
  <c r="L303" i="4"/>
  <c r="L311" i="4"/>
  <c r="L319" i="4"/>
  <c r="L197" i="4"/>
  <c r="L212" i="4"/>
  <c r="L220" i="4"/>
  <c r="L228" i="4"/>
  <c r="L236" i="4"/>
  <c r="L244" i="4"/>
  <c r="L252" i="4"/>
  <c r="L260" i="4"/>
  <c r="L268" i="4"/>
  <c r="L276" i="4"/>
  <c r="L284" i="4"/>
  <c r="L292" i="4"/>
  <c r="L300" i="4"/>
  <c r="L308" i="4"/>
  <c r="L316" i="4"/>
  <c r="L324" i="4"/>
  <c r="L332" i="4"/>
  <c r="L217" i="4"/>
  <c r="L225" i="4"/>
  <c r="L233" i="4"/>
  <c r="L241" i="4"/>
  <c r="L249" i="4"/>
  <c r="L257" i="4"/>
  <c r="L265" i="4"/>
  <c r="L273" i="4"/>
  <c r="L281" i="4"/>
  <c r="L289" i="4"/>
  <c r="L297" i="4"/>
  <c r="L305" i="4"/>
  <c r="L313" i="4"/>
  <c r="L321" i="4"/>
  <c r="L329" i="4"/>
  <c r="L337" i="4"/>
  <c r="L2" i="4"/>
  <c r="L401" i="4"/>
  <c r="N399" i="4"/>
  <c r="K398" i="4"/>
  <c r="M396" i="4"/>
  <c r="O394" i="4"/>
  <c r="L393" i="4"/>
  <c r="N391" i="4"/>
  <c r="K390" i="4"/>
  <c r="M388" i="4"/>
  <c r="O386" i="4"/>
  <c r="L385" i="4"/>
  <c r="N383" i="4"/>
  <c r="K382" i="4"/>
  <c r="M380" i="4"/>
  <c r="O378" i="4"/>
  <c r="L377" i="4"/>
  <c r="N375" i="4"/>
  <c r="K374" i="4"/>
  <c r="M372" i="4"/>
  <c r="O370" i="4"/>
  <c r="L369" i="4"/>
  <c r="N367" i="4"/>
  <c r="K366" i="4"/>
  <c r="M364" i="4"/>
  <c r="O362" i="4"/>
  <c r="L361" i="4"/>
  <c r="N359" i="4"/>
  <c r="K358" i="4"/>
  <c r="M356" i="4"/>
  <c r="O354" i="4"/>
  <c r="L353" i="4"/>
  <c r="N351" i="4"/>
  <c r="K350" i="4"/>
  <c r="M348" i="4"/>
  <c r="O346" i="4"/>
  <c r="L345" i="4"/>
  <c r="N343" i="4"/>
  <c r="K342" i="4"/>
  <c r="M340" i="4"/>
  <c r="O338" i="4"/>
  <c r="N336" i="4"/>
  <c r="N333" i="4"/>
  <c r="M330" i="4"/>
  <c r="L327" i="4"/>
  <c r="P204" i="4"/>
  <c r="P364" i="4"/>
  <c r="P300" i="4"/>
  <c r="P367" i="4"/>
  <c r="P304" i="4"/>
  <c r="P379" i="4"/>
  <c r="P44" i="4"/>
  <c r="P316" i="4"/>
  <c r="P380" i="4"/>
  <c r="P52" i="4"/>
  <c r="P347" i="4"/>
  <c r="P383" i="4"/>
  <c r="P76" i="4"/>
  <c r="P348" i="4"/>
  <c r="P395" i="4"/>
  <c r="P172" i="4"/>
  <c r="P351" i="4"/>
  <c r="P396" i="4"/>
  <c r="P180" i="4"/>
  <c r="P363" i="4"/>
  <c r="P399" i="4"/>
  <c r="K2" i="4"/>
  <c r="K401" i="4"/>
  <c r="M399" i="4"/>
  <c r="O397" i="4"/>
  <c r="L396" i="4"/>
  <c r="N394" i="4"/>
  <c r="K393" i="4"/>
  <c r="M391" i="4"/>
  <c r="O389" i="4"/>
  <c r="L388" i="4"/>
  <c r="N386" i="4"/>
  <c r="K385" i="4"/>
  <c r="M383" i="4"/>
  <c r="O381" i="4"/>
  <c r="L380" i="4"/>
  <c r="N378" i="4"/>
  <c r="K377" i="4"/>
  <c r="M375" i="4"/>
  <c r="O373" i="4"/>
  <c r="L372" i="4"/>
  <c r="N370" i="4"/>
  <c r="K369" i="4"/>
  <c r="M367" i="4"/>
  <c r="O365" i="4"/>
  <c r="L364" i="4"/>
  <c r="N362" i="4"/>
  <c r="K361" i="4"/>
  <c r="M359" i="4"/>
  <c r="O357" i="4"/>
  <c r="L356" i="4"/>
  <c r="N354" i="4"/>
  <c r="K353" i="4"/>
  <c r="M351" i="4"/>
  <c r="O349" i="4"/>
  <c r="L348" i="4"/>
  <c r="N346" i="4"/>
  <c r="K345" i="4"/>
  <c r="M343" i="4"/>
  <c r="O341" i="4"/>
  <c r="L340" i="4"/>
  <c r="N338" i="4"/>
  <c r="L336" i="4"/>
  <c r="M333" i="4"/>
  <c r="L330" i="4"/>
  <c r="K327" i="4"/>
  <c r="P84" i="4"/>
  <c r="M48" i="4"/>
  <c r="M8" i="4"/>
  <c r="N90" i="4"/>
  <c r="N87" i="4"/>
  <c r="N113" i="4"/>
  <c r="O94" i="4"/>
  <c r="O91" i="4"/>
  <c r="O80" i="4"/>
  <c r="O85" i="4"/>
  <c r="O82" i="4"/>
  <c r="O108" i="4"/>
  <c r="K66" i="4"/>
  <c r="K74" i="4"/>
  <c r="K82" i="4"/>
  <c r="K90" i="4"/>
  <c r="K63" i="4"/>
  <c r="K71" i="4"/>
  <c r="K79" i="4"/>
  <c r="K87" i="4"/>
  <c r="K95" i="4"/>
  <c r="K44" i="4"/>
  <c r="K52" i="4"/>
  <c r="K60" i="4"/>
  <c r="K68" i="4"/>
  <c r="K76" i="4"/>
  <c r="K84" i="4"/>
  <c r="K57" i="4"/>
  <c r="K65" i="4"/>
  <c r="K73" i="4"/>
  <c r="K81" i="4"/>
  <c r="K89" i="4"/>
  <c r="K54" i="4"/>
  <c r="K62" i="4"/>
  <c r="K70" i="4"/>
  <c r="K78" i="4"/>
  <c r="K86" i="4"/>
  <c r="K88" i="4"/>
  <c r="K96" i="4"/>
  <c r="K104" i="4"/>
  <c r="K112" i="4"/>
  <c r="L61" i="4"/>
  <c r="L69" i="4"/>
  <c r="L77" i="4"/>
  <c r="L85" i="4"/>
  <c r="L93" i="4"/>
  <c r="L58" i="4"/>
  <c r="L66" i="4"/>
  <c r="L74" i="4"/>
  <c r="L82" i="4"/>
  <c r="L90" i="4"/>
  <c r="L39" i="4"/>
  <c r="L47" i="4"/>
  <c r="L55" i="4"/>
  <c r="L63" i="4"/>
  <c r="L71" i="4"/>
  <c r="L79" i="4"/>
  <c r="L52" i="4"/>
  <c r="L60" i="4"/>
  <c r="L68" i="4"/>
  <c r="L76" i="4"/>
  <c r="L84" i="4"/>
  <c r="L92" i="4"/>
  <c r="L41" i="4"/>
  <c r="L49" i="4"/>
  <c r="L57" i="4"/>
  <c r="L65" i="4"/>
  <c r="L73" i="4"/>
  <c r="L81" i="4"/>
  <c r="L83" i="4"/>
  <c r="L91" i="4"/>
  <c r="L99" i="4"/>
  <c r="L107" i="4"/>
  <c r="N43" i="4"/>
  <c r="O38" i="4"/>
  <c r="P2" i="4"/>
  <c r="Q393" i="4"/>
  <c r="K10" i="4"/>
  <c r="L5" i="4"/>
  <c r="N3" i="4"/>
  <c r="O6" i="4"/>
  <c r="P373" i="4"/>
  <c r="Q372" i="4"/>
  <c r="K8" i="4"/>
  <c r="L3" i="4"/>
  <c r="P338" i="4"/>
  <c r="Q322" i="4"/>
  <c r="P24" i="4"/>
  <c r="Q302" i="4"/>
  <c r="P16" i="4"/>
  <c r="O93" i="4"/>
  <c r="O90" i="4"/>
  <c r="O81" i="4"/>
  <c r="K69" i="4"/>
  <c r="N62" i="4"/>
  <c r="L56" i="4"/>
  <c r="O49" i="4"/>
  <c r="K37" i="4"/>
  <c r="N30" i="4"/>
  <c r="L24" i="4"/>
  <c r="O17" i="4"/>
  <c r="K5" i="4"/>
  <c r="P392" i="4"/>
  <c r="P376" i="4"/>
  <c r="P360" i="4"/>
  <c r="P344" i="4"/>
  <c r="P276" i="4"/>
  <c r="P148" i="4"/>
  <c r="P20" i="4"/>
  <c r="N99" i="4"/>
  <c r="O97" i="4"/>
  <c r="O95" i="4"/>
  <c r="N93" i="4"/>
  <c r="N86" i="4"/>
  <c r="K75" i="4"/>
  <c r="N68" i="4"/>
  <c r="L62" i="4"/>
  <c r="O55" i="4"/>
  <c r="K43" i="4"/>
  <c r="N36" i="4"/>
  <c r="L30" i="4"/>
  <c r="O23" i="4"/>
  <c r="K11" i="4"/>
  <c r="N4" i="4"/>
  <c r="P391" i="4"/>
  <c r="P375" i="4"/>
  <c r="P359" i="4"/>
  <c r="P343" i="4"/>
  <c r="P268" i="4"/>
  <c r="P140" i="4"/>
  <c r="P12" i="4"/>
  <c r="O89" i="4"/>
  <c r="O73" i="4"/>
  <c r="K61" i="4"/>
  <c r="N54" i="4"/>
  <c r="L48" i="4"/>
  <c r="O41" i="4"/>
  <c r="K29" i="4"/>
  <c r="N22" i="4"/>
  <c r="L16" i="4"/>
  <c r="O9" i="4"/>
  <c r="P388" i="4"/>
  <c r="P372" i="4"/>
  <c r="P356" i="4"/>
  <c r="P336" i="4"/>
  <c r="P244" i="4"/>
  <c r="P116" i="4"/>
  <c r="N92" i="4"/>
  <c r="N85" i="4"/>
  <c r="O79" i="4"/>
  <c r="K67" i="4"/>
  <c r="N60" i="4"/>
  <c r="L54" i="4"/>
  <c r="O47" i="4"/>
  <c r="K35" i="4"/>
  <c r="N28" i="4"/>
  <c r="L22" i="4"/>
  <c r="O15" i="4"/>
  <c r="K3" i="4"/>
  <c r="P387" i="4"/>
  <c r="P371" i="4"/>
  <c r="P355" i="4"/>
  <c r="P332" i="4"/>
  <c r="P236" i="4"/>
  <c r="P108" i="4"/>
  <c r="L89" i="4"/>
  <c r="K85" i="4"/>
  <c r="N78" i="4"/>
  <c r="L72" i="4"/>
  <c r="O65" i="4"/>
  <c r="K53" i="4"/>
  <c r="N46" i="4"/>
  <c r="L40" i="4"/>
  <c r="O33" i="4"/>
  <c r="K21" i="4"/>
  <c r="N14" i="4"/>
  <c r="L8" i="4"/>
  <c r="P400" i="4"/>
  <c r="P384" i="4"/>
  <c r="P368" i="4"/>
  <c r="P352" i="4"/>
  <c r="P320" i="4"/>
  <c r="P212" i="4"/>
  <c r="M110" i="4"/>
  <c r="N105" i="4"/>
  <c r="M102" i="4"/>
  <c r="O100" i="4"/>
  <c r="N97" i="4"/>
  <c r="M94" i="4"/>
  <c r="O92" i="4"/>
  <c r="N89" i="4"/>
  <c r="M86" i="4"/>
  <c r="O84" i="4"/>
  <c r="N81" i="4"/>
  <c r="K80" i="4"/>
  <c r="M78" i="4"/>
  <c r="O76" i="4"/>
  <c r="L75" i="4"/>
  <c r="N73" i="4"/>
  <c r="K72" i="4"/>
  <c r="M70" i="4"/>
  <c r="O68" i="4"/>
  <c r="L67" i="4"/>
  <c r="N65" i="4"/>
  <c r="K64" i="4"/>
  <c r="M62" i="4"/>
  <c r="O60" i="4"/>
  <c r="L59" i="4"/>
  <c r="N57" i="4"/>
  <c r="K56" i="4"/>
  <c r="M54" i="4"/>
  <c r="O52" i="4"/>
  <c r="L51" i="4"/>
  <c r="N49" i="4"/>
  <c r="K48" i="4"/>
  <c r="M46" i="4"/>
  <c r="O44" i="4"/>
  <c r="L43" i="4"/>
  <c r="N41" i="4"/>
  <c r="K40" i="4"/>
  <c r="M38" i="4"/>
  <c r="O36" i="4"/>
  <c r="L35" i="4"/>
  <c r="N33" i="4"/>
  <c r="K32" i="4"/>
  <c r="M30" i="4"/>
  <c r="O28" i="4"/>
  <c r="L27" i="4"/>
  <c r="N25" i="4"/>
  <c r="K24" i="4"/>
  <c r="M22" i="4"/>
  <c r="O20" i="4"/>
  <c r="L19" i="4"/>
  <c r="N17" i="4"/>
  <c r="K16" i="4"/>
  <c r="M14" i="4"/>
  <c r="O12" i="4"/>
  <c r="L11" i="4"/>
  <c r="N9" i="4"/>
  <c r="M6" i="4"/>
  <c r="O4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4" i="4"/>
  <c r="Q318" i="4"/>
  <c r="P272" i="4"/>
  <c r="P240" i="4"/>
  <c r="P208" i="4"/>
  <c r="P176" i="4"/>
  <c r="P144" i="4"/>
  <c r="P112" i="4"/>
  <c r="P80" i="4"/>
  <c r="P48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193" i="4"/>
  <c r="Q197" i="4"/>
  <c r="Q201" i="4"/>
  <c r="Q205" i="4"/>
  <c r="Q209" i="4"/>
  <c r="Q213" i="4"/>
  <c r="Q217" i="4"/>
  <c r="Q221" i="4"/>
  <c r="Q225" i="4"/>
  <c r="Q229" i="4"/>
  <c r="Q233" i="4"/>
  <c r="Q237" i="4"/>
  <c r="Q241" i="4"/>
  <c r="Q245" i="4"/>
  <c r="Q249" i="4"/>
  <c r="Q253" i="4"/>
  <c r="Q257" i="4"/>
  <c r="Q261" i="4"/>
  <c r="Q265" i="4"/>
  <c r="Q269" i="4"/>
  <c r="Q273" i="4"/>
  <c r="Q277" i="4"/>
  <c r="Q281" i="4"/>
  <c r="Q285" i="4"/>
  <c r="Q289" i="4"/>
  <c r="Q293" i="4"/>
  <c r="Q297" i="4"/>
  <c r="Q301" i="4"/>
  <c r="Q305" i="4"/>
  <c r="Q309" i="4"/>
  <c r="Q313" i="4"/>
  <c r="Q317" i="4"/>
  <c r="Q321" i="4"/>
  <c r="Q325" i="4"/>
  <c r="Q329" i="4"/>
  <c r="Q333" i="4"/>
  <c r="Q337" i="4"/>
  <c r="Q341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194" i="4"/>
  <c r="Q198" i="4"/>
  <c r="Q202" i="4"/>
  <c r="Q206" i="4"/>
  <c r="Q210" i="4"/>
  <c r="Q214" i="4"/>
  <c r="Q218" i="4"/>
  <c r="Q222" i="4"/>
  <c r="Q226" i="4"/>
  <c r="Q230" i="4"/>
  <c r="Q234" i="4"/>
  <c r="Q238" i="4"/>
  <c r="Q242" i="4"/>
  <c r="Q246" i="4"/>
  <c r="Q250" i="4"/>
  <c r="Q254" i="4"/>
  <c r="Q258" i="4"/>
  <c r="Q262" i="4"/>
  <c r="Q266" i="4"/>
  <c r="Q270" i="4"/>
  <c r="Q274" i="4"/>
  <c r="Q278" i="4"/>
  <c r="Q282" i="4"/>
  <c r="Q286" i="4"/>
  <c r="Q290" i="4"/>
  <c r="Q294" i="4"/>
  <c r="Q298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Q323" i="4"/>
  <c r="Q327" i="4"/>
  <c r="Q331" i="4"/>
  <c r="Q335" i="4"/>
  <c r="Q339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196" i="4"/>
  <c r="Q200" i="4"/>
  <c r="Q204" i="4"/>
  <c r="Q208" i="4"/>
  <c r="Q212" i="4"/>
  <c r="Q216" i="4"/>
  <c r="Q220" i="4"/>
  <c r="Q224" i="4"/>
  <c r="Q228" i="4"/>
  <c r="Q232" i="4"/>
  <c r="Q236" i="4"/>
  <c r="Q240" i="4"/>
  <c r="Q244" i="4"/>
  <c r="Q248" i="4"/>
  <c r="Q252" i="4"/>
  <c r="Q256" i="4"/>
  <c r="Q260" i="4"/>
  <c r="Q264" i="4"/>
  <c r="Q268" i="4"/>
  <c r="Q272" i="4"/>
  <c r="Q276" i="4"/>
  <c r="Q280" i="4"/>
  <c r="Q284" i="4"/>
  <c r="Q288" i="4"/>
  <c r="Q292" i="4"/>
  <c r="Q296" i="4"/>
  <c r="Q300" i="4"/>
  <c r="Q304" i="4"/>
  <c r="Q308" i="4"/>
  <c r="Q312" i="4"/>
  <c r="Q316" i="4"/>
  <c r="Q320" i="4"/>
  <c r="Q324" i="4"/>
  <c r="Q328" i="4"/>
  <c r="Q332" i="4"/>
  <c r="Q336" i="4"/>
  <c r="Q340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2" i="4"/>
  <c r="P266" i="4"/>
  <c r="P270" i="4"/>
  <c r="P274" i="4"/>
  <c r="P278" i="4"/>
  <c r="P282" i="4"/>
  <c r="P286" i="4"/>
  <c r="P290" i="4"/>
  <c r="P294" i="4"/>
  <c r="P298" i="4"/>
  <c r="P302" i="4"/>
  <c r="P306" i="4"/>
  <c r="P310" i="4"/>
  <c r="P314" i="4"/>
  <c r="P318" i="4"/>
  <c r="P322" i="4"/>
  <c r="P326" i="4"/>
  <c r="P330" i="4"/>
  <c r="P334" i="4"/>
  <c r="P3" i="4"/>
  <c r="P7" i="4"/>
  <c r="P11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195" i="4"/>
  <c r="P199" i="4"/>
  <c r="P203" i="4"/>
  <c r="P207" i="4"/>
  <c r="P211" i="4"/>
  <c r="P215" i="4"/>
  <c r="P219" i="4"/>
  <c r="P223" i="4"/>
  <c r="P227" i="4"/>
  <c r="P231" i="4"/>
  <c r="P235" i="4"/>
  <c r="P239" i="4"/>
  <c r="P243" i="4"/>
  <c r="P247" i="4"/>
  <c r="P251" i="4"/>
  <c r="P255" i="4"/>
  <c r="P259" i="4"/>
  <c r="P263" i="4"/>
  <c r="P267" i="4"/>
  <c r="P271" i="4"/>
  <c r="P275" i="4"/>
  <c r="P279" i="4"/>
  <c r="P283" i="4"/>
  <c r="P287" i="4"/>
  <c r="P291" i="4"/>
  <c r="P295" i="4"/>
  <c r="P299" i="4"/>
  <c r="P303" i="4"/>
  <c r="P307" i="4"/>
  <c r="P311" i="4"/>
  <c r="P315" i="4"/>
  <c r="P319" i="4"/>
  <c r="P323" i="4"/>
  <c r="P327" i="4"/>
  <c r="P331" i="4"/>
  <c r="P335" i="4"/>
  <c r="P339" i="4"/>
  <c r="P5" i="4"/>
  <c r="P9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193" i="4"/>
  <c r="P197" i="4"/>
  <c r="P201" i="4"/>
  <c r="P205" i="4"/>
  <c r="P209" i="4"/>
  <c r="P213" i="4"/>
  <c r="P217" i="4"/>
  <c r="P221" i="4"/>
  <c r="P225" i="4"/>
  <c r="P229" i="4"/>
  <c r="P233" i="4"/>
  <c r="P237" i="4"/>
  <c r="P241" i="4"/>
  <c r="P245" i="4"/>
  <c r="P249" i="4"/>
  <c r="P253" i="4"/>
  <c r="P257" i="4"/>
  <c r="P261" i="4"/>
  <c r="P265" i="4"/>
  <c r="P269" i="4"/>
  <c r="P273" i="4"/>
  <c r="P277" i="4"/>
  <c r="P281" i="4"/>
  <c r="P285" i="4"/>
  <c r="P289" i="4"/>
  <c r="P293" i="4"/>
  <c r="P297" i="4"/>
  <c r="P301" i="4"/>
  <c r="P305" i="4"/>
  <c r="P309" i="4"/>
  <c r="P313" i="4"/>
  <c r="P317" i="4"/>
  <c r="P321" i="4"/>
  <c r="P325" i="4"/>
  <c r="P329" i="4"/>
  <c r="P333" i="4"/>
  <c r="P337" i="4"/>
  <c r="P341" i="4"/>
  <c r="M84" i="4"/>
  <c r="N79" i="4"/>
  <c r="M76" i="4"/>
  <c r="O74" i="4"/>
  <c r="N71" i="4"/>
  <c r="M68" i="4"/>
  <c r="O66" i="4"/>
  <c r="N63" i="4"/>
  <c r="M60" i="4"/>
  <c r="O58" i="4"/>
  <c r="N55" i="4"/>
  <c r="M52" i="4"/>
  <c r="O50" i="4"/>
  <c r="N47" i="4"/>
  <c r="K46" i="4"/>
  <c r="M44" i="4"/>
  <c r="O42" i="4"/>
  <c r="N39" i="4"/>
  <c r="K38" i="4"/>
  <c r="M36" i="4"/>
  <c r="O34" i="4"/>
  <c r="L33" i="4"/>
  <c r="N31" i="4"/>
  <c r="K30" i="4"/>
  <c r="M28" i="4"/>
  <c r="O26" i="4"/>
  <c r="L25" i="4"/>
  <c r="N23" i="4"/>
  <c r="K22" i="4"/>
  <c r="M20" i="4"/>
  <c r="O18" i="4"/>
  <c r="L17" i="4"/>
  <c r="N15" i="4"/>
  <c r="K14" i="4"/>
  <c r="M12" i="4"/>
  <c r="O10" i="4"/>
  <c r="L9" i="4"/>
  <c r="N7" i="4"/>
  <c r="K6" i="4"/>
  <c r="M4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0" i="4"/>
  <c r="Q314" i="4"/>
  <c r="P296" i="4"/>
  <c r="P264" i="4"/>
  <c r="P232" i="4"/>
  <c r="P200" i="4"/>
  <c r="P168" i="4"/>
  <c r="P136" i="4"/>
  <c r="P104" i="4"/>
  <c r="P72" i="4"/>
  <c r="P40" i="4"/>
  <c r="P8" i="4"/>
  <c r="M87" i="4"/>
  <c r="N82" i="4"/>
  <c r="M79" i="4"/>
  <c r="O77" i="4"/>
  <c r="N74" i="4"/>
  <c r="M71" i="4"/>
  <c r="O69" i="4"/>
  <c r="N66" i="4"/>
  <c r="M63" i="4"/>
  <c r="O61" i="4"/>
  <c r="N58" i="4"/>
  <c r="M55" i="4"/>
  <c r="O53" i="4"/>
  <c r="N50" i="4"/>
  <c r="K49" i="4"/>
  <c r="M47" i="4"/>
  <c r="O45" i="4"/>
  <c r="L44" i="4"/>
  <c r="N42" i="4"/>
  <c r="K41" i="4"/>
  <c r="M39" i="4"/>
  <c r="O37" i="4"/>
  <c r="L36" i="4"/>
  <c r="N34" i="4"/>
  <c r="K33" i="4"/>
  <c r="M31" i="4"/>
  <c r="O29" i="4"/>
  <c r="L28" i="4"/>
  <c r="N26" i="4"/>
  <c r="K25" i="4"/>
  <c r="M23" i="4"/>
  <c r="O21" i="4"/>
  <c r="L20" i="4"/>
  <c r="N18" i="4"/>
  <c r="K17" i="4"/>
  <c r="M15" i="4"/>
  <c r="O13" i="4"/>
  <c r="L12" i="4"/>
  <c r="N10" i="4"/>
  <c r="K9" i="4"/>
  <c r="M7" i="4"/>
  <c r="O5" i="4"/>
  <c r="L4" i="4"/>
  <c r="Q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28" i="4"/>
  <c r="P312" i="4"/>
  <c r="P292" i="4"/>
  <c r="P260" i="4"/>
  <c r="P228" i="4"/>
  <c r="P196" i="4"/>
  <c r="P164" i="4"/>
  <c r="P132" i="4"/>
  <c r="P100" i="4"/>
  <c r="P68" i="4"/>
  <c r="P36" i="4"/>
  <c r="P4" i="4"/>
  <c r="M82" i="4"/>
  <c r="N77" i="4"/>
  <c r="M74" i="4"/>
  <c r="O72" i="4"/>
  <c r="N69" i="4"/>
  <c r="M66" i="4"/>
  <c r="O64" i="4"/>
  <c r="N61" i="4"/>
  <c r="M58" i="4"/>
  <c r="O56" i="4"/>
  <c r="N53" i="4"/>
  <c r="M50" i="4"/>
  <c r="O48" i="4"/>
  <c r="N45" i="4"/>
  <c r="M42" i="4"/>
  <c r="O40" i="4"/>
  <c r="N37" i="4"/>
  <c r="K36" i="4"/>
  <c r="M34" i="4"/>
  <c r="O32" i="4"/>
  <c r="L31" i="4"/>
  <c r="N29" i="4"/>
  <c r="K28" i="4"/>
  <c r="M26" i="4"/>
  <c r="O24" i="4"/>
  <c r="L23" i="4"/>
  <c r="N21" i="4"/>
  <c r="K20" i="4"/>
  <c r="M18" i="4"/>
  <c r="O16" i="4"/>
  <c r="L15" i="4"/>
  <c r="N13" i="4"/>
  <c r="K12" i="4"/>
  <c r="M10" i="4"/>
  <c r="O8" i="4"/>
  <c r="L7" i="4"/>
  <c r="N5" i="4"/>
  <c r="K4" i="4"/>
  <c r="Q401" i="4"/>
  <c r="Q397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P340" i="4"/>
  <c r="Q326" i="4"/>
  <c r="Q310" i="4"/>
  <c r="P288" i="4"/>
  <c r="P256" i="4"/>
  <c r="P224" i="4"/>
  <c r="P192" i="4"/>
  <c r="P160" i="4"/>
  <c r="P128" i="4"/>
  <c r="P96" i="4"/>
  <c r="P64" i="4"/>
  <c r="P32" i="4"/>
  <c r="M93" i="4"/>
  <c r="N88" i="4"/>
  <c r="M85" i="4"/>
  <c r="O83" i="4"/>
  <c r="N80" i="4"/>
  <c r="M77" i="4"/>
  <c r="O75" i="4"/>
  <c r="N72" i="4"/>
  <c r="M69" i="4"/>
  <c r="O67" i="4"/>
  <c r="N64" i="4"/>
  <c r="M61" i="4"/>
  <c r="O59" i="4"/>
  <c r="N56" i="4"/>
  <c r="K55" i="4"/>
  <c r="M53" i="4"/>
  <c r="O51" i="4"/>
  <c r="L50" i="4"/>
  <c r="N48" i="4"/>
  <c r="K47" i="4"/>
  <c r="M45" i="4"/>
  <c r="O43" i="4"/>
  <c r="L42" i="4"/>
  <c r="N40" i="4"/>
  <c r="K39" i="4"/>
  <c r="M37" i="4"/>
  <c r="O35" i="4"/>
  <c r="L34" i="4"/>
  <c r="N32" i="4"/>
  <c r="K31" i="4"/>
  <c r="M29" i="4"/>
  <c r="O27" i="4"/>
  <c r="L26" i="4"/>
  <c r="N24" i="4"/>
  <c r="K23" i="4"/>
  <c r="M21" i="4"/>
  <c r="O19" i="4"/>
  <c r="L18" i="4"/>
  <c r="N16" i="4"/>
  <c r="K15" i="4"/>
  <c r="M13" i="4"/>
  <c r="O11" i="4"/>
  <c r="L10" i="4"/>
  <c r="N8" i="4"/>
  <c r="K7" i="4"/>
  <c r="M5" i="4"/>
  <c r="O3" i="4"/>
  <c r="P401" i="4"/>
  <c r="P397" i="4"/>
  <c r="P393" i="4"/>
  <c r="P389" i="4"/>
  <c r="P385" i="4"/>
  <c r="P381" i="4"/>
  <c r="P377" i="4"/>
  <c r="P369" i="4"/>
  <c r="P365" i="4"/>
  <c r="P361" i="4"/>
  <c r="P357" i="4"/>
  <c r="P353" i="4"/>
  <c r="P349" i="4"/>
  <c r="P345" i="4"/>
  <c r="Q338" i="4"/>
  <c r="P324" i="4"/>
  <c r="P308" i="4"/>
  <c r="P284" i="4"/>
  <c r="P252" i="4"/>
  <c r="P220" i="4"/>
  <c r="P188" i="4"/>
  <c r="P156" i="4"/>
  <c r="P124" i="4"/>
  <c r="P92" i="4"/>
  <c r="P60" i="4"/>
  <c r="P28" i="4"/>
  <c r="N91" i="4"/>
  <c r="M88" i="4"/>
  <c r="O86" i="4"/>
  <c r="N83" i="4"/>
  <c r="M80" i="4"/>
  <c r="O78" i="4"/>
  <c r="N75" i="4"/>
  <c r="M72" i="4"/>
  <c r="O70" i="4"/>
  <c r="N67" i="4"/>
  <c r="M64" i="4"/>
  <c r="O62" i="4"/>
  <c r="N59" i="4"/>
  <c r="K58" i="4"/>
  <c r="M56" i="4"/>
  <c r="O54" i="4"/>
  <c r="L53" i="4"/>
  <c r="N51" i="4"/>
  <c r="K50" i="4"/>
  <c r="O46" i="4"/>
  <c r="L45" i="4"/>
  <c r="K42" i="4"/>
  <c r="M40" i="4"/>
  <c r="L37" i="4"/>
  <c r="N35" i="4"/>
  <c r="K34" i="4"/>
  <c r="M32" i="4"/>
  <c r="O30" i="4"/>
  <c r="L29" i="4"/>
  <c r="N27" i="4"/>
  <c r="K26" i="4"/>
  <c r="M24" i="4"/>
  <c r="O22" i="4"/>
  <c r="L21" i="4"/>
  <c r="N19" i="4"/>
  <c r="K18" i="4"/>
  <c r="M16" i="4"/>
  <c r="O14" i="4"/>
  <c r="L13" i="4"/>
  <c r="N11" i="4"/>
  <c r="Q400" i="4"/>
  <c r="Q396" i="4"/>
  <c r="Q392" i="4"/>
  <c r="Q388" i="4"/>
  <c r="Q384" i="4"/>
  <c r="Q380" i="4"/>
  <c r="Q376" i="4"/>
  <c r="Q368" i="4"/>
  <c r="Q364" i="4"/>
  <c r="Q360" i="4"/>
  <c r="Q356" i="4"/>
  <c r="Q352" i="4"/>
  <c r="Q348" i="4"/>
  <c r="Q344" i="4"/>
  <c r="Q306" i="4"/>
  <c r="P280" i="4"/>
  <c r="P248" i="4"/>
  <c r="P216" i="4"/>
  <c r="P184" i="4"/>
  <c r="P152" i="4"/>
  <c r="P120" i="4"/>
  <c r="P88" i="4"/>
  <c r="P56" i="4"/>
  <c r="M23" i="3"/>
  <c r="K23" i="3"/>
  <c r="S23" i="3"/>
  <c r="U23" i="3"/>
  <c r="N23" i="3"/>
  <c r="X23" i="3"/>
  <c r="G29" i="2"/>
  <c r="G267" i="2"/>
  <c r="G302" i="2"/>
  <c r="G258" i="2"/>
  <c r="J42" i="3"/>
  <c r="K42" i="3" s="1"/>
  <c r="G218" i="2"/>
  <c r="G96" i="2"/>
  <c r="G126" i="2"/>
  <c r="G275" i="2"/>
  <c r="G480" i="2"/>
  <c r="G311" i="2"/>
  <c r="G448" i="2"/>
  <c r="G85" i="2"/>
  <c r="G280" i="2"/>
  <c r="G556" i="2"/>
  <c r="G111" i="2"/>
  <c r="G386" i="2"/>
  <c r="G469" i="2"/>
  <c r="G77" i="2"/>
  <c r="G112" i="2"/>
  <c r="G303" i="2"/>
  <c r="G451" i="2"/>
  <c r="G537" i="2"/>
  <c r="G583" i="2"/>
  <c r="G384" i="2"/>
  <c r="G339" i="2"/>
  <c r="G39" i="2"/>
  <c r="G320" i="2"/>
  <c r="G43" i="2"/>
  <c r="G106" i="2"/>
  <c r="G194" i="2"/>
  <c r="G246" i="2"/>
  <c r="G501" i="2"/>
  <c r="G328" i="2"/>
  <c r="G330" i="2"/>
  <c r="G495" i="2"/>
  <c r="G528" i="2"/>
  <c r="G390" i="2"/>
  <c r="G463" i="2"/>
  <c r="G519" i="2"/>
  <c r="G565" i="2"/>
  <c r="G588" i="2"/>
  <c r="G467" i="2"/>
  <c r="G428" i="2"/>
  <c r="G158" i="2"/>
  <c r="G301" i="2"/>
  <c r="G526" i="2"/>
  <c r="G524" i="2"/>
  <c r="G108" i="2"/>
  <c r="G299" i="2"/>
  <c r="G509" i="2"/>
  <c r="G90" i="2"/>
  <c r="G72" i="2"/>
  <c r="G68" i="2"/>
  <c r="G73" i="2"/>
  <c r="G88" i="2"/>
  <c r="G216" i="2"/>
  <c r="G243" i="2"/>
  <c r="G233" i="2"/>
  <c r="G190" i="2"/>
  <c r="G87" i="2"/>
  <c r="G436" i="2"/>
  <c r="G490" i="2"/>
  <c r="G395" i="2"/>
  <c r="G381" i="2"/>
  <c r="G422" i="2"/>
  <c r="G230" i="2"/>
  <c r="G521" i="2"/>
  <c r="G294" i="2"/>
  <c r="G8" i="2"/>
  <c r="G36" i="2"/>
  <c r="G60" i="2"/>
  <c r="G37" i="2"/>
  <c r="G247" i="2"/>
  <c r="G466" i="2"/>
  <c r="G383" i="2"/>
  <c r="G344" i="2"/>
  <c r="G440" i="2"/>
  <c r="G415" i="2"/>
  <c r="G430" i="2"/>
  <c r="G447" i="2"/>
  <c r="G274" i="2"/>
  <c r="G401" i="2"/>
  <c r="G291" i="2"/>
  <c r="G452" i="2"/>
  <c r="G427" i="2"/>
  <c r="G407" i="2"/>
  <c r="G520" i="2"/>
  <c r="G492" i="2"/>
  <c r="G572" i="2"/>
  <c r="G598" i="2"/>
  <c r="G34" i="2"/>
  <c r="G78" i="2"/>
  <c r="G292" i="2"/>
  <c r="G32" i="2"/>
  <c r="G22" i="2"/>
  <c r="G62" i="2"/>
  <c r="G91" i="2"/>
  <c r="G134" i="2"/>
  <c r="G66" i="2"/>
  <c r="G155" i="2"/>
  <c r="G191" i="2"/>
  <c r="G479" i="2"/>
  <c r="G455" i="2"/>
  <c r="G240" i="2"/>
  <c r="G283" i="2"/>
  <c r="G475" i="2"/>
  <c r="G297" i="2"/>
  <c r="G523" i="2"/>
  <c r="G199" i="2"/>
  <c r="G209" i="2"/>
  <c r="G338" i="2"/>
  <c r="G237" i="2"/>
  <c r="G161" i="2"/>
  <c r="G264" i="2"/>
  <c r="G368" i="2"/>
  <c r="G293" i="2"/>
  <c r="G239" i="2"/>
  <c r="G377" i="2"/>
  <c r="G400" i="2"/>
  <c r="G398" i="2"/>
  <c r="G367" i="2"/>
  <c r="G372" i="2"/>
  <c r="G456" i="2"/>
  <c r="G402" i="2"/>
  <c r="G183" i="2"/>
  <c r="G548" i="2"/>
  <c r="G188" i="2"/>
  <c r="G13" i="2"/>
  <c r="G42" i="2"/>
  <c r="G114" i="2"/>
  <c r="G142" i="2"/>
  <c r="G207" i="2"/>
  <c r="G146" i="2"/>
  <c r="G459" i="2"/>
  <c r="G318" i="2"/>
  <c r="G348" i="2"/>
  <c r="G461" i="2"/>
  <c r="G52" i="2"/>
  <c r="G67" i="2"/>
  <c r="G93" i="2"/>
  <c r="G51" i="2"/>
  <c r="G138" i="2"/>
  <c r="G117" i="2"/>
  <c r="G122" i="2"/>
  <c r="G195" i="2"/>
  <c r="G223" i="2"/>
  <c r="G193" i="2"/>
  <c r="G309" i="2"/>
  <c r="G429" i="2"/>
  <c r="G355" i="2"/>
  <c r="G434" i="2"/>
  <c r="G570" i="2"/>
  <c r="G506" i="2"/>
  <c r="G221" i="2"/>
  <c r="G11" i="2"/>
  <c r="F26" i="3" s="1"/>
  <c r="G21" i="2"/>
  <c r="G48" i="2"/>
  <c r="G19" i="2"/>
  <c r="G28" i="2"/>
  <c r="G53" i="2"/>
  <c r="G74" i="2"/>
  <c r="G107" i="2"/>
  <c r="G169" i="2"/>
  <c r="G172" i="2"/>
  <c r="G127" i="2"/>
  <c r="G200" i="2"/>
  <c r="G244" i="2"/>
  <c r="G285" i="2"/>
  <c r="G405" i="2"/>
  <c r="G510" i="2"/>
  <c r="G476" i="2"/>
  <c r="G454" i="2"/>
  <c r="G411" i="2"/>
  <c r="G431" i="2"/>
  <c r="G560" i="2"/>
  <c r="AB650" i="4"/>
  <c r="AB644" i="4"/>
  <c r="AB641" i="4"/>
  <c r="AB648" i="4"/>
  <c r="AB651" i="4"/>
  <c r="AB645" i="4"/>
  <c r="AB649" i="4"/>
  <c r="AB646" i="4"/>
  <c r="AB647" i="4"/>
  <c r="AB630" i="4"/>
  <c r="AB620" i="4"/>
  <c r="AB610" i="4"/>
  <c r="AB600" i="4"/>
  <c r="AB590" i="4"/>
  <c r="AB627" i="4"/>
  <c r="AB617" i="4"/>
  <c r="AB607" i="4"/>
  <c r="AB597" i="4"/>
  <c r="AB639" i="4"/>
  <c r="AB637" i="4"/>
  <c r="AB634" i="4"/>
  <c r="AB624" i="4"/>
  <c r="AB614" i="4"/>
  <c r="AB604" i="4"/>
  <c r="AB594" i="4"/>
  <c r="AB631" i="4"/>
  <c r="AB621" i="4"/>
  <c r="AB611" i="4"/>
  <c r="AB601" i="4"/>
  <c r="AB591" i="4"/>
  <c r="AB643" i="4"/>
  <c r="AB642" i="4"/>
  <c r="AB628" i="4"/>
  <c r="AB618" i="4"/>
  <c r="AB608" i="4"/>
  <c r="AB598" i="4"/>
  <c r="AB635" i="4"/>
  <c r="AB625" i="4"/>
  <c r="AB615" i="4"/>
  <c r="AB605" i="4"/>
  <c r="AB595" i="4"/>
  <c r="AB638" i="4"/>
  <c r="AB632" i="4"/>
  <c r="AB622" i="4"/>
  <c r="AB612" i="4"/>
  <c r="AB602" i="4"/>
  <c r="AB636" i="4"/>
  <c r="AB626" i="4"/>
  <c r="AB616" i="4"/>
  <c r="AB606" i="4"/>
  <c r="AB596" i="4"/>
  <c r="AB640" i="4"/>
  <c r="AB633" i="4"/>
  <c r="AB609" i="4"/>
  <c r="AB585" i="4"/>
  <c r="AB575" i="4"/>
  <c r="AB565" i="4"/>
  <c r="AB555" i="4"/>
  <c r="AB545" i="4"/>
  <c r="AB535" i="4"/>
  <c r="AB525" i="4"/>
  <c r="AB515" i="4"/>
  <c r="AB505" i="4"/>
  <c r="AB495" i="4"/>
  <c r="AB603" i="4"/>
  <c r="AB588" i="4"/>
  <c r="AB582" i="4"/>
  <c r="AB572" i="4"/>
  <c r="AB562" i="4"/>
  <c r="AB552" i="4"/>
  <c r="AB542" i="4"/>
  <c r="AB532" i="4"/>
  <c r="AB522" i="4"/>
  <c r="AB512" i="4"/>
  <c r="AB502" i="4"/>
  <c r="AB629" i="4"/>
  <c r="AB592" i="4"/>
  <c r="AB579" i="4"/>
  <c r="AB569" i="4"/>
  <c r="AB559" i="4"/>
  <c r="AB549" i="4"/>
  <c r="AB539" i="4"/>
  <c r="AB529" i="4"/>
  <c r="AB519" i="4"/>
  <c r="AB509" i="4"/>
  <c r="AB623" i="4"/>
  <c r="AB586" i="4"/>
  <c r="AB576" i="4"/>
  <c r="AB566" i="4"/>
  <c r="AB556" i="4"/>
  <c r="AB546" i="4"/>
  <c r="AB536" i="4"/>
  <c r="AB526" i="4"/>
  <c r="AB516" i="4"/>
  <c r="AB506" i="4"/>
  <c r="AB599" i="4"/>
  <c r="AB583" i="4"/>
  <c r="AB573" i="4"/>
  <c r="AB563" i="4"/>
  <c r="AB553" i="4"/>
  <c r="AB543" i="4"/>
  <c r="AB533" i="4"/>
  <c r="AB523" i="4"/>
  <c r="AB513" i="4"/>
  <c r="AB503" i="4"/>
  <c r="AB580" i="4"/>
  <c r="AB570" i="4"/>
  <c r="AB560" i="4"/>
  <c r="AB550" i="4"/>
  <c r="AB540" i="4"/>
  <c r="AB530" i="4"/>
  <c r="AB520" i="4"/>
  <c r="AB510" i="4"/>
  <c r="AB619" i="4"/>
  <c r="AB593" i="4"/>
  <c r="AB587" i="4"/>
  <c r="AB577" i="4"/>
  <c r="AB567" i="4"/>
  <c r="AB557" i="4"/>
  <c r="AB547" i="4"/>
  <c r="AB537" i="4"/>
  <c r="AB527" i="4"/>
  <c r="AB517" i="4"/>
  <c r="AB613" i="4"/>
  <c r="AB584" i="4"/>
  <c r="AB574" i="4"/>
  <c r="AB578" i="4"/>
  <c r="AB568" i="4"/>
  <c r="AB558" i="4"/>
  <c r="AB548" i="4"/>
  <c r="AB538" i="4"/>
  <c r="AB528" i="4"/>
  <c r="AB518" i="4"/>
  <c r="AB508" i="4"/>
  <c r="AB564" i="4"/>
  <c r="AB514" i="4"/>
  <c r="AB499" i="4"/>
  <c r="AB497" i="4"/>
  <c r="AB492" i="4"/>
  <c r="AB482" i="4"/>
  <c r="AB472" i="4"/>
  <c r="AB462" i="4"/>
  <c r="AB452" i="4"/>
  <c r="AB442" i="4"/>
  <c r="AB432" i="4"/>
  <c r="AB422" i="4"/>
  <c r="AB412" i="4"/>
  <c r="AB402" i="4"/>
  <c r="AB589" i="4"/>
  <c r="AB571" i="4"/>
  <c r="AB561" i="4"/>
  <c r="AB511" i="4"/>
  <c r="AB504" i="4"/>
  <c r="AB489" i="4"/>
  <c r="AB479" i="4"/>
  <c r="AB469" i="4"/>
  <c r="AB459" i="4"/>
  <c r="AB449" i="4"/>
  <c r="AB439" i="4"/>
  <c r="AB429" i="4"/>
  <c r="AB419" i="4"/>
  <c r="AB409" i="4"/>
  <c r="AB534" i="4"/>
  <c r="AB486" i="4"/>
  <c r="AB476" i="4"/>
  <c r="AB466" i="4"/>
  <c r="AB456" i="4"/>
  <c r="AB446" i="4"/>
  <c r="AB436" i="4"/>
  <c r="AB531" i="4"/>
  <c r="AB493" i="4"/>
  <c r="AB483" i="4"/>
  <c r="AB473" i="4"/>
  <c r="AB463" i="4"/>
  <c r="AB453" i="4"/>
  <c r="AB443" i="4"/>
  <c r="AB433" i="4"/>
  <c r="AB581" i="4"/>
  <c r="AB554" i="4"/>
  <c r="AB501" i="4"/>
  <c r="AB490" i="4"/>
  <c r="AB480" i="4"/>
  <c r="AB470" i="4"/>
  <c r="AB460" i="4"/>
  <c r="AB450" i="4"/>
  <c r="AB440" i="4"/>
  <c r="AB430" i="4"/>
  <c r="AB551" i="4"/>
  <c r="AB498" i="4"/>
  <c r="AB496" i="4"/>
  <c r="AB487" i="4"/>
  <c r="AB477" i="4"/>
  <c r="AB467" i="4"/>
  <c r="AB457" i="4"/>
  <c r="AB447" i="4"/>
  <c r="AB437" i="4"/>
  <c r="AB524" i="4"/>
  <c r="AB494" i="4"/>
  <c r="AB484" i="4"/>
  <c r="AB474" i="4"/>
  <c r="AB464" i="4"/>
  <c r="AB454" i="4"/>
  <c r="AB444" i="4"/>
  <c r="AB434" i="4"/>
  <c r="AB521" i="4"/>
  <c r="AB500" i="4"/>
  <c r="AB544" i="4"/>
  <c r="AB507" i="4"/>
  <c r="AB488" i="4"/>
  <c r="AB478" i="4"/>
  <c r="AB468" i="4"/>
  <c r="AB458" i="4"/>
  <c r="AB448" i="4"/>
  <c r="AB438" i="4"/>
  <c r="AB428" i="4"/>
  <c r="AB418" i="4"/>
  <c r="AB541" i="4"/>
  <c r="AB471" i="4"/>
  <c r="AB465" i="4"/>
  <c r="AB417" i="4"/>
  <c r="AB406" i="4"/>
  <c r="AB491" i="4"/>
  <c r="AB441" i="4"/>
  <c r="AB414" i="4"/>
  <c r="AB404" i="4"/>
  <c r="AB485" i="4"/>
  <c r="AB435" i="4"/>
  <c r="AB421" i="4"/>
  <c r="AB411" i="4"/>
  <c r="AB461" i="4"/>
  <c r="AB420" i="4"/>
  <c r="AB416" i="4"/>
  <c r="AB408" i="4"/>
  <c r="AB455" i="4"/>
  <c r="AB413" i="4"/>
  <c r="AB481" i="4"/>
  <c r="AB431" i="4"/>
  <c r="AB426" i="4"/>
  <c r="AB425" i="4"/>
  <c r="AB410" i="4"/>
  <c r="AB475" i="4"/>
  <c r="AB427" i="4"/>
  <c r="AB424" i="4"/>
  <c r="AB407" i="4"/>
  <c r="AB405" i="4"/>
  <c r="AB403" i="4"/>
  <c r="AB451" i="4"/>
  <c r="AB423" i="4"/>
  <c r="AB445" i="4"/>
  <c r="AB415" i="4"/>
  <c r="AC641" i="4"/>
  <c r="AC648" i="4"/>
  <c r="AC651" i="4"/>
  <c r="AC645" i="4"/>
  <c r="AC649" i="4"/>
  <c r="AC646" i="4"/>
  <c r="AC644" i="4"/>
  <c r="AC627" i="4"/>
  <c r="AC617" i="4"/>
  <c r="AC607" i="4"/>
  <c r="AC597" i="4"/>
  <c r="AC587" i="4"/>
  <c r="AC639" i="4"/>
  <c r="AC637" i="4"/>
  <c r="AC634" i="4"/>
  <c r="AC624" i="4"/>
  <c r="AC614" i="4"/>
  <c r="AC604" i="4"/>
  <c r="AC594" i="4"/>
  <c r="AC631" i="4"/>
  <c r="AC621" i="4"/>
  <c r="AC611" i="4"/>
  <c r="AC601" i="4"/>
  <c r="AC591" i="4"/>
  <c r="AC650" i="4"/>
  <c r="AC647" i="4"/>
  <c r="AC643" i="4"/>
  <c r="AC642" i="4"/>
  <c r="AC628" i="4"/>
  <c r="AC618" i="4"/>
  <c r="AC608" i="4"/>
  <c r="AC598" i="4"/>
  <c r="AC635" i="4"/>
  <c r="AC625" i="4"/>
  <c r="AC615" i="4"/>
  <c r="AC605" i="4"/>
  <c r="AC595" i="4"/>
  <c r="AC638" i="4"/>
  <c r="AC632" i="4"/>
  <c r="AC622" i="4"/>
  <c r="AC612" i="4"/>
  <c r="AC602" i="4"/>
  <c r="AC629" i="4"/>
  <c r="AC619" i="4"/>
  <c r="AC609" i="4"/>
  <c r="AC599" i="4"/>
  <c r="AC636" i="4"/>
  <c r="AC640" i="4"/>
  <c r="AC633" i="4"/>
  <c r="AC623" i="4"/>
  <c r="AC613" i="4"/>
  <c r="AC603" i="4"/>
  <c r="AC593" i="4"/>
  <c r="AC630" i="4"/>
  <c r="AC606" i="4"/>
  <c r="AC588" i="4"/>
  <c r="AC582" i="4"/>
  <c r="AC572" i="4"/>
  <c r="AC562" i="4"/>
  <c r="AC552" i="4"/>
  <c r="AC542" i="4"/>
  <c r="AC532" i="4"/>
  <c r="AC522" i="4"/>
  <c r="AC512" i="4"/>
  <c r="AC502" i="4"/>
  <c r="AC600" i="4"/>
  <c r="AC592" i="4"/>
  <c r="AC579" i="4"/>
  <c r="AC569" i="4"/>
  <c r="AC559" i="4"/>
  <c r="AC549" i="4"/>
  <c r="AC539" i="4"/>
  <c r="AC529" i="4"/>
  <c r="AC519" i="4"/>
  <c r="AC509" i="4"/>
  <c r="AC499" i="4"/>
  <c r="AC626" i="4"/>
  <c r="AC586" i="4"/>
  <c r="AC576" i="4"/>
  <c r="AC566" i="4"/>
  <c r="AC556" i="4"/>
  <c r="AC546" i="4"/>
  <c r="AC536" i="4"/>
  <c r="AC526" i="4"/>
  <c r="AC516" i="4"/>
  <c r="AC620" i="4"/>
  <c r="AC583" i="4"/>
  <c r="AC573" i="4"/>
  <c r="AC563" i="4"/>
  <c r="AC553" i="4"/>
  <c r="AC543" i="4"/>
  <c r="AC533" i="4"/>
  <c r="AC523" i="4"/>
  <c r="AC513" i="4"/>
  <c r="AC503" i="4"/>
  <c r="AC596" i="4"/>
  <c r="AC580" i="4"/>
  <c r="AC570" i="4"/>
  <c r="AC560" i="4"/>
  <c r="AC550" i="4"/>
  <c r="AC540" i="4"/>
  <c r="AC530" i="4"/>
  <c r="AC520" i="4"/>
  <c r="AC510" i="4"/>
  <c r="AC577" i="4"/>
  <c r="AC567" i="4"/>
  <c r="AC557" i="4"/>
  <c r="AC547" i="4"/>
  <c r="AC537" i="4"/>
  <c r="AC527" i="4"/>
  <c r="AC517" i="4"/>
  <c r="AC507" i="4"/>
  <c r="AC616" i="4"/>
  <c r="AC590" i="4"/>
  <c r="AC584" i="4"/>
  <c r="AC574" i="4"/>
  <c r="AC564" i="4"/>
  <c r="AC554" i="4"/>
  <c r="AC544" i="4"/>
  <c r="AC534" i="4"/>
  <c r="AC524" i="4"/>
  <c r="AC514" i="4"/>
  <c r="AC610" i="4"/>
  <c r="AC589" i="4"/>
  <c r="AC581" i="4"/>
  <c r="AC571" i="4"/>
  <c r="AC585" i="4"/>
  <c r="AC575" i="4"/>
  <c r="AC565" i="4"/>
  <c r="AC555" i="4"/>
  <c r="AC545" i="4"/>
  <c r="AC535" i="4"/>
  <c r="AC525" i="4"/>
  <c r="AC515" i="4"/>
  <c r="AC505" i="4"/>
  <c r="AC561" i="4"/>
  <c r="AC511" i="4"/>
  <c r="AC504" i="4"/>
  <c r="AC495" i="4"/>
  <c r="AC489" i="4"/>
  <c r="AC479" i="4"/>
  <c r="AC469" i="4"/>
  <c r="AC459" i="4"/>
  <c r="AC449" i="4"/>
  <c r="AC439" i="4"/>
  <c r="AC429" i="4"/>
  <c r="AC419" i="4"/>
  <c r="AC409" i="4"/>
  <c r="AC558" i="4"/>
  <c r="AC486" i="4"/>
  <c r="AC476" i="4"/>
  <c r="AC466" i="4"/>
  <c r="AC456" i="4"/>
  <c r="AC446" i="4"/>
  <c r="AC436" i="4"/>
  <c r="AC426" i="4"/>
  <c r="AC416" i="4"/>
  <c r="AC531" i="4"/>
  <c r="AC508" i="4"/>
  <c r="AC493" i="4"/>
  <c r="AC483" i="4"/>
  <c r="AC473" i="4"/>
  <c r="AC463" i="4"/>
  <c r="AC453" i="4"/>
  <c r="AC443" i="4"/>
  <c r="AC433" i="4"/>
  <c r="AC528" i="4"/>
  <c r="AC501" i="4"/>
  <c r="AC490" i="4"/>
  <c r="AC480" i="4"/>
  <c r="AC470" i="4"/>
  <c r="AC460" i="4"/>
  <c r="AC450" i="4"/>
  <c r="AC440" i="4"/>
  <c r="AC430" i="4"/>
  <c r="AC551" i="4"/>
  <c r="AC498" i="4"/>
  <c r="AC496" i="4"/>
  <c r="AC487" i="4"/>
  <c r="AC477" i="4"/>
  <c r="AC467" i="4"/>
  <c r="AC457" i="4"/>
  <c r="AC447" i="4"/>
  <c r="AC437" i="4"/>
  <c r="AC427" i="4"/>
  <c r="AC548" i="4"/>
  <c r="AC506" i="4"/>
  <c r="AC494" i="4"/>
  <c r="AC484" i="4"/>
  <c r="AC474" i="4"/>
  <c r="AC464" i="4"/>
  <c r="AC454" i="4"/>
  <c r="AC444" i="4"/>
  <c r="AC434" i="4"/>
  <c r="AC521" i="4"/>
  <c r="AC500" i="4"/>
  <c r="AC491" i="4"/>
  <c r="AC481" i="4"/>
  <c r="AC471" i="4"/>
  <c r="AC461" i="4"/>
  <c r="AC451" i="4"/>
  <c r="AC441" i="4"/>
  <c r="AC431" i="4"/>
  <c r="AC568" i="4"/>
  <c r="AC518" i="4"/>
  <c r="AC541" i="4"/>
  <c r="AC485" i="4"/>
  <c r="AC475" i="4"/>
  <c r="AC465" i="4"/>
  <c r="AC455" i="4"/>
  <c r="AC445" i="4"/>
  <c r="AC435" i="4"/>
  <c r="AC425" i="4"/>
  <c r="AC578" i="4"/>
  <c r="AC538" i="4"/>
  <c r="AC468" i="4"/>
  <c r="AC422" i="4"/>
  <c r="AC417" i="4"/>
  <c r="AC406" i="4"/>
  <c r="AC462" i="4"/>
  <c r="AC414" i="4"/>
  <c r="AC404" i="4"/>
  <c r="AC488" i="4"/>
  <c r="AC438" i="4"/>
  <c r="AC421" i="4"/>
  <c r="AC411" i="4"/>
  <c r="AC402" i="4"/>
  <c r="AC497" i="4"/>
  <c r="AC482" i="4"/>
  <c r="AC432" i="4"/>
  <c r="AC420" i="4"/>
  <c r="AC408" i="4"/>
  <c r="AC458" i="4"/>
  <c r="AC413" i="4"/>
  <c r="AC452" i="4"/>
  <c r="AC410" i="4"/>
  <c r="AC478" i="4"/>
  <c r="AC424" i="4"/>
  <c r="AC407" i="4"/>
  <c r="AC405" i="4"/>
  <c r="AC403" i="4"/>
  <c r="AC472" i="4"/>
  <c r="AC423" i="4"/>
  <c r="AC448" i="4"/>
  <c r="AC418" i="4"/>
  <c r="AC415" i="4"/>
  <c r="AC492" i="4"/>
  <c r="AC442" i="4"/>
  <c r="AC428" i="4"/>
  <c r="AC412" i="4"/>
  <c r="G75" i="2"/>
  <c r="G69" i="2"/>
  <c r="G206" i="2"/>
  <c r="G148" i="2"/>
  <c r="G225" i="2"/>
  <c r="G254" i="2"/>
  <c r="G259" i="2"/>
  <c r="G177" i="2"/>
  <c r="G307" i="2"/>
  <c r="G296" i="2"/>
  <c r="AE651" i="4"/>
  <c r="AE645" i="4"/>
  <c r="AE642" i="4"/>
  <c r="AE649" i="4"/>
  <c r="AE646" i="4"/>
  <c r="AE650" i="4"/>
  <c r="AE647" i="4"/>
  <c r="AE648" i="4"/>
  <c r="AE631" i="4"/>
  <c r="AE621" i="4"/>
  <c r="AE611" i="4"/>
  <c r="AE601" i="4"/>
  <c r="AE591" i="4"/>
  <c r="AE643" i="4"/>
  <c r="AE628" i="4"/>
  <c r="AE618" i="4"/>
  <c r="AE608" i="4"/>
  <c r="AE598" i="4"/>
  <c r="AE635" i="4"/>
  <c r="AE625" i="4"/>
  <c r="AE615" i="4"/>
  <c r="AE605" i="4"/>
  <c r="AE595" i="4"/>
  <c r="AE644" i="4"/>
  <c r="AE632" i="4"/>
  <c r="AE622" i="4"/>
  <c r="AE612" i="4"/>
  <c r="AE602" i="4"/>
  <c r="AE592" i="4"/>
  <c r="AE638" i="4"/>
  <c r="AE629" i="4"/>
  <c r="AE619" i="4"/>
  <c r="AE609" i="4"/>
  <c r="AE599" i="4"/>
  <c r="AE641" i="4"/>
  <c r="AE636" i="4"/>
  <c r="AE626" i="4"/>
  <c r="AE616" i="4"/>
  <c r="AE606" i="4"/>
  <c r="AE596" i="4"/>
  <c r="AE640" i="4"/>
  <c r="AE633" i="4"/>
  <c r="AE623" i="4"/>
  <c r="AE613" i="4"/>
  <c r="AE603" i="4"/>
  <c r="AE627" i="4"/>
  <c r="AE617" i="4"/>
  <c r="AE607" i="4"/>
  <c r="AE597" i="4"/>
  <c r="AE639" i="4"/>
  <c r="AE637" i="4"/>
  <c r="AE634" i="4"/>
  <c r="AE630" i="4"/>
  <c r="AE600" i="4"/>
  <c r="AE586" i="4"/>
  <c r="AE576" i="4"/>
  <c r="AE566" i="4"/>
  <c r="AE556" i="4"/>
  <c r="AE546" i="4"/>
  <c r="AE536" i="4"/>
  <c r="AE526" i="4"/>
  <c r="AE516" i="4"/>
  <c r="AE506" i="4"/>
  <c r="AE496" i="4"/>
  <c r="AE594" i="4"/>
  <c r="AE583" i="4"/>
  <c r="AE573" i="4"/>
  <c r="AE563" i="4"/>
  <c r="AE553" i="4"/>
  <c r="AE543" i="4"/>
  <c r="AE533" i="4"/>
  <c r="AE523" i="4"/>
  <c r="AE513" i="4"/>
  <c r="AE503" i="4"/>
  <c r="AE620" i="4"/>
  <c r="AE580" i="4"/>
  <c r="AE570" i="4"/>
  <c r="AE560" i="4"/>
  <c r="AE550" i="4"/>
  <c r="AE540" i="4"/>
  <c r="AE530" i="4"/>
  <c r="AE520" i="4"/>
  <c r="AE510" i="4"/>
  <c r="AE614" i="4"/>
  <c r="AE577" i="4"/>
  <c r="AE567" i="4"/>
  <c r="AE557" i="4"/>
  <c r="AE547" i="4"/>
  <c r="AE537" i="4"/>
  <c r="AE527" i="4"/>
  <c r="AE517" i="4"/>
  <c r="AE507" i="4"/>
  <c r="AE593" i="4"/>
  <c r="AE587" i="4"/>
  <c r="AE584" i="4"/>
  <c r="AE574" i="4"/>
  <c r="AE564" i="4"/>
  <c r="AE554" i="4"/>
  <c r="AE544" i="4"/>
  <c r="AE534" i="4"/>
  <c r="AE524" i="4"/>
  <c r="AE514" i="4"/>
  <c r="AE504" i="4"/>
  <c r="AE590" i="4"/>
  <c r="AE589" i="4"/>
  <c r="AE581" i="4"/>
  <c r="AE571" i="4"/>
  <c r="AE561" i="4"/>
  <c r="AE551" i="4"/>
  <c r="AE541" i="4"/>
  <c r="AE531" i="4"/>
  <c r="AE521" i="4"/>
  <c r="AE511" i="4"/>
  <c r="AE610" i="4"/>
  <c r="AE578" i="4"/>
  <c r="AE568" i="4"/>
  <c r="AE558" i="4"/>
  <c r="AE548" i="4"/>
  <c r="AE538" i="4"/>
  <c r="AE528" i="4"/>
  <c r="AE518" i="4"/>
  <c r="AE508" i="4"/>
  <c r="AE604" i="4"/>
  <c r="AE585" i="4"/>
  <c r="AE575" i="4"/>
  <c r="AE624" i="4"/>
  <c r="AE579" i="4"/>
  <c r="AE569" i="4"/>
  <c r="AE559" i="4"/>
  <c r="AE549" i="4"/>
  <c r="AE539" i="4"/>
  <c r="AE529" i="4"/>
  <c r="AE519" i="4"/>
  <c r="AE509" i="4"/>
  <c r="AE555" i="4"/>
  <c r="AE493" i="4"/>
  <c r="AE483" i="4"/>
  <c r="AE473" i="4"/>
  <c r="AE463" i="4"/>
  <c r="AE453" i="4"/>
  <c r="AE443" i="4"/>
  <c r="AE433" i="4"/>
  <c r="AE423" i="4"/>
  <c r="AE413" i="4"/>
  <c r="AE403" i="4"/>
  <c r="AE552" i="4"/>
  <c r="AE505" i="4"/>
  <c r="AE501" i="4"/>
  <c r="AE490" i="4"/>
  <c r="AE480" i="4"/>
  <c r="AE470" i="4"/>
  <c r="AE460" i="4"/>
  <c r="AE450" i="4"/>
  <c r="AE440" i="4"/>
  <c r="AE430" i="4"/>
  <c r="AE420" i="4"/>
  <c r="AE410" i="4"/>
  <c r="AE588" i="4"/>
  <c r="AE582" i="4"/>
  <c r="AE525" i="4"/>
  <c r="AE498" i="4"/>
  <c r="AE487" i="4"/>
  <c r="AE477" i="4"/>
  <c r="AE467" i="4"/>
  <c r="AE457" i="4"/>
  <c r="AE447" i="4"/>
  <c r="AE437" i="4"/>
  <c r="AE522" i="4"/>
  <c r="AE494" i="4"/>
  <c r="AE484" i="4"/>
  <c r="AE474" i="4"/>
  <c r="AE464" i="4"/>
  <c r="AE454" i="4"/>
  <c r="AE444" i="4"/>
  <c r="AE434" i="4"/>
  <c r="AE545" i="4"/>
  <c r="AE500" i="4"/>
  <c r="AE491" i="4"/>
  <c r="AE481" i="4"/>
  <c r="AE471" i="4"/>
  <c r="AE461" i="4"/>
  <c r="AE451" i="4"/>
  <c r="AE441" i="4"/>
  <c r="AE431" i="4"/>
  <c r="AE542" i="4"/>
  <c r="AE488" i="4"/>
  <c r="AE478" i="4"/>
  <c r="AE468" i="4"/>
  <c r="AE458" i="4"/>
  <c r="AE448" i="4"/>
  <c r="AE438" i="4"/>
  <c r="AE565" i="4"/>
  <c r="AE515" i="4"/>
  <c r="AE485" i="4"/>
  <c r="AE475" i="4"/>
  <c r="AE465" i="4"/>
  <c r="AE455" i="4"/>
  <c r="AE445" i="4"/>
  <c r="AE435" i="4"/>
  <c r="AE562" i="4"/>
  <c r="AE512" i="4"/>
  <c r="AE497" i="4"/>
  <c r="AE535" i="4"/>
  <c r="AE495" i="4"/>
  <c r="AE489" i="4"/>
  <c r="AE479" i="4"/>
  <c r="AE469" i="4"/>
  <c r="AE459" i="4"/>
  <c r="AE449" i="4"/>
  <c r="AE439" i="4"/>
  <c r="AE429" i="4"/>
  <c r="AE419" i="4"/>
  <c r="AE572" i="4"/>
  <c r="AE532" i="4"/>
  <c r="AE499" i="4"/>
  <c r="AE462" i="4"/>
  <c r="AE421" i="4"/>
  <c r="AE411" i="4"/>
  <c r="AE402" i="4"/>
  <c r="AE456" i="4"/>
  <c r="AE408" i="4"/>
  <c r="AE482" i="4"/>
  <c r="AE432" i="4"/>
  <c r="AE476" i="4"/>
  <c r="AE416" i="4"/>
  <c r="AE452" i="4"/>
  <c r="AE425" i="4"/>
  <c r="AE424" i="4"/>
  <c r="AE407" i="4"/>
  <c r="AE405" i="4"/>
  <c r="AE446" i="4"/>
  <c r="AE426" i="4"/>
  <c r="AE502" i="4"/>
  <c r="AE472" i="4"/>
  <c r="AE427" i="4"/>
  <c r="AE418" i="4"/>
  <c r="AE415" i="4"/>
  <c r="AE466" i="4"/>
  <c r="AE428" i="4"/>
  <c r="AE412" i="4"/>
  <c r="AE492" i="4"/>
  <c r="AE442" i="4"/>
  <c r="AE417" i="4"/>
  <c r="AE409" i="4"/>
  <c r="AE486" i="4"/>
  <c r="AE436" i="4"/>
  <c r="AE422" i="4"/>
  <c r="AE414" i="4"/>
  <c r="AE406" i="4"/>
  <c r="AE404" i="4"/>
  <c r="G159" i="2"/>
  <c r="F34" i="3" s="1"/>
  <c r="G128" i="2"/>
  <c r="G166" i="2"/>
  <c r="G305" i="2"/>
  <c r="V642" i="4"/>
  <c r="V649" i="4"/>
  <c r="V639" i="4"/>
  <c r="V646" i="4"/>
  <c r="V650" i="4"/>
  <c r="V647" i="4"/>
  <c r="V651" i="4"/>
  <c r="V645" i="4"/>
  <c r="V628" i="4"/>
  <c r="V618" i="4"/>
  <c r="V608" i="4"/>
  <c r="V598" i="4"/>
  <c r="V588" i="4"/>
  <c r="V648" i="4"/>
  <c r="V641" i="4"/>
  <c r="V635" i="4"/>
  <c r="V625" i="4"/>
  <c r="V615" i="4"/>
  <c r="V605" i="4"/>
  <c r="V595" i="4"/>
  <c r="V638" i="4"/>
  <c r="V632" i="4"/>
  <c r="V622" i="4"/>
  <c r="V612" i="4"/>
  <c r="V602" i="4"/>
  <c r="V592" i="4"/>
  <c r="V640" i="4"/>
  <c r="V629" i="4"/>
  <c r="V619" i="4"/>
  <c r="V609" i="4"/>
  <c r="V599" i="4"/>
  <c r="V636" i="4"/>
  <c r="V626" i="4"/>
  <c r="V616" i="4"/>
  <c r="V606" i="4"/>
  <c r="V596" i="4"/>
  <c r="V633" i="4"/>
  <c r="V623" i="4"/>
  <c r="V613" i="4"/>
  <c r="V603" i="4"/>
  <c r="V643" i="4"/>
  <c r="V630" i="4"/>
  <c r="V620" i="4"/>
  <c r="V610" i="4"/>
  <c r="V600" i="4"/>
  <c r="V644" i="4"/>
  <c r="V637" i="4"/>
  <c r="V634" i="4"/>
  <c r="V624" i="4"/>
  <c r="V614" i="4"/>
  <c r="V604" i="4"/>
  <c r="V594" i="4"/>
  <c r="V631" i="4"/>
  <c r="V627" i="4"/>
  <c r="V590" i="4"/>
  <c r="V583" i="4"/>
  <c r="V573" i="4"/>
  <c r="V563" i="4"/>
  <c r="V553" i="4"/>
  <c r="V543" i="4"/>
  <c r="V533" i="4"/>
  <c r="V523" i="4"/>
  <c r="V513" i="4"/>
  <c r="V503" i="4"/>
  <c r="V621" i="4"/>
  <c r="V589" i="4"/>
  <c r="V580" i="4"/>
  <c r="V570" i="4"/>
  <c r="V560" i="4"/>
  <c r="V550" i="4"/>
  <c r="V540" i="4"/>
  <c r="V530" i="4"/>
  <c r="V520" i="4"/>
  <c r="V510" i="4"/>
  <c r="V500" i="4"/>
  <c r="V597" i="4"/>
  <c r="V591" i="4"/>
  <c r="V587" i="4"/>
  <c r="V577" i="4"/>
  <c r="V567" i="4"/>
  <c r="V557" i="4"/>
  <c r="V547" i="4"/>
  <c r="V537" i="4"/>
  <c r="V527" i="4"/>
  <c r="V517" i="4"/>
  <c r="V584" i="4"/>
  <c r="V574" i="4"/>
  <c r="V564" i="4"/>
  <c r="V554" i="4"/>
  <c r="V544" i="4"/>
  <c r="V534" i="4"/>
  <c r="V524" i="4"/>
  <c r="V514" i="4"/>
  <c r="V504" i="4"/>
  <c r="V617" i="4"/>
  <c r="V581" i="4"/>
  <c r="V571" i="4"/>
  <c r="V561" i="4"/>
  <c r="V551" i="4"/>
  <c r="V541" i="4"/>
  <c r="V531" i="4"/>
  <c r="V521" i="4"/>
  <c r="V511" i="4"/>
  <c r="V611" i="4"/>
  <c r="V578" i="4"/>
  <c r="V568" i="4"/>
  <c r="V558" i="4"/>
  <c r="V548" i="4"/>
  <c r="V538" i="4"/>
  <c r="V528" i="4"/>
  <c r="V518" i="4"/>
  <c r="V508" i="4"/>
  <c r="V585" i="4"/>
  <c r="V575" i="4"/>
  <c r="V565" i="4"/>
  <c r="V555" i="4"/>
  <c r="V545" i="4"/>
  <c r="V535" i="4"/>
  <c r="V525" i="4"/>
  <c r="V515" i="4"/>
  <c r="V593" i="4"/>
  <c r="V582" i="4"/>
  <c r="V572" i="4"/>
  <c r="V607" i="4"/>
  <c r="V601" i="4"/>
  <c r="V586" i="4"/>
  <c r="V576" i="4"/>
  <c r="V566" i="4"/>
  <c r="V556" i="4"/>
  <c r="V546" i="4"/>
  <c r="V536" i="4"/>
  <c r="V526" i="4"/>
  <c r="V516" i="4"/>
  <c r="V506" i="4"/>
  <c r="V532" i="4"/>
  <c r="V498" i="4"/>
  <c r="V490" i="4"/>
  <c r="V480" i="4"/>
  <c r="V470" i="4"/>
  <c r="V460" i="4"/>
  <c r="V450" i="4"/>
  <c r="V440" i="4"/>
  <c r="V430" i="4"/>
  <c r="V420" i="4"/>
  <c r="V410" i="4"/>
  <c r="V529" i="4"/>
  <c r="V507" i="4"/>
  <c r="V496" i="4"/>
  <c r="V487" i="4"/>
  <c r="V477" i="4"/>
  <c r="V467" i="4"/>
  <c r="V457" i="4"/>
  <c r="V447" i="4"/>
  <c r="V437" i="4"/>
  <c r="V427" i="4"/>
  <c r="V417" i="4"/>
  <c r="V407" i="4"/>
  <c r="V552" i="4"/>
  <c r="V494" i="4"/>
  <c r="V484" i="4"/>
  <c r="V474" i="4"/>
  <c r="V464" i="4"/>
  <c r="V454" i="4"/>
  <c r="V444" i="4"/>
  <c r="V434" i="4"/>
  <c r="V549" i="4"/>
  <c r="V491" i="4"/>
  <c r="V481" i="4"/>
  <c r="V471" i="4"/>
  <c r="V461" i="4"/>
  <c r="V451" i="4"/>
  <c r="V441" i="4"/>
  <c r="V431" i="4"/>
  <c r="V522" i="4"/>
  <c r="V488" i="4"/>
  <c r="V478" i="4"/>
  <c r="V468" i="4"/>
  <c r="V458" i="4"/>
  <c r="V448" i="4"/>
  <c r="V438" i="4"/>
  <c r="V428" i="4"/>
  <c r="V569" i="4"/>
  <c r="V519" i="4"/>
  <c r="V505" i="4"/>
  <c r="V502" i="4"/>
  <c r="V497" i="4"/>
  <c r="V485" i="4"/>
  <c r="V475" i="4"/>
  <c r="V465" i="4"/>
  <c r="V455" i="4"/>
  <c r="V445" i="4"/>
  <c r="V435" i="4"/>
  <c r="V542" i="4"/>
  <c r="V499" i="4"/>
  <c r="V495" i="4"/>
  <c r="V492" i="4"/>
  <c r="V482" i="4"/>
  <c r="V472" i="4"/>
  <c r="V462" i="4"/>
  <c r="V452" i="4"/>
  <c r="V442" i="4"/>
  <c r="V432" i="4"/>
  <c r="V539" i="4"/>
  <c r="V579" i="4"/>
  <c r="V562" i="4"/>
  <c r="V512" i="4"/>
  <c r="V501" i="4"/>
  <c r="V486" i="4"/>
  <c r="V476" i="4"/>
  <c r="V466" i="4"/>
  <c r="V456" i="4"/>
  <c r="V446" i="4"/>
  <c r="V436" i="4"/>
  <c r="V426" i="4"/>
  <c r="V559" i="4"/>
  <c r="V489" i="4"/>
  <c r="V439" i="4"/>
  <c r="V424" i="4"/>
  <c r="V416" i="4"/>
  <c r="V509" i="4"/>
  <c r="V483" i="4"/>
  <c r="V433" i="4"/>
  <c r="V419" i="4"/>
  <c r="V413" i="4"/>
  <c r="V459" i="4"/>
  <c r="V418" i="4"/>
  <c r="V405" i="4"/>
  <c r="V453" i="4"/>
  <c r="V423" i="4"/>
  <c r="V415" i="4"/>
  <c r="V403" i="4"/>
  <c r="V479" i="4"/>
  <c r="V429" i="4"/>
  <c r="V412" i="4"/>
  <c r="V473" i="4"/>
  <c r="V422" i="4"/>
  <c r="V409" i="4"/>
  <c r="V449" i="4"/>
  <c r="V421" i="4"/>
  <c r="V414" i="4"/>
  <c r="V493" i="4"/>
  <c r="V443" i="4"/>
  <c r="V411" i="4"/>
  <c r="V406" i="4"/>
  <c r="V404" i="4"/>
  <c r="V469" i="4"/>
  <c r="V408" i="4"/>
  <c r="V402" i="4"/>
  <c r="V463" i="4"/>
  <c r="V425" i="4"/>
  <c r="AF651" i="4"/>
  <c r="AF642" i="4"/>
  <c r="AF649" i="4"/>
  <c r="AF639" i="4"/>
  <c r="AF646" i="4"/>
  <c r="AF650" i="4"/>
  <c r="AF647" i="4"/>
  <c r="AF645" i="4"/>
  <c r="AF643" i="4"/>
  <c r="AF628" i="4"/>
  <c r="AF618" i="4"/>
  <c r="AF608" i="4"/>
  <c r="AF598" i="4"/>
  <c r="AF588" i="4"/>
  <c r="AF635" i="4"/>
  <c r="AF625" i="4"/>
  <c r="AF615" i="4"/>
  <c r="AF605" i="4"/>
  <c r="AF595" i="4"/>
  <c r="AF644" i="4"/>
  <c r="AF632" i="4"/>
  <c r="AF622" i="4"/>
  <c r="AF612" i="4"/>
  <c r="AF602" i="4"/>
  <c r="AF592" i="4"/>
  <c r="AF638" i="4"/>
  <c r="AF629" i="4"/>
  <c r="AF619" i="4"/>
  <c r="AF609" i="4"/>
  <c r="AF599" i="4"/>
  <c r="AF641" i="4"/>
  <c r="AF636" i="4"/>
  <c r="AF626" i="4"/>
  <c r="AF616" i="4"/>
  <c r="AF606" i="4"/>
  <c r="AF596" i="4"/>
  <c r="AF640" i="4"/>
  <c r="AF633" i="4"/>
  <c r="AF623" i="4"/>
  <c r="AF613" i="4"/>
  <c r="AF603" i="4"/>
  <c r="AF593" i="4"/>
  <c r="AF630" i="4"/>
  <c r="AF620" i="4"/>
  <c r="AF610" i="4"/>
  <c r="AF600" i="4"/>
  <c r="AF637" i="4"/>
  <c r="AF634" i="4"/>
  <c r="AF624" i="4"/>
  <c r="AF614" i="4"/>
  <c r="AF604" i="4"/>
  <c r="AF594" i="4"/>
  <c r="AF648" i="4"/>
  <c r="AF631" i="4"/>
  <c r="AF597" i="4"/>
  <c r="AF583" i="4"/>
  <c r="AF573" i="4"/>
  <c r="AF563" i="4"/>
  <c r="AF553" i="4"/>
  <c r="AF543" i="4"/>
  <c r="AF533" i="4"/>
  <c r="AF523" i="4"/>
  <c r="AF513" i="4"/>
  <c r="AF503" i="4"/>
  <c r="AF580" i="4"/>
  <c r="AF570" i="4"/>
  <c r="AF560" i="4"/>
  <c r="AF550" i="4"/>
  <c r="AF540" i="4"/>
  <c r="AF530" i="4"/>
  <c r="AF520" i="4"/>
  <c r="AF510" i="4"/>
  <c r="AF500" i="4"/>
  <c r="AF617" i="4"/>
  <c r="AF577" i="4"/>
  <c r="AF567" i="4"/>
  <c r="AF557" i="4"/>
  <c r="AF547" i="4"/>
  <c r="AF537" i="4"/>
  <c r="AF527" i="4"/>
  <c r="AF517" i="4"/>
  <c r="AF611" i="4"/>
  <c r="AF587" i="4"/>
  <c r="AF584" i="4"/>
  <c r="AF574" i="4"/>
  <c r="AF564" i="4"/>
  <c r="AF554" i="4"/>
  <c r="AF544" i="4"/>
  <c r="AF534" i="4"/>
  <c r="AF524" i="4"/>
  <c r="AF514" i="4"/>
  <c r="AF504" i="4"/>
  <c r="AF590" i="4"/>
  <c r="AF589" i="4"/>
  <c r="AF581" i="4"/>
  <c r="AF571" i="4"/>
  <c r="AF561" i="4"/>
  <c r="AF551" i="4"/>
  <c r="AF541" i="4"/>
  <c r="AF531" i="4"/>
  <c r="AF521" i="4"/>
  <c r="AF511" i="4"/>
  <c r="AF578" i="4"/>
  <c r="AF568" i="4"/>
  <c r="AF558" i="4"/>
  <c r="AF548" i="4"/>
  <c r="AF538" i="4"/>
  <c r="AF528" i="4"/>
  <c r="AF518" i="4"/>
  <c r="AF508" i="4"/>
  <c r="AF607" i="4"/>
  <c r="AF585" i="4"/>
  <c r="AF575" i="4"/>
  <c r="AF565" i="4"/>
  <c r="AF555" i="4"/>
  <c r="AF545" i="4"/>
  <c r="AF535" i="4"/>
  <c r="AF525" i="4"/>
  <c r="AF515" i="4"/>
  <c r="AF601" i="4"/>
  <c r="AF582" i="4"/>
  <c r="AF572" i="4"/>
  <c r="AF627" i="4"/>
  <c r="AF591" i="4"/>
  <c r="AF621" i="4"/>
  <c r="AF586" i="4"/>
  <c r="AF576" i="4"/>
  <c r="AF566" i="4"/>
  <c r="AF556" i="4"/>
  <c r="AF546" i="4"/>
  <c r="AF536" i="4"/>
  <c r="AF526" i="4"/>
  <c r="AF516" i="4"/>
  <c r="AF506" i="4"/>
  <c r="AF552" i="4"/>
  <c r="AF505" i="4"/>
  <c r="AF501" i="4"/>
  <c r="AF490" i="4"/>
  <c r="AF480" i="4"/>
  <c r="AF470" i="4"/>
  <c r="AF460" i="4"/>
  <c r="AF450" i="4"/>
  <c r="AF440" i="4"/>
  <c r="AF430" i="4"/>
  <c r="AF420" i="4"/>
  <c r="AF410" i="4"/>
  <c r="AF549" i="4"/>
  <c r="AF498" i="4"/>
  <c r="AF487" i="4"/>
  <c r="AF477" i="4"/>
  <c r="AF467" i="4"/>
  <c r="AF457" i="4"/>
  <c r="AF447" i="4"/>
  <c r="AF437" i="4"/>
  <c r="AF427" i="4"/>
  <c r="AF417" i="4"/>
  <c r="AF407" i="4"/>
  <c r="AF522" i="4"/>
  <c r="AF496" i="4"/>
  <c r="AF494" i="4"/>
  <c r="AF484" i="4"/>
  <c r="AF474" i="4"/>
  <c r="AF464" i="4"/>
  <c r="AF454" i="4"/>
  <c r="AF444" i="4"/>
  <c r="AF434" i="4"/>
  <c r="AF519" i="4"/>
  <c r="AF491" i="4"/>
  <c r="AF481" i="4"/>
  <c r="AF471" i="4"/>
  <c r="AF461" i="4"/>
  <c r="AF451" i="4"/>
  <c r="AF441" i="4"/>
  <c r="AF431" i="4"/>
  <c r="AF569" i="4"/>
  <c r="AF542" i="4"/>
  <c r="AF488" i="4"/>
  <c r="AF478" i="4"/>
  <c r="AF468" i="4"/>
  <c r="AF458" i="4"/>
  <c r="AF448" i="4"/>
  <c r="AF438" i="4"/>
  <c r="AF428" i="4"/>
  <c r="AF539" i="4"/>
  <c r="AF485" i="4"/>
  <c r="AF475" i="4"/>
  <c r="AF465" i="4"/>
  <c r="AF455" i="4"/>
  <c r="AF445" i="4"/>
  <c r="AF435" i="4"/>
  <c r="AF562" i="4"/>
  <c r="AF512" i="4"/>
  <c r="AF497" i="4"/>
  <c r="AF492" i="4"/>
  <c r="AF482" i="4"/>
  <c r="AF472" i="4"/>
  <c r="AF462" i="4"/>
  <c r="AF452" i="4"/>
  <c r="AF442" i="4"/>
  <c r="AF432" i="4"/>
  <c r="AF579" i="4"/>
  <c r="AF559" i="4"/>
  <c r="AF509" i="4"/>
  <c r="AF507" i="4"/>
  <c r="AF532" i="4"/>
  <c r="AF502" i="4"/>
  <c r="AF499" i="4"/>
  <c r="AF486" i="4"/>
  <c r="AF476" i="4"/>
  <c r="AF466" i="4"/>
  <c r="AF456" i="4"/>
  <c r="AF446" i="4"/>
  <c r="AF436" i="4"/>
  <c r="AF426" i="4"/>
  <c r="AF529" i="4"/>
  <c r="AF459" i="4"/>
  <c r="AF408" i="4"/>
  <c r="AF453" i="4"/>
  <c r="AF479" i="4"/>
  <c r="AF416" i="4"/>
  <c r="AF473" i="4"/>
  <c r="AF425" i="4"/>
  <c r="AF424" i="4"/>
  <c r="AF413" i="4"/>
  <c r="AF405" i="4"/>
  <c r="AF449" i="4"/>
  <c r="AF419" i="4"/>
  <c r="AF403" i="4"/>
  <c r="AF493" i="4"/>
  <c r="AF443" i="4"/>
  <c r="AF418" i="4"/>
  <c r="AF415" i="4"/>
  <c r="AF469" i="4"/>
  <c r="AF423" i="4"/>
  <c r="AF412" i="4"/>
  <c r="AF463" i="4"/>
  <c r="AF409" i="4"/>
  <c r="AF495" i="4"/>
  <c r="AF489" i="4"/>
  <c r="AF439" i="4"/>
  <c r="AF422" i="4"/>
  <c r="AF414" i="4"/>
  <c r="AF406" i="4"/>
  <c r="AF404" i="4"/>
  <c r="AF483" i="4"/>
  <c r="AF433" i="4"/>
  <c r="AF429" i="4"/>
  <c r="AF421" i="4"/>
  <c r="AF411" i="4"/>
  <c r="AF402" i="4"/>
  <c r="G345" i="2"/>
  <c r="G132" i="2"/>
  <c r="G317" i="2"/>
  <c r="T401" i="4"/>
  <c r="T397" i="4"/>
  <c r="T392" i="4"/>
  <c r="T387" i="4"/>
  <c r="T382" i="4"/>
  <c r="T377" i="4"/>
  <c r="T372" i="4"/>
  <c r="T367" i="4"/>
  <c r="T362" i="4"/>
  <c r="T357" i="4"/>
  <c r="T352" i="4"/>
  <c r="T347" i="4"/>
  <c r="T342" i="4"/>
  <c r="T395" i="4"/>
  <c r="T390" i="4"/>
  <c r="T385" i="4"/>
  <c r="T380" i="4"/>
  <c r="T375" i="4"/>
  <c r="T370" i="4"/>
  <c r="T365" i="4"/>
  <c r="T360" i="4"/>
  <c r="T355" i="4"/>
  <c r="T350" i="4"/>
  <c r="T345" i="4"/>
  <c r="T400" i="4"/>
  <c r="T398" i="4"/>
  <c r="T393" i="4"/>
  <c r="T388" i="4"/>
  <c r="T383" i="4"/>
  <c r="T378" i="4"/>
  <c r="T373" i="4"/>
  <c r="T368" i="4"/>
  <c r="T363" i="4"/>
  <c r="T358" i="4"/>
  <c r="T353" i="4"/>
  <c r="T348" i="4"/>
  <c r="T343" i="4"/>
  <c r="T396" i="4"/>
  <c r="T391" i="4"/>
  <c r="T399" i="4"/>
  <c r="T394" i="4"/>
  <c r="T389" i="4"/>
  <c r="T384" i="4"/>
  <c r="T379" i="4"/>
  <c r="T374" i="4"/>
  <c r="T369" i="4"/>
  <c r="T364" i="4"/>
  <c r="T359" i="4"/>
  <c r="T354" i="4"/>
  <c r="T349" i="4"/>
  <c r="T344" i="4"/>
  <c r="T330" i="4"/>
  <c r="T326" i="4"/>
  <c r="T321" i="4"/>
  <c r="T316" i="4"/>
  <c r="T311" i="4"/>
  <c r="T306" i="4"/>
  <c r="T301" i="4"/>
  <c r="T296" i="4"/>
  <c r="T291" i="4"/>
  <c r="T286" i="4"/>
  <c r="T281" i="4"/>
  <c r="T276" i="4"/>
  <c r="T271" i="4"/>
  <c r="T266" i="4"/>
  <c r="T261" i="4"/>
  <c r="T256" i="4"/>
  <c r="T251" i="4"/>
  <c r="T386" i="4"/>
  <c r="T376" i="4"/>
  <c r="T351" i="4"/>
  <c r="T332" i="4"/>
  <c r="T324" i="4"/>
  <c r="T319" i="4"/>
  <c r="T314" i="4"/>
  <c r="T309" i="4"/>
  <c r="T304" i="4"/>
  <c r="T299" i="4"/>
  <c r="T294" i="4"/>
  <c r="T289" i="4"/>
  <c r="T284" i="4"/>
  <c r="T279" i="4"/>
  <c r="T274" i="4"/>
  <c r="T269" i="4"/>
  <c r="T264" i="4"/>
  <c r="T259" i="4"/>
  <c r="T254" i="4"/>
  <c r="T366" i="4"/>
  <c r="T336" i="4"/>
  <c r="T335" i="4"/>
  <c r="T327" i="4"/>
  <c r="T322" i="4"/>
  <c r="T317" i="4"/>
  <c r="T312" i="4"/>
  <c r="T307" i="4"/>
  <c r="T302" i="4"/>
  <c r="T297" i="4"/>
  <c r="T292" i="4"/>
  <c r="T287" i="4"/>
  <c r="T282" i="4"/>
  <c r="T277" i="4"/>
  <c r="T272" i="4"/>
  <c r="T267" i="4"/>
  <c r="T262" i="4"/>
  <c r="T257" i="4"/>
  <c r="T252" i="4"/>
  <c r="T381" i="4"/>
  <c r="T356" i="4"/>
  <c r="T338" i="4"/>
  <c r="T337" i="4"/>
  <c r="T329" i="4"/>
  <c r="T341" i="4"/>
  <c r="T340" i="4"/>
  <c r="T339" i="4"/>
  <c r="T334" i="4"/>
  <c r="T331" i="4"/>
  <c r="T325" i="4"/>
  <c r="T320" i="4"/>
  <c r="T315" i="4"/>
  <c r="T310" i="4"/>
  <c r="T305" i="4"/>
  <c r="T300" i="4"/>
  <c r="T295" i="4"/>
  <c r="T290" i="4"/>
  <c r="T285" i="4"/>
  <c r="T280" i="4"/>
  <c r="T275" i="4"/>
  <c r="T270" i="4"/>
  <c r="T265" i="4"/>
  <c r="T260" i="4"/>
  <c r="T255" i="4"/>
  <c r="T371" i="4"/>
  <c r="T346" i="4"/>
  <c r="T333" i="4"/>
  <c r="T323" i="4"/>
  <c r="T318" i="4"/>
  <c r="T361" i="4"/>
  <c r="T328" i="4"/>
  <c r="T247" i="4"/>
  <c r="T246" i="4"/>
  <c r="T241" i="4"/>
  <c r="T298" i="4"/>
  <c r="T273" i="4"/>
  <c r="T248" i="4"/>
  <c r="T239" i="4"/>
  <c r="T234" i="4"/>
  <c r="T229" i="4"/>
  <c r="T224" i="4"/>
  <c r="T219" i="4"/>
  <c r="T214" i="4"/>
  <c r="T209" i="4"/>
  <c r="T204" i="4"/>
  <c r="T199" i="4"/>
  <c r="T194" i="4"/>
  <c r="T189" i="4"/>
  <c r="T184" i="4"/>
  <c r="T179" i="4"/>
  <c r="T174" i="4"/>
  <c r="T169" i="4"/>
  <c r="T164" i="4"/>
  <c r="T249" i="4"/>
  <c r="T313" i="4"/>
  <c r="T288" i="4"/>
  <c r="T263" i="4"/>
  <c r="T237" i="4"/>
  <c r="T232" i="4"/>
  <c r="T227" i="4"/>
  <c r="T222" i="4"/>
  <c r="T217" i="4"/>
  <c r="T212" i="4"/>
  <c r="T207" i="4"/>
  <c r="T202" i="4"/>
  <c r="T197" i="4"/>
  <c r="T192" i="4"/>
  <c r="T187" i="4"/>
  <c r="T182" i="4"/>
  <c r="T177" i="4"/>
  <c r="T172" i="4"/>
  <c r="T167" i="4"/>
  <c r="T303" i="4"/>
  <c r="T278" i="4"/>
  <c r="T250" i="4"/>
  <c r="T240" i="4"/>
  <c r="T235" i="4"/>
  <c r="T230" i="4"/>
  <c r="T225" i="4"/>
  <c r="T220" i="4"/>
  <c r="T215" i="4"/>
  <c r="T210" i="4"/>
  <c r="T205" i="4"/>
  <c r="T200" i="4"/>
  <c r="T195" i="4"/>
  <c r="T190" i="4"/>
  <c r="T185" i="4"/>
  <c r="T180" i="4"/>
  <c r="T175" i="4"/>
  <c r="T170" i="4"/>
  <c r="T293" i="4"/>
  <c r="T268" i="4"/>
  <c r="T238" i="4"/>
  <c r="T233" i="4"/>
  <c r="T228" i="4"/>
  <c r="T223" i="4"/>
  <c r="T218" i="4"/>
  <c r="T213" i="4"/>
  <c r="T208" i="4"/>
  <c r="T203" i="4"/>
  <c r="T198" i="4"/>
  <c r="T193" i="4"/>
  <c r="T188" i="4"/>
  <c r="T183" i="4"/>
  <c r="T178" i="4"/>
  <c r="T173" i="4"/>
  <c r="T253" i="4"/>
  <c r="T242" i="4"/>
  <c r="T308" i="4"/>
  <c r="T283" i="4"/>
  <c r="T258" i="4"/>
  <c r="T245" i="4"/>
  <c r="T244" i="4"/>
  <c r="T243" i="4"/>
  <c r="T236" i="4"/>
  <c r="T231" i="4"/>
  <c r="T211" i="4"/>
  <c r="T186" i="4"/>
  <c r="T160" i="4"/>
  <c r="T149" i="4"/>
  <c r="T140" i="4"/>
  <c r="T163" i="4"/>
  <c r="T162" i="4"/>
  <c r="T161" i="4"/>
  <c r="T159" i="4"/>
  <c r="T142" i="4"/>
  <c r="T134" i="4"/>
  <c r="T129" i="4"/>
  <c r="T124" i="4"/>
  <c r="T119" i="4"/>
  <c r="T114" i="4"/>
  <c r="T109" i="4"/>
  <c r="T104" i="4"/>
  <c r="T99" i="4"/>
  <c r="T94" i="4"/>
  <c r="T89" i="4"/>
  <c r="T84" i="4"/>
  <c r="T79" i="4"/>
  <c r="T74" i="4"/>
  <c r="T69" i="4"/>
  <c r="T64" i="4"/>
  <c r="T59" i="4"/>
  <c r="T201" i="4"/>
  <c r="T176" i="4"/>
  <c r="T158" i="4"/>
  <c r="T152" i="4"/>
  <c r="T144" i="4"/>
  <c r="T168" i="4"/>
  <c r="T157" i="4"/>
  <c r="T137" i="4"/>
  <c r="T132" i="4"/>
  <c r="T127" i="4"/>
  <c r="T122" i="4"/>
  <c r="T117" i="4"/>
  <c r="T112" i="4"/>
  <c r="T107" i="4"/>
  <c r="T102" i="4"/>
  <c r="T97" i="4"/>
  <c r="T92" i="4"/>
  <c r="T87" i="4"/>
  <c r="T82" i="4"/>
  <c r="T77" i="4"/>
  <c r="T72" i="4"/>
  <c r="T226" i="4"/>
  <c r="T216" i="4"/>
  <c r="T191" i="4"/>
  <c r="T165" i="4"/>
  <c r="T146" i="4"/>
  <c r="T139" i="4"/>
  <c r="T156" i="4"/>
  <c r="T155" i="4"/>
  <c r="T151" i="4"/>
  <c r="T148" i="4"/>
  <c r="T135" i="4"/>
  <c r="T130" i="4"/>
  <c r="T125" i="4"/>
  <c r="T120" i="4"/>
  <c r="T115" i="4"/>
  <c r="T110" i="4"/>
  <c r="T105" i="4"/>
  <c r="T100" i="4"/>
  <c r="T95" i="4"/>
  <c r="T90" i="4"/>
  <c r="T85" i="4"/>
  <c r="T80" i="4"/>
  <c r="T75" i="4"/>
  <c r="T206" i="4"/>
  <c r="T181" i="4"/>
  <c r="T141" i="4"/>
  <c r="T166" i="4"/>
  <c r="T154" i="4"/>
  <c r="T150" i="4"/>
  <c r="T143" i="4"/>
  <c r="T133" i="4"/>
  <c r="T128" i="4"/>
  <c r="T123" i="4"/>
  <c r="T118" i="4"/>
  <c r="T113" i="4"/>
  <c r="T108" i="4"/>
  <c r="T103" i="4"/>
  <c r="T98" i="4"/>
  <c r="T93" i="4"/>
  <c r="T88" i="4"/>
  <c r="T83" i="4"/>
  <c r="T78" i="4"/>
  <c r="T73" i="4"/>
  <c r="T68" i="4"/>
  <c r="T221" i="4"/>
  <c r="T196" i="4"/>
  <c r="T145" i="4"/>
  <c r="T171" i="4"/>
  <c r="T153" i="4"/>
  <c r="T147" i="4"/>
  <c r="T66" i="4"/>
  <c r="T61" i="4"/>
  <c r="T60" i="4"/>
  <c r="T52" i="4"/>
  <c r="T40" i="4"/>
  <c r="T35" i="4"/>
  <c r="T30" i="4"/>
  <c r="T25" i="4"/>
  <c r="T20" i="4"/>
  <c r="T15" i="4"/>
  <c r="T10" i="4"/>
  <c r="T5" i="4"/>
  <c r="T126" i="4"/>
  <c r="T101" i="4"/>
  <c r="T76" i="4"/>
  <c r="T71" i="4"/>
  <c r="T67" i="4"/>
  <c r="T54" i="4"/>
  <c r="T45" i="4"/>
  <c r="T47" i="4"/>
  <c r="T43" i="4"/>
  <c r="T38" i="4"/>
  <c r="T33" i="4"/>
  <c r="T28" i="4"/>
  <c r="T23" i="4"/>
  <c r="T18" i="4"/>
  <c r="T13" i="4"/>
  <c r="T8" i="4"/>
  <c r="T3" i="4"/>
  <c r="T138" i="4"/>
  <c r="T116" i="4"/>
  <c r="T91" i="4"/>
  <c r="T56" i="4"/>
  <c r="T49" i="4"/>
  <c r="T41" i="4"/>
  <c r="T36" i="4"/>
  <c r="T31" i="4"/>
  <c r="T26" i="4"/>
  <c r="T21" i="4"/>
  <c r="T16" i="4"/>
  <c r="T11" i="4"/>
  <c r="T6" i="4"/>
  <c r="T131" i="4"/>
  <c r="T106" i="4"/>
  <c r="T81" i="4"/>
  <c r="T51" i="4"/>
  <c r="T58" i="4"/>
  <c r="T53" i="4"/>
  <c r="T44" i="4"/>
  <c r="T39" i="4"/>
  <c r="T34" i="4"/>
  <c r="T29" i="4"/>
  <c r="T24" i="4"/>
  <c r="T19" i="4"/>
  <c r="T14" i="4"/>
  <c r="T9" i="4"/>
  <c r="T4" i="4"/>
  <c r="T121" i="4"/>
  <c r="T96" i="4"/>
  <c r="T70" i="4"/>
  <c r="T62" i="4"/>
  <c r="T55" i="4"/>
  <c r="T46" i="4"/>
  <c r="T65" i="4"/>
  <c r="T63" i="4"/>
  <c r="T57" i="4"/>
  <c r="T48" i="4"/>
  <c r="T42" i="4"/>
  <c r="T37" i="4"/>
  <c r="T32" i="4"/>
  <c r="T27" i="4"/>
  <c r="T22" i="4"/>
  <c r="T17" i="4"/>
  <c r="T12" i="4"/>
  <c r="T7" i="4"/>
  <c r="T2" i="4"/>
  <c r="T136" i="4"/>
  <c r="T111" i="4"/>
  <c r="T86" i="4"/>
  <c r="T50" i="4"/>
  <c r="G180" i="2"/>
  <c r="W649" i="4"/>
  <c r="W639" i="4"/>
  <c r="W646" i="4"/>
  <c r="W643" i="4"/>
  <c r="W650" i="4"/>
  <c r="W647" i="4"/>
  <c r="W648" i="4"/>
  <c r="W641" i="4"/>
  <c r="W635" i="4"/>
  <c r="W625" i="4"/>
  <c r="W615" i="4"/>
  <c r="W605" i="4"/>
  <c r="W595" i="4"/>
  <c r="W651" i="4"/>
  <c r="W645" i="4"/>
  <c r="W638" i="4"/>
  <c r="W632" i="4"/>
  <c r="W622" i="4"/>
  <c r="W612" i="4"/>
  <c r="W602" i="4"/>
  <c r="W592" i="4"/>
  <c r="W640" i="4"/>
  <c r="W629" i="4"/>
  <c r="W619" i="4"/>
  <c r="W609" i="4"/>
  <c r="W599" i="4"/>
  <c r="W636" i="4"/>
  <c r="W626" i="4"/>
  <c r="W616" i="4"/>
  <c r="W606" i="4"/>
  <c r="W596" i="4"/>
  <c r="W633" i="4"/>
  <c r="W623" i="4"/>
  <c r="W613" i="4"/>
  <c r="W603" i="4"/>
  <c r="W593" i="4"/>
  <c r="W630" i="4"/>
  <c r="W620" i="4"/>
  <c r="W610" i="4"/>
  <c r="W600" i="4"/>
  <c r="W644" i="4"/>
  <c r="W637" i="4"/>
  <c r="W627" i="4"/>
  <c r="W617" i="4"/>
  <c r="W607" i="4"/>
  <c r="W597" i="4"/>
  <c r="W634" i="4"/>
  <c r="W631" i="4"/>
  <c r="W621" i="4"/>
  <c r="W611" i="4"/>
  <c r="W601" i="4"/>
  <c r="W591" i="4"/>
  <c r="W642" i="4"/>
  <c r="W624" i="4"/>
  <c r="W589" i="4"/>
  <c r="W580" i="4"/>
  <c r="W570" i="4"/>
  <c r="W560" i="4"/>
  <c r="W550" i="4"/>
  <c r="W540" i="4"/>
  <c r="W530" i="4"/>
  <c r="W520" i="4"/>
  <c r="W510" i="4"/>
  <c r="W500" i="4"/>
  <c r="W618" i="4"/>
  <c r="W587" i="4"/>
  <c r="W577" i="4"/>
  <c r="W567" i="4"/>
  <c r="W557" i="4"/>
  <c r="W547" i="4"/>
  <c r="W537" i="4"/>
  <c r="W527" i="4"/>
  <c r="W517" i="4"/>
  <c r="W507" i="4"/>
  <c r="W594" i="4"/>
  <c r="W584" i="4"/>
  <c r="W574" i="4"/>
  <c r="W564" i="4"/>
  <c r="W554" i="4"/>
  <c r="W544" i="4"/>
  <c r="W534" i="4"/>
  <c r="W524" i="4"/>
  <c r="W514" i="4"/>
  <c r="W581" i="4"/>
  <c r="W571" i="4"/>
  <c r="W561" i="4"/>
  <c r="W551" i="4"/>
  <c r="W541" i="4"/>
  <c r="W531" i="4"/>
  <c r="W521" i="4"/>
  <c r="W511" i="4"/>
  <c r="W614" i="4"/>
  <c r="W578" i="4"/>
  <c r="W568" i="4"/>
  <c r="W558" i="4"/>
  <c r="W548" i="4"/>
  <c r="W538" i="4"/>
  <c r="W528" i="4"/>
  <c r="W518" i="4"/>
  <c r="W508" i="4"/>
  <c r="W608" i="4"/>
  <c r="W585" i="4"/>
  <c r="W575" i="4"/>
  <c r="W565" i="4"/>
  <c r="W555" i="4"/>
  <c r="W545" i="4"/>
  <c r="W535" i="4"/>
  <c r="W525" i="4"/>
  <c r="W515" i="4"/>
  <c r="W588" i="4"/>
  <c r="W582" i="4"/>
  <c r="W572" i="4"/>
  <c r="W562" i="4"/>
  <c r="W552" i="4"/>
  <c r="W542" i="4"/>
  <c r="W532" i="4"/>
  <c r="W522" i="4"/>
  <c r="W512" i="4"/>
  <c r="W628" i="4"/>
  <c r="W579" i="4"/>
  <c r="W569" i="4"/>
  <c r="W604" i="4"/>
  <c r="W598" i="4"/>
  <c r="W590" i="4"/>
  <c r="W583" i="4"/>
  <c r="W573" i="4"/>
  <c r="W563" i="4"/>
  <c r="W553" i="4"/>
  <c r="W543" i="4"/>
  <c r="W533" i="4"/>
  <c r="W523" i="4"/>
  <c r="W513" i="4"/>
  <c r="W503" i="4"/>
  <c r="W529" i="4"/>
  <c r="W496" i="4"/>
  <c r="W487" i="4"/>
  <c r="W477" i="4"/>
  <c r="W467" i="4"/>
  <c r="W457" i="4"/>
  <c r="W447" i="4"/>
  <c r="W437" i="4"/>
  <c r="W427" i="4"/>
  <c r="W417" i="4"/>
  <c r="W407" i="4"/>
  <c r="W526" i="4"/>
  <c r="W494" i="4"/>
  <c r="W484" i="4"/>
  <c r="W474" i="4"/>
  <c r="W464" i="4"/>
  <c r="W454" i="4"/>
  <c r="W444" i="4"/>
  <c r="W434" i="4"/>
  <c r="W424" i="4"/>
  <c r="W414" i="4"/>
  <c r="W549" i="4"/>
  <c r="W491" i="4"/>
  <c r="W481" i="4"/>
  <c r="W471" i="4"/>
  <c r="W461" i="4"/>
  <c r="W451" i="4"/>
  <c r="W441" i="4"/>
  <c r="W576" i="4"/>
  <c r="W546" i="4"/>
  <c r="W504" i="4"/>
  <c r="W488" i="4"/>
  <c r="W478" i="4"/>
  <c r="W468" i="4"/>
  <c r="W458" i="4"/>
  <c r="W448" i="4"/>
  <c r="W438" i="4"/>
  <c r="W428" i="4"/>
  <c r="W519" i="4"/>
  <c r="W505" i="4"/>
  <c r="W502" i="4"/>
  <c r="W497" i="4"/>
  <c r="W485" i="4"/>
  <c r="W475" i="4"/>
  <c r="W465" i="4"/>
  <c r="W455" i="4"/>
  <c r="W445" i="4"/>
  <c r="W435" i="4"/>
  <c r="W425" i="4"/>
  <c r="W566" i="4"/>
  <c r="W516" i="4"/>
  <c r="W499" i="4"/>
  <c r="W495" i="4"/>
  <c r="W492" i="4"/>
  <c r="W482" i="4"/>
  <c r="W472" i="4"/>
  <c r="W462" i="4"/>
  <c r="W452" i="4"/>
  <c r="W442" i="4"/>
  <c r="W432" i="4"/>
  <c r="W586" i="4"/>
  <c r="W539" i="4"/>
  <c r="W489" i="4"/>
  <c r="W479" i="4"/>
  <c r="W469" i="4"/>
  <c r="W459" i="4"/>
  <c r="W449" i="4"/>
  <c r="W439" i="4"/>
  <c r="W536" i="4"/>
  <c r="W501" i="4"/>
  <c r="W559" i="4"/>
  <c r="W509" i="4"/>
  <c r="W506" i="4"/>
  <c r="W493" i="4"/>
  <c r="W483" i="4"/>
  <c r="W473" i="4"/>
  <c r="W463" i="4"/>
  <c r="W453" i="4"/>
  <c r="W443" i="4"/>
  <c r="W433" i="4"/>
  <c r="W423" i="4"/>
  <c r="W556" i="4"/>
  <c r="W486" i="4"/>
  <c r="W436" i="4"/>
  <c r="W419" i="4"/>
  <c r="W413" i="4"/>
  <c r="W480" i="4"/>
  <c r="W418" i="4"/>
  <c r="W410" i="4"/>
  <c r="W405" i="4"/>
  <c r="W498" i="4"/>
  <c r="W456" i="4"/>
  <c r="W415" i="4"/>
  <c r="W403" i="4"/>
  <c r="W450" i="4"/>
  <c r="W429" i="4"/>
  <c r="W412" i="4"/>
  <c r="W476" i="4"/>
  <c r="W422" i="4"/>
  <c r="W409" i="4"/>
  <c r="W470" i="4"/>
  <c r="W430" i="4"/>
  <c r="W421" i="4"/>
  <c r="W446" i="4"/>
  <c r="W411" i="4"/>
  <c r="W406" i="4"/>
  <c r="W404" i="4"/>
  <c r="W490" i="4"/>
  <c r="W440" i="4"/>
  <c r="W408" i="4"/>
  <c r="W402" i="4"/>
  <c r="W466" i="4"/>
  <c r="W431" i="4"/>
  <c r="W420" i="4"/>
  <c r="W460" i="4"/>
  <c r="W426" i="4"/>
  <c r="W416" i="4"/>
  <c r="AG649" i="4"/>
  <c r="AG639" i="4"/>
  <c r="AG646" i="4"/>
  <c r="AG643" i="4"/>
  <c r="AG650" i="4"/>
  <c r="AG647" i="4"/>
  <c r="AG644" i="4"/>
  <c r="AG651" i="4"/>
  <c r="AG635" i="4"/>
  <c r="AG625" i="4"/>
  <c r="AG615" i="4"/>
  <c r="AG605" i="4"/>
  <c r="AG595" i="4"/>
  <c r="AG632" i="4"/>
  <c r="AG622" i="4"/>
  <c r="AG612" i="4"/>
  <c r="AG602" i="4"/>
  <c r="AG592" i="4"/>
  <c r="AG642" i="4"/>
  <c r="AG638" i="4"/>
  <c r="AG629" i="4"/>
  <c r="AG619" i="4"/>
  <c r="AG609" i="4"/>
  <c r="AG599" i="4"/>
  <c r="AG641" i="4"/>
  <c r="AG636" i="4"/>
  <c r="AG626" i="4"/>
  <c r="AG616" i="4"/>
  <c r="AG606" i="4"/>
  <c r="AG596" i="4"/>
  <c r="AG640" i="4"/>
  <c r="AG633" i="4"/>
  <c r="AG623" i="4"/>
  <c r="AG613" i="4"/>
  <c r="AG603" i="4"/>
  <c r="AG593" i="4"/>
  <c r="AG630" i="4"/>
  <c r="AG620" i="4"/>
  <c r="AG610" i="4"/>
  <c r="AG600" i="4"/>
  <c r="AG627" i="4"/>
  <c r="AG617" i="4"/>
  <c r="AG607" i="4"/>
  <c r="AG597" i="4"/>
  <c r="AG637" i="4"/>
  <c r="AG634" i="4"/>
  <c r="AG648" i="4"/>
  <c r="AG631" i="4"/>
  <c r="AG621" i="4"/>
  <c r="AG611" i="4"/>
  <c r="AG601" i="4"/>
  <c r="AG591" i="4"/>
  <c r="AG645" i="4"/>
  <c r="AG594" i="4"/>
  <c r="AG580" i="4"/>
  <c r="AG570" i="4"/>
  <c r="AG560" i="4"/>
  <c r="AG550" i="4"/>
  <c r="AG540" i="4"/>
  <c r="AG530" i="4"/>
  <c r="AG520" i="4"/>
  <c r="AG510" i="4"/>
  <c r="AG500" i="4"/>
  <c r="AG577" i="4"/>
  <c r="AG567" i="4"/>
  <c r="AG557" i="4"/>
  <c r="AG547" i="4"/>
  <c r="AG537" i="4"/>
  <c r="AG527" i="4"/>
  <c r="AG517" i="4"/>
  <c r="AG507" i="4"/>
  <c r="AG614" i="4"/>
  <c r="AG587" i="4"/>
  <c r="AG584" i="4"/>
  <c r="AG574" i="4"/>
  <c r="AG564" i="4"/>
  <c r="AG554" i="4"/>
  <c r="AG544" i="4"/>
  <c r="AG534" i="4"/>
  <c r="AG524" i="4"/>
  <c r="AG514" i="4"/>
  <c r="AG608" i="4"/>
  <c r="AG590" i="4"/>
  <c r="AG589" i="4"/>
  <c r="AG581" i="4"/>
  <c r="AG571" i="4"/>
  <c r="AG561" i="4"/>
  <c r="AG551" i="4"/>
  <c r="AG541" i="4"/>
  <c r="AG531" i="4"/>
  <c r="AG521" i="4"/>
  <c r="AG511" i="4"/>
  <c r="AG578" i="4"/>
  <c r="AG568" i="4"/>
  <c r="AG558" i="4"/>
  <c r="AG548" i="4"/>
  <c r="AG538" i="4"/>
  <c r="AG528" i="4"/>
  <c r="AG518" i="4"/>
  <c r="AG508" i="4"/>
  <c r="AG628" i="4"/>
  <c r="AG585" i="4"/>
  <c r="AG575" i="4"/>
  <c r="AG565" i="4"/>
  <c r="AG555" i="4"/>
  <c r="AG545" i="4"/>
  <c r="AG535" i="4"/>
  <c r="AG525" i="4"/>
  <c r="AG515" i="4"/>
  <c r="AG505" i="4"/>
  <c r="AG604" i="4"/>
  <c r="AG582" i="4"/>
  <c r="AG572" i="4"/>
  <c r="AG562" i="4"/>
  <c r="AG552" i="4"/>
  <c r="AG542" i="4"/>
  <c r="AG532" i="4"/>
  <c r="AG522" i="4"/>
  <c r="AG512" i="4"/>
  <c r="AG598" i="4"/>
  <c r="AG588" i="4"/>
  <c r="AG579" i="4"/>
  <c r="AG569" i="4"/>
  <c r="AG624" i="4"/>
  <c r="AG618" i="4"/>
  <c r="AG583" i="4"/>
  <c r="AG573" i="4"/>
  <c r="AG563" i="4"/>
  <c r="AG553" i="4"/>
  <c r="AG543" i="4"/>
  <c r="AG533" i="4"/>
  <c r="AG523" i="4"/>
  <c r="AG513" i="4"/>
  <c r="AG503" i="4"/>
  <c r="AG549" i="4"/>
  <c r="AG498" i="4"/>
  <c r="AG487" i="4"/>
  <c r="AG477" i="4"/>
  <c r="AG467" i="4"/>
  <c r="AG457" i="4"/>
  <c r="AG447" i="4"/>
  <c r="AG437" i="4"/>
  <c r="AG427" i="4"/>
  <c r="AG417" i="4"/>
  <c r="AG407" i="4"/>
  <c r="AG546" i="4"/>
  <c r="AG496" i="4"/>
  <c r="AG494" i="4"/>
  <c r="AG484" i="4"/>
  <c r="AG474" i="4"/>
  <c r="AG464" i="4"/>
  <c r="AG454" i="4"/>
  <c r="AG444" i="4"/>
  <c r="AG434" i="4"/>
  <c r="AG424" i="4"/>
  <c r="AG414" i="4"/>
  <c r="AG576" i="4"/>
  <c r="AG519" i="4"/>
  <c r="AG491" i="4"/>
  <c r="AG481" i="4"/>
  <c r="AG471" i="4"/>
  <c r="AG461" i="4"/>
  <c r="AG451" i="4"/>
  <c r="AG441" i="4"/>
  <c r="AG431" i="4"/>
  <c r="AG566" i="4"/>
  <c r="AG516" i="4"/>
  <c r="AG488" i="4"/>
  <c r="AG478" i="4"/>
  <c r="AG468" i="4"/>
  <c r="AG458" i="4"/>
  <c r="AG448" i="4"/>
  <c r="AG438" i="4"/>
  <c r="AG428" i="4"/>
  <c r="AG539" i="4"/>
  <c r="AG506" i="4"/>
  <c r="AG485" i="4"/>
  <c r="AG475" i="4"/>
  <c r="AG465" i="4"/>
  <c r="AG455" i="4"/>
  <c r="AG445" i="4"/>
  <c r="AG435" i="4"/>
  <c r="AG425" i="4"/>
  <c r="AG586" i="4"/>
  <c r="AG536" i="4"/>
  <c r="AG497" i="4"/>
  <c r="AG492" i="4"/>
  <c r="AG482" i="4"/>
  <c r="AG472" i="4"/>
  <c r="AG462" i="4"/>
  <c r="AG452" i="4"/>
  <c r="AG442" i="4"/>
  <c r="AG432" i="4"/>
  <c r="AG559" i="4"/>
  <c r="AG509" i="4"/>
  <c r="AG495" i="4"/>
  <c r="AG489" i="4"/>
  <c r="AG479" i="4"/>
  <c r="AG469" i="4"/>
  <c r="AG459" i="4"/>
  <c r="AG449" i="4"/>
  <c r="AG439" i="4"/>
  <c r="AG556" i="4"/>
  <c r="AG502" i="4"/>
  <c r="AG499" i="4"/>
  <c r="AG529" i="4"/>
  <c r="AG504" i="4"/>
  <c r="AG493" i="4"/>
  <c r="AG483" i="4"/>
  <c r="AG473" i="4"/>
  <c r="AG463" i="4"/>
  <c r="AG453" i="4"/>
  <c r="AG443" i="4"/>
  <c r="AG433" i="4"/>
  <c r="AG423" i="4"/>
  <c r="AG526" i="4"/>
  <c r="AG456" i="4"/>
  <c r="AG430" i="4"/>
  <c r="AG450" i="4"/>
  <c r="AG420" i="4"/>
  <c r="AG416" i="4"/>
  <c r="AG476" i="4"/>
  <c r="AG413" i="4"/>
  <c r="AG405" i="4"/>
  <c r="AG470" i="4"/>
  <c r="AG419" i="4"/>
  <c r="AG410" i="4"/>
  <c r="AG403" i="4"/>
  <c r="AG446" i="4"/>
  <c r="AG426" i="4"/>
  <c r="AG418" i="4"/>
  <c r="AG415" i="4"/>
  <c r="AG490" i="4"/>
  <c r="AG440" i="4"/>
  <c r="AG412" i="4"/>
  <c r="AG466" i="4"/>
  <c r="AG409" i="4"/>
  <c r="AG501" i="4"/>
  <c r="AG460" i="4"/>
  <c r="AG422" i="4"/>
  <c r="AG406" i="4"/>
  <c r="AG404" i="4"/>
  <c r="AG486" i="4"/>
  <c r="AG436" i="4"/>
  <c r="AG429" i="4"/>
  <c r="AG421" i="4"/>
  <c r="AG411" i="4"/>
  <c r="AG402" i="4"/>
  <c r="AG480" i="4"/>
  <c r="AG408" i="4"/>
  <c r="G173" i="2"/>
  <c r="F396" i="4"/>
  <c r="F391" i="4"/>
  <c r="F386" i="4"/>
  <c r="F381" i="4"/>
  <c r="F376" i="4"/>
  <c r="F371" i="4"/>
  <c r="F366" i="4"/>
  <c r="F361" i="4"/>
  <c r="F356" i="4"/>
  <c r="F351" i="4"/>
  <c r="F346" i="4"/>
  <c r="F401" i="4"/>
  <c r="F399" i="4"/>
  <c r="F394" i="4"/>
  <c r="F389" i="4"/>
  <c r="F384" i="4"/>
  <c r="F379" i="4"/>
  <c r="F374" i="4"/>
  <c r="F369" i="4"/>
  <c r="F364" i="4"/>
  <c r="F359" i="4"/>
  <c r="F354" i="4"/>
  <c r="F349" i="4"/>
  <c r="F344" i="4"/>
  <c r="F397" i="4"/>
  <c r="F392" i="4"/>
  <c r="F387" i="4"/>
  <c r="F382" i="4"/>
  <c r="F377" i="4"/>
  <c r="F372" i="4"/>
  <c r="F367" i="4"/>
  <c r="F362" i="4"/>
  <c r="F357" i="4"/>
  <c r="F352" i="4"/>
  <c r="F347" i="4"/>
  <c r="F400" i="4"/>
  <c r="F395" i="4"/>
  <c r="F390" i="4"/>
  <c r="F398" i="4"/>
  <c r="F393" i="4"/>
  <c r="F388" i="4"/>
  <c r="F383" i="4"/>
  <c r="F378" i="4"/>
  <c r="F373" i="4"/>
  <c r="F368" i="4"/>
  <c r="F363" i="4"/>
  <c r="F358" i="4"/>
  <c r="F353" i="4"/>
  <c r="F348" i="4"/>
  <c r="F343" i="4"/>
  <c r="F333" i="4"/>
  <c r="F325" i="4"/>
  <c r="F320" i="4"/>
  <c r="F315" i="4"/>
  <c r="F310" i="4"/>
  <c r="F305" i="4"/>
  <c r="F300" i="4"/>
  <c r="F295" i="4"/>
  <c r="F290" i="4"/>
  <c r="F285" i="4"/>
  <c r="F280" i="4"/>
  <c r="F275" i="4"/>
  <c r="F270" i="4"/>
  <c r="F265" i="4"/>
  <c r="F260" i="4"/>
  <c r="F255" i="4"/>
  <c r="F250" i="4"/>
  <c r="F380" i="4"/>
  <c r="F355" i="4"/>
  <c r="F328" i="4"/>
  <c r="F323" i="4"/>
  <c r="F318" i="4"/>
  <c r="F313" i="4"/>
  <c r="F308" i="4"/>
  <c r="F303" i="4"/>
  <c r="F298" i="4"/>
  <c r="F293" i="4"/>
  <c r="F288" i="4"/>
  <c r="F283" i="4"/>
  <c r="F278" i="4"/>
  <c r="F273" i="4"/>
  <c r="F268" i="4"/>
  <c r="F263" i="4"/>
  <c r="F258" i="4"/>
  <c r="F370" i="4"/>
  <c r="F345" i="4"/>
  <c r="F337" i="4"/>
  <c r="F336" i="4"/>
  <c r="F330" i="4"/>
  <c r="F340" i="4"/>
  <c r="F339" i="4"/>
  <c r="F338" i="4"/>
  <c r="F335" i="4"/>
  <c r="F332" i="4"/>
  <c r="F326" i="4"/>
  <c r="F321" i="4"/>
  <c r="F316" i="4"/>
  <c r="F311" i="4"/>
  <c r="F306" i="4"/>
  <c r="F301" i="4"/>
  <c r="F296" i="4"/>
  <c r="F291" i="4"/>
  <c r="F286" i="4"/>
  <c r="F281" i="4"/>
  <c r="F276" i="4"/>
  <c r="F271" i="4"/>
  <c r="F266" i="4"/>
  <c r="F261" i="4"/>
  <c r="F256" i="4"/>
  <c r="F251" i="4"/>
  <c r="F385" i="4"/>
  <c r="F360" i="4"/>
  <c r="F342" i="4"/>
  <c r="F341" i="4"/>
  <c r="F324" i="4"/>
  <c r="F319" i="4"/>
  <c r="F314" i="4"/>
  <c r="F309" i="4"/>
  <c r="F304" i="4"/>
  <c r="F299" i="4"/>
  <c r="F294" i="4"/>
  <c r="F289" i="4"/>
  <c r="F284" i="4"/>
  <c r="F279" i="4"/>
  <c r="F274" i="4"/>
  <c r="F269" i="4"/>
  <c r="F264" i="4"/>
  <c r="F259" i="4"/>
  <c r="F375" i="4"/>
  <c r="F350" i="4"/>
  <c r="F334" i="4"/>
  <c r="F329" i="4"/>
  <c r="F331" i="4"/>
  <c r="F327" i="4"/>
  <c r="F322" i="4"/>
  <c r="F317" i="4"/>
  <c r="F365" i="4"/>
  <c r="F302" i="4"/>
  <c r="F277" i="4"/>
  <c r="F238" i="4"/>
  <c r="F233" i="4"/>
  <c r="F228" i="4"/>
  <c r="F223" i="4"/>
  <c r="F218" i="4"/>
  <c r="F213" i="4"/>
  <c r="F208" i="4"/>
  <c r="F203" i="4"/>
  <c r="F198" i="4"/>
  <c r="F193" i="4"/>
  <c r="F188" i="4"/>
  <c r="F183" i="4"/>
  <c r="F178" i="4"/>
  <c r="F173" i="4"/>
  <c r="F168" i="4"/>
  <c r="F253" i="4"/>
  <c r="F292" i="4"/>
  <c r="F267" i="4"/>
  <c r="F241" i="4"/>
  <c r="F236" i="4"/>
  <c r="F231" i="4"/>
  <c r="F226" i="4"/>
  <c r="F221" i="4"/>
  <c r="F216" i="4"/>
  <c r="F211" i="4"/>
  <c r="F206" i="4"/>
  <c r="F201" i="4"/>
  <c r="F196" i="4"/>
  <c r="F191" i="4"/>
  <c r="F186" i="4"/>
  <c r="F181" i="4"/>
  <c r="F176" i="4"/>
  <c r="F171" i="4"/>
  <c r="F307" i="4"/>
  <c r="F282" i="4"/>
  <c r="F257" i="4"/>
  <c r="F239" i="4"/>
  <c r="F234" i="4"/>
  <c r="F229" i="4"/>
  <c r="F224" i="4"/>
  <c r="F219" i="4"/>
  <c r="F214" i="4"/>
  <c r="F209" i="4"/>
  <c r="F204" i="4"/>
  <c r="F199" i="4"/>
  <c r="F194" i="4"/>
  <c r="F189" i="4"/>
  <c r="F184" i="4"/>
  <c r="F179" i="4"/>
  <c r="F174" i="4"/>
  <c r="F254" i="4"/>
  <c r="F297" i="4"/>
  <c r="F272" i="4"/>
  <c r="F244" i="4"/>
  <c r="F243" i="4"/>
  <c r="F237" i="4"/>
  <c r="F232" i="4"/>
  <c r="F227" i="4"/>
  <c r="F222" i="4"/>
  <c r="F217" i="4"/>
  <c r="F212" i="4"/>
  <c r="F207" i="4"/>
  <c r="F202" i="4"/>
  <c r="F197" i="4"/>
  <c r="F192" i="4"/>
  <c r="F187" i="4"/>
  <c r="F182" i="4"/>
  <c r="F177" i="4"/>
  <c r="F246" i="4"/>
  <c r="F245" i="4"/>
  <c r="F242" i="4"/>
  <c r="F312" i="4"/>
  <c r="F287" i="4"/>
  <c r="F262" i="4"/>
  <c r="F252" i="4"/>
  <c r="F249" i="4"/>
  <c r="F248" i="4"/>
  <c r="F247" i="4"/>
  <c r="F240" i="4"/>
  <c r="F235" i="4"/>
  <c r="F230" i="4"/>
  <c r="F215" i="4"/>
  <c r="F190" i="4"/>
  <c r="F164" i="4"/>
  <c r="F163" i="4"/>
  <c r="F160" i="4"/>
  <c r="F159" i="4"/>
  <c r="F153" i="4"/>
  <c r="F145" i="4"/>
  <c r="F138" i="4"/>
  <c r="F133" i="4"/>
  <c r="F128" i="4"/>
  <c r="F123" i="4"/>
  <c r="F118" i="4"/>
  <c r="F113" i="4"/>
  <c r="F108" i="4"/>
  <c r="F103" i="4"/>
  <c r="F98" i="4"/>
  <c r="F93" i="4"/>
  <c r="F88" i="4"/>
  <c r="F83" i="4"/>
  <c r="F78" i="4"/>
  <c r="F73" i="4"/>
  <c r="F68" i="4"/>
  <c r="F63" i="4"/>
  <c r="F58" i="4"/>
  <c r="F205" i="4"/>
  <c r="F180" i="4"/>
  <c r="F169" i="4"/>
  <c r="F165" i="4"/>
  <c r="F158" i="4"/>
  <c r="F147" i="4"/>
  <c r="F166" i="4"/>
  <c r="F157" i="4"/>
  <c r="F152" i="4"/>
  <c r="F149" i="4"/>
  <c r="F140" i="4"/>
  <c r="F136" i="4"/>
  <c r="F131" i="4"/>
  <c r="F126" i="4"/>
  <c r="F121" i="4"/>
  <c r="F116" i="4"/>
  <c r="F111" i="4"/>
  <c r="F106" i="4"/>
  <c r="F101" i="4"/>
  <c r="F96" i="4"/>
  <c r="F91" i="4"/>
  <c r="F86" i="4"/>
  <c r="F81" i="4"/>
  <c r="F76" i="4"/>
  <c r="F220" i="4"/>
  <c r="F195" i="4"/>
  <c r="F156" i="4"/>
  <c r="F142" i="4"/>
  <c r="F167" i="4"/>
  <c r="F144" i="4"/>
  <c r="F134" i="4"/>
  <c r="F129" i="4"/>
  <c r="F124" i="4"/>
  <c r="F119" i="4"/>
  <c r="F114" i="4"/>
  <c r="F109" i="4"/>
  <c r="F104" i="4"/>
  <c r="F99" i="4"/>
  <c r="F94" i="4"/>
  <c r="F89" i="4"/>
  <c r="F84" i="4"/>
  <c r="F79" i="4"/>
  <c r="F74" i="4"/>
  <c r="F210" i="4"/>
  <c r="F185" i="4"/>
  <c r="F155" i="4"/>
  <c r="F151" i="4"/>
  <c r="F146" i="4"/>
  <c r="F172" i="4"/>
  <c r="F154" i="4"/>
  <c r="F148" i="4"/>
  <c r="F139" i="4"/>
  <c r="F137" i="4"/>
  <c r="F132" i="4"/>
  <c r="F127" i="4"/>
  <c r="F122" i="4"/>
  <c r="F117" i="4"/>
  <c r="F112" i="4"/>
  <c r="F107" i="4"/>
  <c r="F102" i="4"/>
  <c r="F97" i="4"/>
  <c r="F92" i="4"/>
  <c r="F87" i="4"/>
  <c r="F82" i="4"/>
  <c r="F77" i="4"/>
  <c r="F72" i="4"/>
  <c r="F67" i="4"/>
  <c r="F225" i="4"/>
  <c r="F200" i="4"/>
  <c r="F175" i="4"/>
  <c r="F170" i="4"/>
  <c r="F141" i="4"/>
  <c r="F162" i="4"/>
  <c r="F161" i="4"/>
  <c r="F150" i="4"/>
  <c r="F143" i="4"/>
  <c r="F55" i="4"/>
  <c r="F48" i="4"/>
  <c r="F44" i="4"/>
  <c r="F39" i="4"/>
  <c r="F34" i="4"/>
  <c r="F29" i="4"/>
  <c r="F24" i="4"/>
  <c r="F19" i="4"/>
  <c r="F14" i="4"/>
  <c r="F9" i="4"/>
  <c r="F4" i="4"/>
  <c r="F130" i="4"/>
  <c r="F105" i="4"/>
  <c r="F80" i="4"/>
  <c r="F57" i="4"/>
  <c r="F69" i="4"/>
  <c r="F60" i="4"/>
  <c r="F50" i="4"/>
  <c r="F42" i="4"/>
  <c r="F37" i="4"/>
  <c r="F32" i="4"/>
  <c r="F27" i="4"/>
  <c r="F22" i="4"/>
  <c r="F17" i="4"/>
  <c r="F12" i="4"/>
  <c r="F7" i="4"/>
  <c r="F2" i="4"/>
  <c r="F120" i="4"/>
  <c r="F95" i="4"/>
  <c r="F52" i="4"/>
  <c r="F59" i="4"/>
  <c r="F54" i="4"/>
  <c r="F45" i="4"/>
  <c r="F40" i="4"/>
  <c r="F35" i="4"/>
  <c r="F30" i="4"/>
  <c r="F25" i="4"/>
  <c r="F20" i="4"/>
  <c r="F15" i="4"/>
  <c r="F10" i="4"/>
  <c r="F5" i="4"/>
  <c r="F135" i="4"/>
  <c r="F110" i="4"/>
  <c r="F85" i="4"/>
  <c r="F70" i="4"/>
  <c r="F56" i="4"/>
  <c r="F47" i="4"/>
  <c r="F71" i="4"/>
  <c r="F64" i="4"/>
  <c r="F49" i="4"/>
  <c r="F43" i="4"/>
  <c r="F38" i="4"/>
  <c r="F33" i="4"/>
  <c r="F28" i="4"/>
  <c r="F23" i="4"/>
  <c r="F18" i="4"/>
  <c r="F13" i="4"/>
  <c r="F8" i="4"/>
  <c r="F3" i="4"/>
  <c r="F125" i="4"/>
  <c r="F100" i="4"/>
  <c r="F75" i="4"/>
  <c r="F66" i="4"/>
  <c r="F51" i="4"/>
  <c r="F65" i="4"/>
  <c r="F62" i="4"/>
  <c r="F61" i="4"/>
  <c r="F53" i="4"/>
  <c r="F41" i="4"/>
  <c r="F36" i="4"/>
  <c r="F31" i="4"/>
  <c r="F26" i="4"/>
  <c r="F21" i="4"/>
  <c r="F16" i="4"/>
  <c r="F11" i="4"/>
  <c r="F6" i="4"/>
  <c r="F115" i="4"/>
  <c r="F90" i="4"/>
  <c r="F46" i="4"/>
  <c r="X646" i="4"/>
  <c r="X643" i="4"/>
  <c r="X650" i="4"/>
  <c r="X647" i="4"/>
  <c r="X648" i="4"/>
  <c r="X649" i="4"/>
  <c r="X651" i="4"/>
  <c r="X645" i="4"/>
  <c r="X638" i="4"/>
  <c r="X632" i="4"/>
  <c r="X622" i="4"/>
  <c r="X612" i="4"/>
  <c r="X602" i="4"/>
  <c r="X592" i="4"/>
  <c r="X640" i="4"/>
  <c r="X629" i="4"/>
  <c r="X619" i="4"/>
  <c r="X609" i="4"/>
  <c r="X599" i="4"/>
  <c r="X589" i="4"/>
  <c r="X636" i="4"/>
  <c r="X626" i="4"/>
  <c r="X616" i="4"/>
  <c r="X606" i="4"/>
  <c r="X596" i="4"/>
  <c r="X633" i="4"/>
  <c r="X623" i="4"/>
  <c r="X613" i="4"/>
  <c r="X603" i="4"/>
  <c r="X593" i="4"/>
  <c r="X630" i="4"/>
  <c r="X620" i="4"/>
  <c r="X610" i="4"/>
  <c r="X600" i="4"/>
  <c r="X644" i="4"/>
  <c r="X637" i="4"/>
  <c r="X627" i="4"/>
  <c r="X617" i="4"/>
  <c r="X607" i="4"/>
  <c r="X597" i="4"/>
  <c r="X639" i="4"/>
  <c r="X634" i="4"/>
  <c r="X624" i="4"/>
  <c r="X614" i="4"/>
  <c r="X604" i="4"/>
  <c r="X594" i="4"/>
  <c r="X631" i="4"/>
  <c r="X642" i="4"/>
  <c r="X628" i="4"/>
  <c r="X618" i="4"/>
  <c r="X608" i="4"/>
  <c r="X598" i="4"/>
  <c r="X641" i="4"/>
  <c r="X635" i="4"/>
  <c r="X621" i="4"/>
  <c r="X587" i="4"/>
  <c r="X577" i="4"/>
  <c r="X567" i="4"/>
  <c r="X557" i="4"/>
  <c r="X547" i="4"/>
  <c r="X537" i="4"/>
  <c r="X527" i="4"/>
  <c r="X517" i="4"/>
  <c r="X507" i="4"/>
  <c r="X497" i="4"/>
  <c r="X615" i="4"/>
  <c r="X591" i="4"/>
  <c r="X584" i="4"/>
  <c r="X574" i="4"/>
  <c r="X564" i="4"/>
  <c r="X554" i="4"/>
  <c r="X544" i="4"/>
  <c r="X534" i="4"/>
  <c r="X524" i="4"/>
  <c r="X514" i="4"/>
  <c r="X504" i="4"/>
  <c r="X581" i="4"/>
  <c r="X571" i="4"/>
  <c r="X561" i="4"/>
  <c r="X551" i="4"/>
  <c r="X541" i="4"/>
  <c r="X531" i="4"/>
  <c r="X521" i="4"/>
  <c r="X511" i="4"/>
  <c r="X578" i="4"/>
  <c r="X568" i="4"/>
  <c r="X558" i="4"/>
  <c r="X548" i="4"/>
  <c r="X538" i="4"/>
  <c r="X528" i="4"/>
  <c r="X518" i="4"/>
  <c r="X508" i="4"/>
  <c r="X611" i="4"/>
  <c r="X585" i="4"/>
  <c r="X575" i="4"/>
  <c r="X565" i="4"/>
  <c r="X555" i="4"/>
  <c r="X545" i="4"/>
  <c r="X535" i="4"/>
  <c r="X525" i="4"/>
  <c r="X515" i="4"/>
  <c r="X505" i="4"/>
  <c r="X605" i="4"/>
  <c r="X588" i="4"/>
  <c r="X582" i="4"/>
  <c r="X572" i="4"/>
  <c r="X562" i="4"/>
  <c r="X552" i="4"/>
  <c r="X542" i="4"/>
  <c r="X532" i="4"/>
  <c r="X522" i="4"/>
  <c r="X512" i="4"/>
  <c r="X579" i="4"/>
  <c r="X569" i="4"/>
  <c r="X559" i="4"/>
  <c r="X549" i="4"/>
  <c r="X539" i="4"/>
  <c r="X529" i="4"/>
  <c r="X519" i="4"/>
  <c r="X509" i="4"/>
  <c r="X625" i="4"/>
  <c r="X586" i="4"/>
  <c r="X576" i="4"/>
  <c r="X601" i="4"/>
  <c r="X595" i="4"/>
  <c r="X580" i="4"/>
  <c r="X570" i="4"/>
  <c r="X560" i="4"/>
  <c r="X550" i="4"/>
  <c r="X540" i="4"/>
  <c r="X530" i="4"/>
  <c r="X520" i="4"/>
  <c r="X510" i="4"/>
  <c r="X590" i="4"/>
  <c r="X526" i="4"/>
  <c r="X494" i="4"/>
  <c r="X484" i="4"/>
  <c r="X474" i="4"/>
  <c r="X464" i="4"/>
  <c r="X454" i="4"/>
  <c r="X444" i="4"/>
  <c r="X434" i="4"/>
  <c r="X424" i="4"/>
  <c r="X414" i="4"/>
  <c r="X404" i="4"/>
  <c r="X583" i="4"/>
  <c r="X523" i="4"/>
  <c r="X500" i="4"/>
  <c r="X491" i="4"/>
  <c r="X481" i="4"/>
  <c r="X471" i="4"/>
  <c r="X461" i="4"/>
  <c r="X451" i="4"/>
  <c r="X441" i="4"/>
  <c r="X431" i="4"/>
  <c r="X421" i="4"/>
  <c r="X411" i="4"/>
  <c r="X546" i="4"/>
  <c r="X503" i="4"/>
  <c r="X488" i="4"/>
  <c r="X478" i="4"/>
  <c r="X468" i="4"/>
  <c r="X458" i="4"/>
  <c r="X448" i="4"/>
  <c r="X438" i="4"/>
  <c r="X543" i="4"/>
  <c r="X502" i="4"/>
  <c r="X485" i="4"/>
  <c r="X475" i="4"/>
  <c r="X465" i="4"/>
  <c r="X455" i="4"/>
  <c r="X445" i="4"/>
  <c r="X435" i="4"/>
  <c r="X566" i="4"/>
  <c r="X516" i="4"/>
  <c r="X499" i="4"/>
  <c r="X495" i="4"/>
  <c r="X492" i="4"/>
  <c r="X482" i="4"/>
  <c r="X472" i="4"/>
  <c r="X462" i="4"/>
  <c r="X452" i="4"/>
  <c r="X442" i="4"/>
  <c r="X432" i="4"/>
  <c r="X563" i="4"/>
  <c r="X513" i="4"/>
  <c r="X489" i="4"/>
  <c r="X479" i="4"/>
  <c r="X469" i="4"/>
  <c r="X459" i="4"/>
  <c r="X449" i="4"/>
  <c r="X439" i="4"/>
  <c r="X536" i="4"/>
  <c r="X501" i="4"/>
  <c r="X486" i="4"/>
  <c r="X476" i="4"/>
  <c r="X466" i="4"/>
  <c r="X456" i="4"/>
  <c r="X446" i="4"/>
  <c r="X436" i="4"/>
  <c r="X533" i="4"/>
  <c r="X506" i="4"/>
  <c r="X573" i="4"/>
  <c r="X556" i="4"/>
  <c r="X498" i="4"/>
  <c r="X490" i="4"/>
  <c r="X480" i="4"/>
  <c r="X470" i="4"/>
  <c r="X460" i="4"/>
  <c r="X450" i="4"/>
  <c r="X440" i="4"/>
  <c r="X430" i="4"/>
  <c r="X420" i="4"/>
  <c r="X553" i="4"/>
  <c r="X483" i="4"/>
  <c r="X433" i="4"/>
  <c r="X427" i="4"/>
  <c r="X418" i="4"/>
  <c r="X410" i="4"/>
  <c r="X405" i="4"/>
  <c r="X477" i="4"/>
  <c r="X428" i="4"/>
  <c r="X415" i="4"/>
  <c r="X407" i="4"/>
  <c r="X403" i="4"/>
  <c r="X453" i="4"/>
  <c r="X429" i="4"/>
  <c r="X423" i="4"/>
  <c r="X412" i="4"/>
  <c r="X447" i="4"/>
  <c r="X422" i="4"/>
  <c r="X409" i="4"/>
  <c r="X473" i="4"/>
  <c r="X467" i="4"/>
  <c r="X417" i="4"/>
  <c r="X406" i="4"/>
  <c r="X493" i="4"/>
  <c r="X443" i="4"/>
  <c r="X408" i="4"/>
  <c r="X402" i="4"/>
  <c r="X496" i="4"/>
  <c r="X487" i="4"/>
  <c r="X437" i="4"/>
  <c r="X463" i="4"/>
  <c r="X426" i="4"/>
  <c r="X425" i="4"/>
  <c r="X416" i="4"/>
  <c r="X457" i="4"/>
  <c r="X419" i="4"/>
  <c r="X413" i="4"/>
  <c r="AH646" i="4"/>
  <c r="AH643" i="4"/>
  <c r="AH640" i="4"/>
  <c r="AH650" i="4"/>
  <c r="AH647" i="4"/>
  <c r="AH644" i="4"/>
  <c r="AH648" i="4"/>
  <c r="AH651" i="4"/>
  <c r="AH649" i="4"/>
  <c r="AH632" i="4"/>
  <c r="AH622" i="4"/>
  <c r="AH612" i="4"/>
  <c r="AH602" i="4"/>
  <c r="AH592" i="4"/>
  <c r="AH642" i="4"/>
  <c r="AH638" i="4"/>
  <c r="AH629" i="4"/>
  <c r="AH619" i="4"/>
  <c r="AH609" i="4"/>
  <c r="AH599" i="4"/>
  <c r="AH589" i="4"/>
  <c r="AH641" i="4"/>
  <c r="AH636" i="4"/>
  <c r="AH626" i="4"/>
  <c r="AH616" i="4"/>
  <c r="AH606" i="4"/>
  <c r="AH596" i="4"/>
  <c r="AH633" i="4"/>
  <c r="AH623" i="4"/>
  <c r="AH613" i="4"/>
  <c r="AH603" i="4"/>
  <c r="AH593" i="4"/>
  <c r="AH630" i="4"/>
  <c r="AH620" i="4"/>
  <c r="AH610" i="4"/>
  <c r="AH600" i="4"/>
  <c r="AH590" i="4"/>
  <c r="AH627" i="4"/>
  <c r="AH617" i="4"/>
  <c r="AH607" i="4"/>
  <c r="AH597" i="4"/>
  <c r="AH637" i="4"/>
  <c r="AH634" i="4"/>
  <c r="AH624" i="4"/>
  <c r="AH614" i="4"/>
  <c r="AH604" i="4"/>
  <c r="AH594" i="4"/>
  <c r="AH631" i="4"/>
  <c r="AH645" i="4"/>
  <c r="AH639" i="4"/>
  <c r="AH628" i="4"/>
  <c r="AH618" i="4"/>
  <c r="AH608" i="4"/>
  <c r="AH598" i="4"/>
  <c r="AH635" i="4"/>
  <c r="AH577" i="4"/>
  <c r="AH567" i="4"/>
  <c r="AH557" i="4"/>
  <c r="AH547" i="4"/>
  <c r="AH537" i="4"/>
  <c r="AH527" i="4"/>
  <c r="AH517" i="4"/>
  <c r="AH507" i="4"/>
  <c r="AH497" i="4"/>
  <c r="AH587" i="4"/>
  <c r="AH584" i="4"/>
  <c r="AH574" i="4"/>
  <c r="AH564" i="4"/>
  <c r="AH554" i="4"/>
  <c r="AH544" i="4"/>
  <c r="AH534" i="4"/>
  <c r="AH524" i="4"/>
  <c r="AH514" i="4"/>
  <c r="AH504" i="4"/>
  <c r="AH611" i="4"/>
  <c r="AH581" i="4"/>
  <c r="AH571" i="4"/>
  <c r="AH561" i="4"/>
  <c r="AH551" i="4"/>
  <c r="AH541" i="4"/>
  <c r="AH531" i="4"/>
  <c r="AH521" i="4"/>
  <c r="AH511" i="4"/>
  <c r="AH605" i="4"/>
  <c r="AH578" i="4"/>
  <c r="AH568" i="4"/>
  <c r="AH558" i="4"/>
  <c r="AH548" i="4"/>
  <c r="AH538" i="4"/>
  <c r="AH528" i="4"/>
  <c r="AH518" i="4"/>
  <c r="AH508" i="4"/>
  <c r="AH585" i="4"/>
  <c r="AH575" i="4"/>
  <c r="AH565" i="4"/>
  <c r="AH555" i="4"/>
  <c r="AH545" i="4"/>
  <c r="AH535" i="4"/>
  <c r="AH525" i="4"/>
  <c r="AH515" i="4"/>
  <c r="AH505" i="4"/>
  <c r="AH625" i="4"/>
  <c r="AH582" i="4"/>
  <c r="AH572" i="4"/>
  <c r="AH562" i="4"/>
  <c r="AH552" i="4"/>
  <c r="AH542" i="4"/>
  <c r="AH532" i="4"/>
  <c r="AH522" i="4"/>
  <c r="AH512" i="4"/>
  <c r="AH601" i="4"/>
  <c r="AH588" i="4"/>
  <c r="AH579" i="4"/>
  <c r="AH569" i="4"/>
  <c r="AH559" i="4"/>
  <c r="AH549" i="4"/>
  <c r="AH539" i="4"/>
  <c r="AH529" i="4"/>
  <c r="AH519" i="4"/>
  <c r="AH509" i="4"/>
  <c r="AH595" i="4"/>
  <c r="AH591" i="4"/>
  <c r="AH586" i="4"/>
  <c r="AH576" i="4"/>
  <c r="AH621" i="4"/>
  <c r="AH615" i="4"/>
  <c r="AH580" i="4"/>
  <c r="AH570" i="4"/>
  <c r="AH560" i="4"/>
  <c r="AH550" i="4"/>
  <c r="AH540" i="4"/>
  <c r="AH530" i="4"/>
  <c r="AH520" i="4"/>
  <c r="AH510" i="4"/>
  <c r="AH583" i="4"/>
  <c r="AH546" i="4"/>
  <c r="AH496" i="4"/>
  <c r="AH494" i="4"/>
  <c r="AH484" i="4"/>
  <c r="AH474" i="4"/>
  <c r="AH464" i="4"/>
  <c r="AH454" i="4"/>
  <c r="AH444" i="4"/>
  <c r="AH434" i="4"/>
  <c r="AH424" i="4"/>
  <c r="AH414" i="4"/>
  <c r="AH404" i="4"/>
  <c r="AH543" i="4"/>
  <c r="AH491" i="4"/>
  <c r="AH481" i="4"/>
  <c r="AH471" i="4"/>
  <c r="AH461" i="4"/>
  <c r="AH451" i="4"/>
  <c r="AH441" i="4"/>
  <c r="AH431" i="4"/>
  <c r="AH421" i="4"/>
  <c r="AH411" i="4"/>
  <c r="AH566" i="4"/>
  <c r="AH516" i="4"/>
  <c r="AH488" i="4"/>
  <c r="AH478" i="4"/>
  <c r="AH468" i="4"/>
  <c r="AH458" i="4"/>
  <c r="AH448" i="4"/>
  <c r="AH438" i="4"/>
  <c r="AH563" i="4"/>
  <c r="AH513" i="4"/>
  <c r="AH506" i="4"/>
  <c r="AH500" i="4"/>
  <c r="AH485" i="4"/>
  <c r="AH475" i="4"/>
  <c r="AH465" i="4"/>
  <c r="AH455" i="4"/>
  <c r="AH445" i="4"/>
  <c r="AH435" i="4"/>
  <c r="AH536" i="4"/>
  <c r="AH492" i="4"/>
  <c r="AH482" i="4"/>
  <c r="AH472" i="4"/>
  <c r="AH462" i="4"/>
  <c r="AH452" i="4"/>
  <c r="AH442" i="4"/>
  <c r="AH432" i="4"/>
  <c r="AH533" i="4"/>
  <c r="AH495" i="4"/>
  <c r="AH489" i="4"/>
  <c r="AH479" i="4"/>
  <c r="AH469" i="4"/>
  <c r="AH459" i="4"/>
  <c r="AH449" i="4"/>
  <c r="AH439" i="4"/>
  <c r="AH556" i="4"/>
  <c r="AH502" i="4"/>
  <c r="AH499" i="4"/>
  <c r="AH486" i="4"/>
  <c r="AH476" i="4"/>
  <c r="AH466" i="4"/>
  <c r="AH456" i="4"/>
  <c r="AH446" i="4"/>
  <c r="AH436" i="4"/>
  <c r="AH573" i="4"/>
  <c r="AH553" i="4"/>
  <c r="AH503" i="4"/>
  <c r="AH526" i="4"/>
  <c r="AH501" i="4"/>
  <c r="AH490" i="4"/>
  <c r="AH480" i="4"/>
  <c r="AH470" i="4"/>
  <c r="AH460" i="4"/>
  <c r="AH450" i="4"/>
  <c r="AH440" i="4"/>
  <c r="AH430" i="4"/>
  <c r="AH420" i="4"/>
  <c r="AH523" i="4"/>
  <c r="AH453" i="4"/>
  <c r="AH416" i="4"/>
  <c r="AH498" i="4"/>
  <c r="AH447" i="4"/>
  <c r="AH413" i="4"/>
  <c r="AH405" i="4"/>
  <c r="AH473" i="4"/>
  <c r="AH425" i="4"/>
  <c r="AH419" i="4"/>
  <c r="AH410" i="4"/>
  <c r="AH403" i="4"/>
  <c r="AH467" i="4"/>
  <c r="AH426" i="4"/>
  <c r="AH418" i="4"/>
  <c r="AH415" i="4"/>
  <c r="AH407" i="4"/>
  <c r="AH493" i="4"/>
  <c r="AH443" i="4"/>
  <c r="AH412" i="4"/>
  <c r="AH487" i="4"/>
  <c r="AH437" i="4"/>
  <c r="AH427" i="4"/>
  <c r="AH423" i="4"/>
  <c r="AH409" i="4"/>
  <c r="AH463" i="4"/>
  <c r="AH428" i="4"/>
  <c r="AH422" i="4"/>
  <c r="AH406" i="4"/>
  <c r="AH457" i="4"/>
  <c r="AH429" i="4"/>
  <c r="AH417" i="4"/>
  <c r="AH402" i="4"/>
  <c r="AH483" i="4"/>
  <c r="AH433" i="4"/>
  <c r="AH408" i="4"/>
  <c r="AH477" i="4"/>
  <c r="G140" i="2"/>
  <c r="G286" i="2"/>
  <c r="G362" i="2"/>
  <c r="AD648" i="4"/>
  <c r="AD638" i="4"/>
  <c r="AD651" i="4"/>
  <c r="AD645" i="4"/>
  <c r="AD642" i="4"/>
  <c r="AD649" i="4"/>
  <c r="AD646" i="4"/>
  <c r="AD639" i="4"/>
  <c r="AD637" i="4"/>
  <c r="AD634" i="4"/>
  <c r="AD624" i="4"/>
  <c r="AD614" i="4"/>
  <c r="AD604" i="4"/>
  <c r="AD594" i="4"/>
  <c r="AD631" i="4"/>
  <c r="AD621" i="4"/>
  <c r="AD611" i="4"/>
  <c r="AD601" i="4"/>
  <c r="AD591" i="4"/>
  <c r="AD650" i="4"/>
  <c r="AD647" i="4"/>
  <c r="AD643" i="4"/>
  <c r="AD628" i="4"/>
  <c r="AD618" i="4"/>
  <c r="AD608" i="4"/>
  <c r="AD598" i="4"/>
  <c r="AD635" i="4"/>
  <c r="AD625" i="4"/>
  <c r="AD615" i="4"/>
  <c r="AD605" i="4"/>
  <c r="AD595" i="4"/>
  <c r="AD644" i="4"/>
  <c r="AD632" i="4"/>
  <c r="AD622" i="4"/>
  <c r="AD612" i="4"/>
  <c r="AD602" i="4"/>
  <c r="AD592" i="4"/>
  <c r="AD629" i="4"/>
  <c r="AD619" i="4"/>
  <c r="AD609" i="4"/>
  <c r="AD599" i="4"/>
  <c r="AD641" i="4"/>
  <c r="AD636" i="4"/>
  <c r="AD626" i="4"/>
  <c r="AD616" i="4"/>
  <c r="AD606" i="4"/>
  <c r="AD596" i="4"/>
  <c r="AD640" i="4"/>
  <c r="AD633" i="4"/>
  <c r="AD630" i="4"/>
  <c r="AD620" i="4"/>
  <c r="AD610" i="4"/>
  <c r="AD600" i="4"/>
  <c r="AD590" i="4"/>
  <c r="AD603" i="4"/>
  <c r="AD579" i="4"/>
  <c r="AD569" i="4"/>
  <c r="AD559" i="4"/>
  <c r="AD549" i="4"/>
  <c r="AD539" i="4"/>
  <c r="AD529" i="4"/>
  <c r="AD519" i="4"/>
  <c r="AD509" i="4"/>
  <c r="AD499" i="4"/>
  <c r="AD597" i="4"/>
  <c r="AD586" i="4"/>
  <c r="AD576" i="4"/>
  <c r="AD566" i="4"/>
  <c r="AD556" i="4"/>
  <c r="AD546" i="4"/>
  <c r="AD536" i="4"/>
  <c r="AD526" i="4"/>
  <c r="AD516" i="4"/>
  <c r="AD506" i="4"/>
  <c r="AD623" i="4"/>
  <c r="AD583" i="4"/>
  <c r="AD573" i="4"/>
  <c r="AD563" i="4"/>
  <c r="AD553" i="4"/>
  <c r="AD543" i="4"/>
  <c r="AD533" i="4"/>
  <c r="AD523" i="4"/>
  <c r="AD513" i="4"/>
  <c r="AD617" i="4"/>
  <c r="AD580" i="4"/>
  <c r="AD570" i="4"/>
  <c r="AD560" i="4"/>
  <c r="AD550" i="4"/>
  <c r="AD540" i="4"/>
  <c r="AD530" i="4"/>
  <c r="AD520" i="4"/>
  <c r="AD510" i="4"/>
  <c r="AD577" i="4"/>
  <c r="AD567" i="4"/>
  <c r="AD557" i="4"/>
  <c r="AD547" i="4"/>
  <c r="AD537" i="4"/>
  <c r="AD527" i="4"/>
  <c r="AD517" i="4"/>
  <c r="AD507" i="4"/>
  <c r="AD593" i="4"/>
  <c r="AD587" i="4"/>
  <c r="AD584" i="4"/>
  <c r="AD574" i="4"/>
  <c r="AD564" i="4"/>
  <c r="AD554" i="4"/>
  <c r="AD544" i="4"/>
  <c r="AD534" i="4"/>
  <c r="AD524" i="4"/>
  <c r="AD514" i="4"/>
  <c r="AD613" i="4"/>
  <c r="AD589" i="4"/>
  <c r="AD581" i="4"/>
  <c r="AD571" i="4"/>
  <c r="AD561" i="4"/>
  <c r="AD551" i="4"/>
  <c r="AD541" i="4"/>
  <c r="AD531" i="4"/>
  <c r="AD521" i="4"/>
  <c r="AD511" i="4"/>
  <c r="AD607" i="4"/>
  <c r="AD578" i="4"/>
  <c r="AD627" i="4"/>
  <c r="AD588" i="4"/>
  <c r="AD582" i="4"/>
  <c r="AD572" i="4"/>
  <c r="AD562" i="4"/>
  <c r="AD552" i="4"/>
  <c r="AD542" i="4"/>
  <c r="AD532" i="4"/>
  <c r="AD522" i="4"/>
  <c r="AD512" i="4"/>
  <c r="AD502" i="4"/>
  <c r="AD558" i="4"/>
  <c r="AD486" i="4"/>
  <c r="AD476" i="4"/>
  <c r="AD466" i="4"/>
  <c r="AD456" i="4"/>
  <c r="AD446" i="4"/>
  <c r="AD436" i="4"/>
  <c r="AD426" i="4"/>
  <c r="AD416" i="4"/>
  <c r="AD406" i="4"/>
  <c r="AD555" i="4"/>
  <c r="AD508" i="4"/>
  <c r="AD493" i="4"/>
  <c r="AD483" i="4"/>
  <c r="AD473" i="4"/>
  <c r="AD463" i="4"/>
  <c r="AD453" i="4"/>
  <c r="AD443" i="4"/>
  <c r="AD433" i="4"/>
  <c r="AD423" i="4"/>
  <c r="AD413" i="4"/>
  <c r="AD528" i="4"/>
  <c r="AD505" i="4"/>
  <c r="AD501" i="4"/>
  <c r="AD490" i="4"/>
  <c r="AD480" i="4"/>
  <c r="AD470" i="4"/>
  <c r="AD460" i="4"/>
  <c r="AD450" i="4"/>
  <c r="AD440" i="4"/>
  <c r="AD525" i="4"/>
  <c r="AD498" i="4"/>
  <c r="AD496" i="4"/>
  <c r="AD487" i="4"/>
  <c r="AD477" i="4"/>
  <c r="AD467" i="4"/>
  <c r="AD457" i="4"/>
  <c r="AD447" i="4"/>
  <c r="AD437" i="4"/>
  <c r="AD427" i="4"/>
  <c r="AD575" i="4"/>
  <c r="AD548" i="4"/>
  <c r="AD494" i="4"/>
  <c r="AD484" i="4"/>
  <c r="AD474" i="4"/>
  <c r="AD464" i="4"/>
  <c r="AD454" i="4"/>
  <c r="AD444" i="4"/>
  <c r="AD434" i="4"/>
  <c r="AD545" i="4"/>
  <c r="AD500" i="4"/>
  <c r="AD491" i="4"/>
  <c r="AD481" i="4"/>
  <c r="AD471" i="4"/>
  <c r="AD461" i="4"/>
  <c r="AD451" i="4"/>
  <c r="AD441" i="4"/>
  <c r="AD431" i="4"/>
  <c r="AD568" i="4"/>
  <c r="AD518" i="4"/>
  <c r="AD488" i="4"/>
  <c r="AD478" i="4"/>
  <c r="AD468" i="4"/>
  <c r="AD458" i="4"/>
  <c r="AD448" i="4"/>
  <c r="AD438" i="4"/>
  <c r="AD585" i="4"/>
  <c r="AD565" i="4"/>
  <c r="AD515" i="4"/>
  <c r="AD538" i="4"/>
  <c r="AD503" i="4"/>
  <c r="AD497" i="4"/>
  <c r="AD492" i="4"/>
  <c r="AD482" i="4"/>
  <c r="AD472" i="4"/>
  <c r="AD462" i="4"/>
  <c r="AD452" i="4"/>
  <c r="AD442" i="4"/>
  <c r="AD432" i="4"/>
  <c r="AD422" i="4"/>
  <c r="AD535" i="4"/>
  <c r="AD465" i="4"/>
  <c r="AD429" i="4"/>
  <c r="AD414" i="4"/>
  <c r="AD404" i="4"/>
  <c r="AD459" i="4"/>
  <c r="AD430" i="4"/>
  <c r="AD421" i="4"/>
  <c r="AD411" i="4"/>
  <c r="AD402" i="4"/>
  <c r="AD485" i="4"/>
  <c r="AD435" i="4"/>
  <c r="AD420" i="4"/>
  <c r="AD408" i="4"/>
  <c r="AD479" i="4"/>
  <c r="AD504" i="4"/>
  <c r="AD455" i="4"/>
  <c r="AD410" i="4"/>
  <c r="AD449" i="4"/>
  <c r="AD425" i="4"/>
  <c r="AD424" i="4"/>
  <c r="AD419" i="4"/>
  <c r="AD407" i="4"/>
  <c r="AD405" i="4"/>
  <c r="AD403" i="4"/>
  <c r="AD475" i="4"/>
  <c r="AD469" i="4"/>
  <c r="AD418" i="4"/>
  <c r="AD415" i="4"/>
  <c r="AD445" i="4"/>
  <c r="AD428" i="4"/>
  <c r="AD412" i="4"/>
  <c r="AD495" i="4"/>
  <c r="AD489" i="4"/>
  <c r="AD439" i="4"/>
  <c r="AD417" i="4"/>
  <c r="AD409" i="4"/>
  <c r="Y643" i="4"/>
  <c r="Y650" i="4"/>
  <c r="Y640" i="4"/>
  <c r="Y647" i="4"/>
  <c r="Y644" i="4"/>
  <c r="Y648" i="4"/>
  <c r="Y651" i="4"/>
  <c r="Y645" i="4"/>
  <c r="Y646" i="4"/>
  <c r="Y629" i="4"/>
  <c r="Y619" i="4"/>
  <c r="Y609" i="4"/>
  <c r="Y599" i="4"/>
  <c r="Y589" i="4"/>
  <c r="Y636" i="4"/>
  <c r="Y626" i="4"/>
  <c r="Y616" i="4"/>
  <c r="Y606" i="4"/>
  <c r="Y596" i="4"/>
  <c r="Y633" i="4"/>
  <c r="Y623" i="4"/>
  <c r="Y613" i="4"/>
  <c r="Y603" i="4"/>
  <c r="Y593" i="4"/>
  <c r="Y630" i="4"/>
  <c r="Y620" i="4"/>
  <c r="Y610" i="4"/>
  <c r="Y600" i="4"/>
  <c r="Y590" i="4"/>
  <c r="Y637" i="4"/>
  <c r="Y627" i="4"/>
  <c r="Y617" i="4"/>
  <c r="Y607" i="4"/>
  <c r="Y597" i="4"/>
  <c r="Y639" i="4"/>
  <c r="Y634" i="4"/>
  <c r="Y624" i="4"/>
  <c r="Y614" i="4"/>
  <c r="Y604" i="4"/>
  <c r="Y594" i="4"/>
  <c r="Y631" i="4"/>
  <c r="Y621" i="4"/>
  <c r="Y611" i="4"/>
  <c r="Y601" i="4"/>
  <c r="Y649" i="4"/>
  <c r="Y642" i="4"/>
  <c r="Y641" i="4"/>
  <c r="Y635" i="4"/>
  <c r="Y625" i="4"/>
  <c r="Y615" i="4"/>
  <c r="Y605" i="4"/>
  <c r="Y595" i="4"/>
  <c r="Y638" i="4"/>
  <c r="Y632" i="4"/>
  <c r="Y618" i="4"/>
  <c r="Y591" i="4"/>
  <c r="Y584" i="4"/>
  <c r="Y574" i="4"/>
  <c r="Y564" i="4"/>
  <c r="Y554" i="4"/>
  <c r="Y544" i="4"/>
  <c r="Y534" i="4"/>
  <c r="Y524" i="4"/>
  <c r="Y514" i="4"/>
  <c r="Y504" i="4"/>
  <c r="Y612" i="4"/>
  <c r="Y581" i="4"/>
  <c r="Y571" i="4"/>
  <c r="Y561" i="4"/>
  <c r="Y551" i="4"/>
  <c r="Y541" i="4"/>
  <c r="Y531" i="4"/>
  <c r="Y521" i="4"/>
  <c r="Y511" i="4"/>
  <c r="Y501" i="4"/>
  <c r="Y578" i="4"/>
  <c r="Y568" i="4"/>
  <c r="Y558" i="4"/>
  <c r="Y548" i="4"/>
  <c r="Y538" i="4"/>
  <c r="Y528" i="4"/>
  <c r="Y518" i="4"/>
  <c r="Y585" i="4"/>
  <c r="Y575" i="4"/>
  <c r="Y565" i="4"/>
  <c r="Y555" i="4"/>
  <c r="Y545" i="4"/>
  <c r="Y535" i="4"/>
  <c r="Y525" i="4"/>
  <c r="Y515" i="4"/>
  <c r="Y505" i="4"/>
  <c r="Y608" i="4"/>
  <c r="Y592" i="4"/>
  <c r="Y588" i="4"/>
  <c r="Y582" i="4"/>
  <c r="Y572" i="4"/>
  <c r="Y562" i="4"/>
  <c r="Y552" i="4"/>
  <c r="Y542" i="4"/>
  <c r="Y532" i="4"/>
  <c r="Y522" i="4"/>
  <c r="Y512" i="4"/>
  <c r="Y602" i="4"/>
  <c r="Y579" i="4"/>
  <c r="Y569" i="4"/>
  <c r="Y559" i="4"/>
  <c r="Y549" i="4"/>
  <c r="Y539" i="4"/>
  <c r="Y529" i="4"/>
  <c r="Y519" i="4"/>
  <c r="Y509" i="4"/>
  <c r="Y628" i="4"/>
  <c r="Y586" i="4"/>
  <c r="Y576" i="4"/>
  <c r="Y566" i="4"/>
  <c r="Y556" i="4"/>
  <c r="Y546" i="4"/>
  <c r="Y536" i="4"/>
  <c r="Y526" i="4"/>
  <c r="Y516" i="4"/>
  <c r="Y622" i="4"/>
  <c r="Y583" i="4"/>
  <c r="Y573" i="4"/>
  <c r="Y598" i="4"/>
  <c r="Y587" i="4"/>
  <c r="Y577" i="4"/>
  <c r="Y567" i="4"/>
  <c r="Y557" i="4"/>
  <c r="Y547" i="4"/>
  <c r="Y537" i="4"/>
  <c r="Y527" i="4"/>
  <c r="Y517" i="4"/>
  <c r="Y507" i="4"/>
  <c r="Y523" i="4"/>
  <c r="Y500" i="4"/>
  <c r="Y491" i="4"/>
  <c r="Y481" i="4"/>
  <c r="Y471" i="4"/>
  <c r="Y461" i="4"/>
  <c r="Y451" i="4"/>
  <c r="Y441" i="4"/>
  <c r="Y431" i="4"/>
  <c r="Y421" i="4"/>
  <c r="Y411" i="4"/>
  <c r="Y520" i="4"/>
  <c r="Y503" i="4"/>
  <c r="Y488" i="4"/>
  <c r="Y478" i="4"/>
  <c r="Y468" i="4"/>
  <c r="Y458" i="4"/>
  <c r="Y448" i="4"/>
  <c r="Y438" i="4"/>
  <c r="Y428" i="4"/>
  <c r="Y418" i="4"/>
  <c r="Y408" i="4"/>
  <c r="Y543" i="4"/>
  <c r="Y502" i="4"/>
  <c r="Y485" i="4"/>
  <c r="Y475" i="4"/>
  <c r="Y465" i="4"/>
  <c r="Y455" i="4"/>
  <c r="Y445" i="4"/>
  <c r="Y435" i="4"/>
  <c r="Y570" i="4"/>
  <c r="Y540" i="4"/>
  <c r="Y508" i="4"/>
  <c r="Y499" i="4"/>
  <c r="Y497" i="4"/>
  <c r="Y495" i="4"/>
  <c r="Y492" i="4"/>
  <c r="Y482" i="4"/>
  <c r="Y472" i="4"/>
  <c r="Y462" i="4"/>
  <c r="Y452" i="4"/>
  <c r="Y442" i="4"/>
  <c r="Y432" i="4"/>
  <c r="Y563" i="4"/>
  <c r="Y513" i="4"/>
  <c r="Y489" i="4"/>
  <c r="Y479" i="4"/>
  <c r="Y469" i="4"/>
  <c r="Y459" i="4"/>
  <c r="Y449" i="4"/>
  <c r="Y439" i="4"/>
  <c r="Y429" i="4"/>
  <c r="Y560" i="4"/>
  <c r="Y510" i="4"/>
  <c r="Y486" i="4"/>
  <c r="Y476" i="4"/>
  <c r="Y466" i="4"/>
  <c r="Y456" i="4"/>
  <c r="Y446" i="4"/>
  <c r="Y436" i="4"/>
  <c r="Y580" i="4"/>
  <c r="Y533" i="4"/>
  <c r="Y506" i="4"/>
  <c r="Y493" i="4"/>
  <c r="Y483" i="4"/>
  <c r="Y473" i="4"/>
  <c r="Y463" i="4"/>
  <c r="Y453" i="4"/>
  <c r="Y443" i="4"/>
  <c r="Y433" i="4"/>
  <c r="Y530" i="4"/>
  <c r="Y498" i="4"/>
  <c r="Y553" i="4"/>
  <c r="Y496" i="4"/>
  <c r="Y487" i="4"/>
  <c r="Y477" i="4"/>
  <c r="Y467" i="4"/>
  <c r="Y457" i="4"/>
  <c r="Y447" i="4"/>
  <c r="Y437" i="4"/>
  <c r="Y427" i="4"/>
  <c r="Y550" i="4"/>
  <c r="Y480" i="4"/>
  <c r="Y415" i="4"/>
  <c r="Y407" i="4"/>
  <c r="Y403" i="4"/>
  <c r="Y474" i="4"/>
  <c r="Y423" i="4"/>
  <c r="Y412" i="4"/>
  <c r="Y450" i="4"/>
  <c r="Y422" i="4"/>
  <c r="Y409" i="4"/>
  <c r="Y494" i="4"/>
  <c r="Y444" i="4"/>
  <c r="Y470" i="4"/>
  <c r="Y430" i="4"/>
  <c r="Y417" i="4"/>
  <c r="Y406" i="4"/>
  <c r="Y464" i="4"/>
  <c r="Y414" i="4"/>
  <c r="Y404" i="4"/>
  <c r="Y402" i="4"/>
  <c r="Y490" i="4"/>
  <c r="Y440" i="4"/>
  <c r="Y484" i="4"/>
  <c r="Y434" i="4"/>
  <c r="Y426" i="4"/>
  <c r="Y425" i="4"/>
  <c r="Y420" i="4"/>
  <c r="Y416" i="4"/>
  <c r="Y460" i="4"/>
  <c r="Y419" i="4"/>
  <c r="Y413" i="4"/>
  <c r="Y454" i="4"/>
  <c r="Y424" i="4"/>
  <c r="Y410" i="4"/>
  <c r="Y405" i="4"/>
  <c r="AI643" i="4"/>
  <c r="AI640" i="4"/>
  <c r="AI650" i="4"/>
  <c r="AI647" i="4"/>
  <c r="AI644" i="4"/>
  <c r="AI648" i="4"/>
  <c r="AI645" i="4"/>
  <c r="AI651" i="4"/>
  <c r="AI646" i="4"/>
  <c r="AI642" i="4"/>
  <c r="AI638" i="4"/>
  <c r="AI629" i="4"/>
  <c r="AI619" i="4"/>
  <c r="AI609" i="4"/>
  <c r="AI599" i="4"/>
  <c r="AI589" i="4"/>
  <c r="AI641" i="4"/>
  <c r="AI636" i="4"/>
  <c r="AI626" i="4"/>
  <c r="AI616" i="4"/>
  <c r="AI606" i="4"/>
  <c r="AI596" i="4"/>
  <c r="AI633" i="4"/>
  <c r="AI623" i="4"/>
  <c r="AI613" i="4"/>
  <c r="AI603" i="4"/>
  <c r="AI593" i="4"/>
  <c r="AI630" i="4"/>
  <c r="AI620" i="4"/>
  <c r="AI610" i="4"/>
  <c r="AI600" i="4"/>
  <c r="AI590" i="4"/>
  <c r="AI627" i="4"/>
  <c r="AI617" i="4"/>
  <c r="AI607" i="4"/>
  <c r="AI597" i="4"/>
  <c r="AI649" i="4"/>
  <c r="AI637" i="4"/>
  <c r="AI634" i="4"/>
  <c r="AI624" i="4"/>
  <c r="AI614" i="4"/>
  <c r="AI604" i="4"/>
  <c r="AI594" i="4"/>
  <c r="AI631" i="4"/>
  <c r="AI621" i="4"/>
  <c r="AI611" i="4"/>
  <c r="AI601" i="4"/>
  <c r="AI639" i="4"/>
  <c r="AI635" i="4"/>
  <c r="AI625" i="4"/>
  <c r="AI615" i="4"/>
  <c r="AI605" i="4"/>
  <c r="AI595" i="4"/>
  <c r="AI632" i="4"/>
  <c r="AI592" i="4"/>
  <c r="AI587" i="4"/>
  <c r="AI584" i="4"/>
  <c r="AI574" i="4"/>
  <c r="AI564" i="4"/>
  <c r="AI554" i="4"/>
  <c r="AI544" i="4"/>
  <c r="AI534" i="4"/>
  <c r="AI524" i="4"/>
  <c r="AI514" i="4"/>
  <c r="AI504" i="4"/>
  <c r="AI494" i="4"/>
  <c r="AI581" i="4"/>
  <c r="AI571" i="4"/>
  <c r="AI561" i="4"/>
  <c r="AI551" i="4"/>
  <c r="AI541" i="4"/>
  <c r="AI531" i="4"/>
  <c r="AI521" i="4"/>
  <c r="AI511" i="4"/>
  <c r="AI501" i="4"/>
  <c r="AI608" i="4"/>
  <c r="AI578" i="4"/>
  <c r="AI568" i="4"/>
  <c r="AI558" i="4"/>
  <c r="AI548" i="4"/>
  <c r="AI538" i="4"/>
  <c r="AI528" i="4"/>
  <c r="AI518" i="4"/>
  <c r="AI602" i="4"/>
  <c r="AI585" i="4"/>
  <c r="AI575" i="4"/>
  <c r="AI565" i="4"/>
  <c r="AI555" i="4"/>
  <c r="AI545" i="4"/>
  <c r="AI535" i="4"/>
  <c r="AI525" i="4"/>
  <c r="AI515" i="4"/>
  <c r="AI505" i="4"/>
  <c r="AI628" i="4"/>
  <c r="AI582" i="4"/>
  <c r="AI572" i="4"/>
  <c r="AI562" i="4"/>
  <c r="AI552" i="4"/>
  <c r="AI542" i="4"/>
  <c r="AI532" i="4"/>
  <c r="AI522" i="4"/>
  <c r="AI512" i="4"/>
  <c r="AI622" i="4"/>
  <c r="AI588" i="4"/>
  <c r="AI579" i="4"/>
  <c r="AI569" i="4"/>
  <c r="AI559" i="4"/>
  <c r="AI549" i="4"/>
  <c r="AI539" i="4"/>
  <c r="AI529" i="4"/>
  <c r="AI519" i="4"/>
  <c r="AI509" i="4"/>
  <c r="AI598" i="4"/>
  <c r="AI591" i="4"/>
  <c r="AI586" i="4"/>
  <c r="AI576" i="4"/>
  <c r="AI566" i="4"/>
  <c r="AI556" i="4"/>
  <c r="AI546" i="4"/>
  <c r="AI536" i="4"/>
  <c r="AI526" i="4"/>
  <c r="AI516" i="4"/>
  <c r="AI583" i="4"/>
  <c r="AI573" i="4"/>
  <c r="AI618" i="4"/>
  <c r="AI612" i="4"/>
  <c r="AI577" i="4"/>
  <c r="AI567" i="4"/>
  <c r="AI557" i="4"/>
  <c r="AI547" i="4"/>
  <c r="AI537" i="4"/>
  <c r="AI527" i="4"/>
  <c r="AI517" i="4"/>
  <c r="AI507" i="4"/>
  <c r="AI543" i="4"/>
  <c r="AI508" i="4"/>
  <c r="AI491" i="4"/>
  <c r="AI481" i="4"/>
  <c r="AI471" i="4"/>
  <c r="AI461" i="4"/>
  <c r="AI451" i="4"/>
  <c r="AI441" i="4"/>
  <c r="AI431" i="4"/>
  <c r="AI421" i="4"/>
  <c r="AI411" i="4"/>
  <c r="AI540" i="4"/>
  <c r="AI488" i="4"/>
  <c r="AI478" i="4"/>
  <c r="AI468" i="4"/>
  <c r="AI458" i="4"/>
  <c r="AI448" i="4"/>
  <c r="AI438" i="4"/>
  <c r="AI428" i="4"/>
  <c r="AI418" i="4"/>
  <c r="AI408" i="4"/>
  <c r="AI570" i="4"/>
  <c r="AI563" i="4"/>
  <c r="AI513" i="4"/>
  <c r="AI506" i="4"/>
  <c r="AI500" i="4"/>
  <c r="AI485" i="4"/>
  <c r="AI475" i="4"/>
  <c r="AI465" i="4"/>
  <c r="AI455" i="4"/>
  <c r="AI445" i="4"/>
  <c r="AI435" i="4"/>
  <c r="AI560" i="4"/>
  <c r="AI510" i="4"/>
  <c r="AI492" i="4"/>
  <c r="AI482" i="4"/>
  <c r="AI472" i="4"/>
  <c r="AI462" i="4"/>
  <c r="AI452" i="4"/>
  <c r="AI442" i="4"/>
  <c r="AI432" i="4"/>
  <c r="AI533" i="4"/>
  <c r="AI497" i="4"/>
  <c r="AI495" i="4"/>
  <c r="AI489" i="4"/>
  <c r="AI479" i="4"/>
  <c r="AI469" i="4"/>
  <c r="AI459" i="4"/>
  <c r="AI449" i="4"/>
  <c r="AI439" i="4"/>
  <c r="AI429" i="4"/>
  <c r="AI580" i="4"/>
  <c r="AI530" i="4"/>
  <c r="AI502" i="4"/>
  <c r="AI499" i="4"/>
  <c r="AI486" i="4"/>
  <c r="AI476" i="4"/>
  <c r="AI466" i="4"/>
  <c r="AI456" i="4"/>
  <c r="AI446" i="4"/>
  <c r="AI436" i="4"/>
  <c r="AI553" i="4"/>
  <c r="AI503" i="4"/>
  <c r="AI493" i="4"/>
  <c r="AI483" i="4"/>
  <c r="AI473" i="4"/>
  <c r="AI463" i="4"/>
  <c r="AI453" i="4"/>
  <c r="AI443" i="4"/>
  <c r="AI433" i="4"/>
  <c r="AI550" i="4"/>
  <c r="AI523" i="4"/>
  <c r="AI498" i="4"/>
  <c r="AI487" i="4"/>
  <c r="AI477" i="4"/>
  <c r="AI467" i="4"/>
  <c r="AI457" i="4"/>
  <c r="AI447" i="4"/>
  <c r="AI437" i="4"/>
  <c r="AI427" i="4"/>
  <c r="AI520" i="4"/>
  <c r="AI450" i="4"/>
  <c r="AI420" i="4"/>
  <c r="AI413" i="4"/>
  <c r="AI405" i="4"/>
  <c r="AI444" i="4"/>
  <c r="AI425" i="4"/>
  <c r="AI419" i="4"/>
  <c r="AI410" i="4"/>
  <c r="AI403" i="4"/>
  <c r="AI470" i="4"/>
  <c r="AI426" i="4"/>
  <c r="AI424" i="4"/>
  <c r="AI415" i="4"/>
  <c r="AI407" i="4"/>
  <c r="AI464" i="4"/>
  <c r="AI412" i="4"/>
  <c r="AI490" i="4"/>
  <c r="AI440" i="4"/>
  <c r="AI423" i="4"/>
  <c r="AI409" i="4"/>
  <c r="AI496" i="4"/>
  <c r="AI484" i="4"/>
  <c r="AI434" i="4"/>
  <c r="AI422" i="4"/>
  <c r="AI406" i="4"/>
  <c r="AI460" i="4"/>
  <c r="AI417" i="4"/>
  <c r="AI404" i="4"/>
  <c r="AI402" i="4"/>
  <c r="AI454" i="4"/>
  <c r="AI414" i="4"/>
  <c r="AI480" i="4"/>
  <c r="AI474" i="4"/>
  <c r="AI430" i="4"/>
  <c r="AI416" i="4"/>
  <c r="G61" i="2"/>
  <c r="G129" i="2"/>
  <c r="J397" i="4"/>
  <c r="J392" i="4"/>
  <c r="J387" i="4"/>
  <c r="J382" i="4"/>
  <c r="J377" i="4"/>
  <c r="J372" i="4"/>
  <c r="J367" i="4"/>
  <c r="J362" i="4"/>
  <c r="J357" i="4"/>
  <c r="J352" i="4"/>
  <c r="J347" i="4"/>
  <c r="J400" i="4"/>
  <c r="J395" i="4"/>
  <c r="J390" i="4"/>
  <c r="J385" i="4"/>
  <c r="J380" i="4"/>
  <c r="J375" i="4"/>
  <c r="J370" i="4"/>
  <c r="J365" i="4"/>
  <c r="J360" i="4"/>
  <c r="J355" i="4"/>
  <c r="J350" i="4"/>
  <c r="J345" i="4"/>
  <c r="J398" i="4"/>
  <c r="J393" i="4"/>
  <c r="J388" i="4"/>
  <c r="J383" i="4"/>
  <c r="J378" i="4"/>
  <c r="J373" i="4"/>
  <c r="J368" i="4"/>
  <c r="J363" i="4"/>
  <c r="J358" i="4"/>
  <c r="J353" i="4"/>
  <c r="J348" i="4"/>
  <c r="J343" i="4"/>
  <c r="J396" i="4"/>
  <c r="J391" i="4"/>
  <c r="J401" i="4"/>
  <c r="J399" i="4"/>
  <c r="J394" i="4"/>
  <c r="J389" i="4"/>
  <c r="J384" i="4"/>
  <c r="J379" i="4"/>
  <c r="J374" i="4"/>
  <c r="J369" i="4"/>
  <c r="J364" i="4"/>
  <c r="J359" i="4"/>
  <c r="J354" i="4"/>
  <c r="J349" i="4"/>
  <c r="J344" i="4"/>
  <c r="J336" i="4"/>
  <c r="J332" i="4"/>
  <c r="J326" i="4"/>
  <c r="J321" i="4"/>
  <c r="J316" i="4"/>
  <c r="J311" i="4"/>
  <c r="J306" i="4"/>
  <c r="J301" i="4"/>
  <c r="J296" i="4"/>
  <c r="J291" i="4"/>
  <c r="J286" i="4"/>
  <c r="J281" i="4"/>
  <c r="J276" i="4"/>
  <c r="J271" i="4"/>
  <c r="J266" i="4"/>
  <c r="J261" i="4"/>
  <c r="J256" i="4"/>
  <c r="J251" i="4"/>
  <c r="J361" i="4"/>
  <c r="J338" i="4"/>
  <c r="J337" i="4"/>
  <c r="J335" i="4"/>
  <c r="J386" i="4"/>
  <c r="J341" i="4"/>
  <c r="J340" i="4"/>
  <c r="J339" i="4"/>
  <c r="J324" i="4"/>
  <c r="J319" i="4"/>
  <c r="J314" i="4"/>
  <c r="J309" i="4"/>
  <c r="J304" i="4"/>
  <c r="J299" i="4"/>
  <c r="J294" i="4"/>
  <c r="J289" i="4"/>
  <c r="J284" i="4"/>
  <c r="J279" i="4"/>
  <c r="J274" i="4"/>
  <c r="J269" i="4"/>
  <c r="J264" i="4"/>
  <c r="J259" i="4"/>
  <c r="J254" i="4"/>
  <c r="J376" i="4"/>
  <c r="J351" i="4"/>
  <c r="J342" i="4"/>
  <c r="J334" i="4"/>
  <c r="J329" i="4"/>
  <c r="J327" i="4"/>
  <c r="J322" i="4"/>
  <c r="J317" i="4"/>
  <c r="J312" i="4"/>
  <c r="J307" i="4"/>
  <c r="J302" i="4"/>
  <c r="J297" i="4"/>
  <c r="J292" i="4"/>
  <c r="J287" i="4"/>
  <c r="J282" i="4"/>
  <c r="J277" i="4"/>
  <c r="J272" i="4"/>
  <c r="J267" i="4"/>
  <c r="J262" i="4"/>
  <c r="J257" i="4"/>
  <c r="J252" i="4"/>
  <c r="J366" i="4"/>
  <c r="J331" i="4"/>
  <c r="J333" i="4"/>
  <c r="J325" i="4"/>
  <c r="J320" i="4"/>
  <c r="J315" i="4"/>
  <c r="J310" i="4"/>
  <c r="J305" i="4"/>
  <c r="J300" i="4"/>
  <c r="J295" i="4"/>
  <c r="J290" i="4"/>
  <c r="J285" i="4"/>
  <c r="J280" i="4"/>
  <c r="J275" i="4"/>
  <c r="J270" i="4"/>
  <c r="J265" i="4"/>
  <c r="J260" i="4"/>
  <c r="J381" i="4"/>
  <c r="J356" i="4"/>
  <c r="J328" i="4"/>
  <c r="J323" i="4"/>
  <c r="J318" i="4"/>
  <c r="J371" i="4"/>
  <c r="J346" i="4"/>
  <c r="J330" i="4"/>
  <c r="J255" i="4"/>
  <c r="J308" i="4"/>
  <c r="J283" i="4"/>
  <c r="J258" i="4"/>
  <c r="J253" i="4"/>
  <c r="J239" i="4"/>
  <c r="J234" i="4"/>
  <c r="J229" i="4"/>
  <c r="J224" i="4"/>
  <c r="J219" i="4"/>
  <c r="J214" i="4"/>
  <c r="J209" i="4"/>
  <c r="J204" i="4"/>
  <c r="J199" i="4"/>
  <c r="J194" i="4"/>
  <c r="J189" i="4"/>
  <c r="J184" i="4"/>
  <c r="J179" i="4"/>
  <c r="J174" i="4"/>
  <c r="J169" i="4"/>
  <c r="J298" i="4"/>
  <c r="J273" i="4"/>
  <c r="J237" i="4"/>
  <c r="J232" i="4"/>
  <c r="J227" i="4"/>
  <c r="J222" i="4"/>
  <c r="J217" i="4"/>
  <c r="J212" i="4"/>
  <c r="J207" i="4"/>
  <c r="J202" i="4"/>
  <c r="J197" i="4"/>
  <c r="J192" i="4"/>
  <c r="J187" i="4"/>
  <c r="J182" i="4"/>
  <c r="J177" i="4"/>
  <c r="J172" i="4"/>
  <c r="J167" i="4"/>
  <c r="J242" i="4"/>
  <c r="J313" i="4"/>
  <c r="J288" i="4"/>
  <c r="J263" i="4"/>
  <c r="J245" i="4"/>
  <c r="J244" i="4"/>
  <c r="J243" i="4"/>
  <c r="J240" i="4"/>
  <c r="J235" i="4"/>
  <c r="J230" i="4"/>
  <c r="J225" i="4"/>
  <c r="J220" i="4"/>
  <c r="J215" i="4"/>
  <c r="J210" i="4"/>
  <c r="J205" i="4"/>
  <c r="J200" i="4"/>
  <c r="J195" i="4"/>
  <c r="J190" i="4"/>
  <c r="J185" i="4"/>
  <c r="J180" i="4"/>
  <c r="J175" i="4"/>
  <c r="J170" i="4"/>
  <c r="J247" i="4"/>
  <c r="J246" i="4"/>
  <c r="J303" i="4"/>
  <c r="J278" i="4"/>
  <c r="J249" i="4"/>
  <c r="J248" i="4"/>
  <c r="J238" i="4"/>
  <c r="J233" i="4"/>
  <c r="J228" i="4"/>
  <c r="J223" i="4"/>
  <c r="J218" i="4"/>
  <c r="J213" i="4"/>
  <c r="J208" i="4"/>
  <c r="J203" i="4"/>
  <c r="J198" i="4"/>
  <c r="J193" i="4"/>
  <c r="J188" i="4"/>
  <c r="J183" i="4"/>
  <c r="J178" i="4"/>
  <c r="J173" i="4"/>
  <c r="J293" i="4"/>
  <c r="J268" i="4"/>
  <c r="J250" i="4"/>
  <c r="J241" i="4"/>
  <c r="J236" i="4"/>
  <c r="J231" i="4"/>
  <c r="J221" i="4"/>
  <c r="J196" i="4"/>
  <c r="J157" i="4"/>
  <c r="J152" i="4"/>
  <c r="J142" i="4"/>
  <c r="J144" i="4"/>
  <c r="J134" i="4"/>
  <c r="J129" i="4"/>
  <c r="J124" i="4"/>
  <c r="J119" i="4"/>
  <c r="J114" i="4"/>
  <c r="J109" i="4"/>
  <c r="J104" i="4"/>
  <c r="J99" i="4"/>
  <c r="J94" i="4"/>
  <c r="J89" i="4"/>
  <c r="J84" i="4"/>
  <c r="J79" i="4"/>
  <c r="J74" i="4"/>
  <c r="J69" i="4"/>
  <c r="J64" i="4"/>
  <c r="J59" i="4"/>
  <c r="J211" i="4"/>
  <c r="J186" i="4"/>
  <c r="J171" i="4"/>
  <c r="J166" i="4"/>
  <c r="J156" i="4"/>
  <c r="J155" i="4"/>
  <c r="J151" i="4"/>
  <c r="J146" i="4"/>
  <c r="J139" i="4"/>
  <c r="J137" i="4"/>
  <c r="J132" i="4"/>
  <c r="J127" i="4"/>
  <c r="J122" i="4"/>
  <c r="J117" i="4"/>
  <c r="J112" i="4"/>
  <c r="J107" i="4"/>
  <c r="J102" i="4"/>
  <c r="J97" i="4"/>
  <c r="J92" i="4"/>
  <c r="J87" i="4"/>
  <c r="J82" i="4"/>
  <c r="J77" i="4"/>
  <c r="J72" i="4"/>
  <c r="J201" i="4"/>
  <c r="J176" i="4"/>
  <c r="J154" i="4"/>
  <c r="J148" i="4"/>
  <c r="J226" i="4"/>
  <c r="J150" i="4"/>
  <c r="J141" i="4"/>
  <c r="J135" i="4"/>
  <c r="J130" i="4"/>
  <c r="J125" i="4"/>
  <c r="J120" i="4"/>
  <c r="J115" i="4"/>
  <c r="J110" i="4"/>
  <c r="J105" i="4"/>
  <c r="J100" i="4"/>
  <c r="J95" i="4"/>
  <c r="J90" i="4"/>
  <c r="J85" i="4"/>
  <c r="J80" i="4"/>
  <c r="J75" i="4"/>
  <c r="J216" i="4"/>
  <c r="J191" i="4"/>
  <c r="J160" i="4"/>
  <c r="J143" i="4"/>
  <c r="J168" i="4"/>
  <c r="J163" i="4"/>
  <c r="J162" i="4"/>
  <c r="J161" i="4"/>
  <c r="J153" i="4"/>
  <c r="J145" i="4"/>
  <c r="J133" i="4"/>
  <c r="J128" i="4"/>
  <c r="J123" i="4"/>
  <c r="J118" i="4"/>
  <c r="J113" i="4"/>
  <c r="J108" i="4"/>
  <c r="J103" i="4"/>
  <c r="J98" i="4"/>
  <c r="J93" i="4"/>
  <c r="J88" i="4"/>
  <c r="J83" i="4"/>
  <c r="J78" i="4"/>
  <c r="J73" i="4"/>
  <c r="J68" i="4"/>
  <c r="J206" i="4"/>
  <c r="J181" i="4"/>
  <c r="J164" i="4"/>
  <c r="J159" i="4"/>
  <c r="J147" i="4"/>
  <c r="J165" i="4"/>
  <c r="J158" i="4"/>
  <c r="J149" i="4"/>
  <c r="J140" i="4"/>
  <c r="J54" i="4"/>
  <c r="J45" i="4"/>
  <c r="J40" i="4"/>
  <c r="J35" i="4"/>
  <c r="J30" i="4"/>
  <c r="J25" i="4"/>
  <c r="J20" i="4"/>
  <c r="J15" i="4"/>
  <c r="J10" i="4"/>
  <c r="J5" i="4"/>
  <c r="J136" i="4"/>
  <c r="J111" i="4"/>
  <c r="J86" i="4"/>
  <c r="J47" i="4"/>
  <c r="J70" i="4"/>
  <c r="J56" i="4"/>
  <c r="J49" i="4"/>
  <c r="J43" i="4"/>
  <c r="J38" i="4"/>
  <c r="J33" i="4"/>
  <c r="J28" i="4"/>
  <c r="J23" i="4"/>
  <c r="J18" i="4"/>
  <c r="J13" i="4"/>
  <c r="J8" i="4"/>
  <c r="J3" i="4"/>
  <c r="J126" i="4"/>
  <c r="J101" i="4"/>
  <c r="J76" i="4"/>
  <c r="J138" i="4"/>
  <c r="J65" i="4"/>
  <c r="J63" i="4"/>
  <c r="J62" i="4"/>
  <c r="J58" i="4"/>
  <c r="J51" i="4"/>
  <c r="J41" i="4"/>
  <c r="J36" i="4"/>
  <c r="J31" i="4"/>
  <c r="J26" i="4"/>
  <c r="J21" i="4"/>
  <c r="J16" i="4"/>
  <c r="J11" i="4"/>
  <c r="J6" i="4"/>
  <c r="J116" i="4"/>
  <c r="J91" i="4"/>
  <c r="J71" i="4"/>
  <c r="J53" i="4"/>
  <c r="J67" i="4"/>
  <c r="J66" i="4"/>
  <c r="J55" i="4"/>
  <c r="J46" i="4"/>
  <c r="J44" i="4"/>
  <c r="J39" i="4"/>
  <c r="J34" i="4"/>
  <c r="J29" i="4"/>
  <c r="J24" i="4"/>
  <c r="J19" i="4"/>
  <c r="J14" i="4"/>
  <c r="J9" i="4"/>
  <c r="J4" i="4"/>
  <c r="J131" i="4"/>
  <c r="J106" i="4"/>
  <c r="J81" i="4"/>
  <c r="J61" i="4"/>
  <c r="J57" i="4"/>
  <c r="J48" i="4"/>
  <c r="J60" i="4"/>
  <c r="J50" i="4"/>
  <c r="J42" i="4"/>
  <c r="J37" i="4"/>
  <c r="J32" i="4"/>
  <c r="J27" i="4"/>
  <c r="J22" i="4"/>
  <c r="J17" i="4"/>
  <c r="J12" i="4"/>
  <c r="J7" i="4"/>
  <c r="J2" i="4"/>
  <c r="J121" i="4"/>
  <c r="J96" i="4"/>
  <c r="J52" i="4"/>
  <c r="G396" i="4"/>
  <c r="G391" i="4"/>
  <c r="G386" i="4"/>
  <c r="G381" i="4"/>
  <c r="G376" i="4"/>
  <c r="G371" i="4"/>
  <c r="G366" i="4"/>
  <c r="G361" i="4"/>
  <c r="G356" i="4"/>
  <c r="G351" i="4"/>
  <c r="G346" i="4"/>
  <c r="G341" i="4"/>
  <c r="G336" i="4"/>
  <c r="G331" i="4"/>
  <c r="G401" i="4"/>
  <c r="G399" i="4"/>
  <c r="G394" i="4"/>
  <c r="G389" i="4"/>
  <c r="G384" i="4"/>
  <c r="G379" i="4"/>
  <c r="G374" i="4"/>
  <c r="G369" i="4"/>
  <c r="G364" i="4"/>
  <c r="G359" i="4"/>
  <c r="G354" i="4"/>
  <c r="G349" i="4"/>
  <c r="G344" i="4"/>
  <c r="G339" i="4"/>
  <c r="G397" i="4"/>
  <c r="G392" i="4"/>
  <c r="G387" i="4"/>
  <c r="G382" i="4"/>
  <c r="G377" i="4"/>
  <c r="G372" i="4"/>
  <c r="G367" i="4"/>
  <c r="G362" i="4"/>
  <c r="G357" i="4"/>
  <c r="G352" i="4"/>
  <c r="G347" i="4"/>
  <c r="G342" i="4"/>
  <c r="G337" i="4"/>
  <c r="G400" i="4"/>
  <c r="G395" i="4"/>
  <c r="G390" i="4"/>
  <c r="G385" i="4"/>
  <c r="G380" i="4"/>
  <c r="G375" i="4"/>
  <c r="G370" i="4"/>
  <c r="G365" i="4"/>
  <c r="G360" i="4"/>
  <c r="G355" i="4"/>
  <c r="G350" i="4"/>
  <c r="G345" i="4"/>
  <c r="G340" i="4"/>
  <c r="G398" i="4"/>
  <c r="G393" i="4"/>
  <c r="G388" i="4"/>
  <c r="G368" i="4"/>
  <c r="G343" i="4"/>
  <c r="G328" i="4"/>
  <c r="G323" i="4"/>
  <c r="G318" i="4"/>
  <c r="G313" i="4"/>
  <c r="G308" i="4"/>
  <c r="G303" i="4"/>
  <c r="G298" i="4"/>
  <c r="G293" i="4"/>
  <c r="G288" i="4"/>
  <c r="G283" i="4"/>
  <c r="G278" i="4"/>
  <c r="G273" i="4"/>
  <c r="G268" i="4"/>
  <c r="G263" i="4"/>
  <c r="G258" i="4"/>
  <c r="G253" i="4"/>
  <c r="G248" i="4"/>
  <c r="G243" i="4"/>
  <c r="G383" i="4"/>
  <c r="G358" i="4"/>
  <c r="G330" i="4"/>
  <c r="G338" i="4"/>
  <c r="G335" i="4"/>
  <c r="G332" i="4"/>
  <c r="G326" i="4"/>
  <c r="G321" i="4"/>
  <c r="G316" i="4"/>
  <c r="G311" i="4"/>
  <c r="G306" i="4"/>
  <c r="G301" i="4"/>
  <c r="G296" i="4"/>
  <c r="G291" i="4"/>
  <c r="G286" i="4"/>
  <c r="G281" i="4"/>
  <c r="G276" i="4"/>
  <c r="G271" i="4"/>
  <c r="G266" i="4"/>
  <c r="G261" i="4"/>
  <c r="G256" i="4"/>
  <c r="G251" i="4"/>
  <c r="G246" i="4"/>
  <c r="G373" i="4"/>
  <c r="G348" i="4"/>
  <c r="G324" i="4"/>
  <c r="G319" i="4"/>
  <c r="G314" i="4"/>
  <c r="G309" i="4"/>
  <c r="G304" i="4"/>
  <c r="G299" i="4"/>
  <c r="G294" i="4"/>
  <c r="G289" i="4"/>
  <c r="G284" i="4"/>
  <c r="G279" i="4"/>
  <c r="G274" i="4"/>
  <c r="G269" i="4"/>
  <c r="G264" i="4"/>
  <c r="G259" i="4"/>
  <c r="G254" i="4"/>
  <c r="G249" i="4"/>
  <c r="G244" i="4"/>
  <c r="G363" i="4"/>
  <c r="G334" i="4"/>
  <c r="G329" i="4"/>
  <c r="G327" i="4"/>
  <c r="G322" i="4"/>
  <c r="G317" i="4"/>
  <c r="G378" i="4"/>
  <c r="G353" i="4"/>
  <c r="G333" i="4"/>
  <c r="G325" i="4"/>
  <c r="G320" i="4"/>
  <c r="G315" i="4"/>
  <c r="G310" i="4"/>
  <c r="G305" i="4"/>
  <c r="G300" i="4"/>
  <c r="G295" i="4"/>
  <c r="G290" i="4"/>
  <c r="G285" i="4"/>
  <c r="G280" i="4"/>
  <c r="G275" i="4"/>
  <c r="G270" i="4"/>
  <c r="G265" i="4"/>
  <c r="G260" i="4"/>
  <c r="G255" i="4"/>
  <c r="G250" i="4"/>
  <c r="G245" i="4"/>
  <c r="G302" i="4"/>
  <c r="G277" i="4"/>
  <c r="G238" i="4"/>
  <c r="G233" i="4"/>
  <c r="G228" i="4"/>
  <c r="G223" i="4"/>
  <c r="G218" i="4"/>
  <c r="G213" i="4"/>
  <c r="G208" i="4"/>
  <c r="G203" i="4"/>
  <c r="G198" i="4"/>
  <c r="G193" i="4"/>
  <c r="G188" i="4"/>
  <c r="G183" i="4"/>
  <c r="G178" i="4"/>
  <c r="G173" i="4"/>
  <c r="G168" i="4"/>
  <c r="G163" i="4"/>
  <c r="G158" i="4"/>
  <c r="G153" i="4"/>
  <c r="G148" i="4"/>
  <c r="G143" i="4"/>
  <c r="G138" i="4"/>
  <c r="G292" i="4"/>
  <c r="G267" i="4"/>
  <c r="G241" i="4"/>
  <c r="G236" i="4"/>
  <c r="G231" i="4"/>
  <c r="G226" i="4"/>
  <c r="G221" i="4"/>
  <c r="G216" i="4"/>
  <c r="G211" i="4"/>
  <c r="G206" i="4"/>
  <c r="G201" i="4"/>
  <c r="G196" i="4"/>
  <c r="G191" i="4"/>
  <c r="G186" i="4"/>
  <c r="G181" i="4"/>
  <c r="G176" i="4"/>
  <c r="G171" i="4"/>
  <c r="G166" i="4"/>
  <c r="G161" i="4"/>
  <c r="G156" i="4"/>
  <c r="G307" i="4"/>
  <c r="G282" i="4"/>
  <c r="G257" i="4"/>
  <c r="G239" i="4"/>
  <c r="G234" i="4"/>
  <c r="G229" i="4"/>
  <c r="G224" i="4"/>
  <c r="G219" i="4"/>
  <c r="G214" i="4"/>
  <c r="G209" i="4"/>
  <c r="G204" i="4"/>
  <c r="G199" i="4"/>
  <c r="G194" i="4"/>
  <c r="G189" i="4"/>
  <c r="G184" i="4"/>
  <c r="G179" i="4"/>
  <c r="G174" i="4"/>
  <c r="G169" i="4"/>
  <c r="G164" i="4"/>
  <c r="G159" i="4"/>
  <c r="G154" i="4"/>
  <c r="G297" i="4"/>
  <c r="G272" i="4"/>
  <c r="G237" i="4"/>
  <c r="G232" i="4"/>
  <c r="G227" i="4"/>
  <c r="G222" i="4"/>
  <c r="G217" i="4"/>
  <c r="G212" i="4"/>
  <c r="G207" i="4"/>
  <c r="G202" i="4"/>
  <c r="G197" i="4"/>
  <c r="G192" i="4"/>
  <c r="G187" i="4"/>
  <c r="G182" i="4"/>
  <c r="G177" i="4"/>
  <c r="G172" i="4"/>
  <c r="G167" i="4"/>
  <c r="G162" i="4"/>
  <c r="G242" i="4"/>
  <c r="G312" i="4"/>
  <c r="G287" i="4"/>
  <c r="G262" i="4"/>
  <c r="G252" i="4"/>
  <c r="G247" i="4"/>
  <c r="G240" i="4"/>
  <c r="G235" i="4"/>
  <c r="G230" i="4"/>
  <c r="G145" i="4"/>
  <c r="G133" i="4"/>
  <c r="G128" i="4"/>
  <c r="G123" i="4"/>
  <c r="G118" i="4"/>
  <c r="G113" i="4"/>
  <c r="G108" i="4"/>
  <c r="G103" i="4"/>
  <c r="G98" i="4"/>
  <c r="G93" i="4"/>
  <c r="G88" i="4"/>
  <c r="G83" i="4"/>
  <c r="G78" i="4"/>
  <c r="G73" i="4"/>
  <c r="G68" i="4"/>
  <c r="G63" i="4"/>
  <c r="G58" i="4"/>
  <c r="G53" i="4"/>
  <c r="G48" i="4"/>
  <c r="G205" i="4"/>
  <c r="G180" i="4"/>
  <c r="G165" i="4"/>
  <c r="G147" i="4"/>
  <c r="G157" i="4"/>
  <c r="G152" i="4"/>
  <c r="G149" i="4"/>
  <c r="G140" i="4"/>
  <c r="G136" i="4"/>
  <c r="G131" i="4"/>
  <c r="G126" i="4"/>
  <c r="G121" i="4"/>
  <c r="G116" i="4"/>
  <c r="G111" i="4"/>
  <c r="G106" i="4"/>
  <c r="G101" i="4"/>
  <c r="G96" i="4"/>
  <c r="G91" i="4"/>
  <c r="G86" i="4"/>
  <c r="G81" i="4"/>
  <c r="G76" i="4"/>
  <c r="G71" i="4"/>
  <c r="G66" i="4"/>
  <c r="G61" i="4"/>
  <c r="G220" i="4"/>
  <c r="G195" i="4"/>
  <c r="G142" i="4"/>
  <c r="G144" i="4"/>
  <c r="G134" i="4"/>
  <c r="G129" i="4"/>
  <c r="G124" i="4"/>
  <c r="G119" i="4"/>
  <c r="G114" i="4"/>
  <c r="G109" i="4"/>
  <c r="G104" i="4"/>
  <c r="G99" i="4"/>
  <c r="G94" i="4"/>
  <c r="G89" i="4"/>
  <c r="G84" i="4"/>
  <c r="G79" i="4"/>
  <c r="G74" i="4"/>
  <c r="G69" i="4"/>
  <c r="G64" i="4"/>
  <c r="G210" i="4"/>
  <c r="G185" i="4"/>
  <c r="G155" i="4"/>
  <c r="G151" i="4"/>
  <c r="G146" i="4"/>
  <c r="G139" i="4"/>
  <c r="G137" i="4"/>
  <c r="G132" i="4"/>
  <c r="G127" i="4"/>
  <c r="G122" i="4"/>
  <c r="G117" i="4"/>
  <c r="G112" i="4"/>
  <c r="G107" i="4"/>
  <c r="G102" i="4"/>
  <c r="G97" i="4"/>
  <c r="G92" i="4"/>
  <c r="G87" i="4"/>
  <c r="G82" i="4"/>
  <c r="G77" i="4"/>
  <c r="G225" i="4"/>
  <c r="G200" i="4"/>
  <c r="G175" i="4"/>
  <c r="G170" i="4"/>
  <c r="G141" i="4"/>
  <c r="G150" i="4"/>
  <c r="G215" i="4"/>
  <c r="G190" i="4"/>
  <c r="G160" i="4"/>
  <c r="G130" i="4"/>
  <c r="G105" i="4"/>
  <c r="G80" i="4"/>
  <c r="G57" i="4"/>
  <c r="G60" i="4"/>
  <c r="G50" i="4"/>
  <c r="G42" i="4"/>
  <c r="G37" i="4"/>
  <c r="G32" i="4"/>
  <c r="G27" i="4"/>
  <c r="G22" i="4"/>
  <c r="G17" i="4"/>
  <c r="G12" i="4"/>
  <c r="G7" i="4"/>
  <c r="G2" i="4"/>
  <c r="G120" i="4"/>
  <c r="G95" i="4"/>
  <c r="G52" i="4"/>
  <c r="G59" i="4"/>
  <c r="G54" i="4"/>
  <c r="G45" i="4"/>
  <c r="G40" i="4"/>
  <c r="G35" i="4"/>
  <c r="G30" i="4"/>
  <c r="G25" i="4"/>
  <c r="G20" i="4"/>
  <c r="G15" i="4"/>
  <c r="G10" i="4"/>
  <c r="G5" i="4"/>
  <c r="G135" i="4"/>
  <c r="G110" i="4"/>
  <c r="G85" i="4"/>
  <c r="G70" i="4"/>
  <c r="G56" i="4"/>
  <c r="G47" i="4"/>
  <c r="G49" i="4"/>
  <c r="G43" i="4"/>
  <c r="G38" i="4"/>
  <c r="G33" i="4"/>
  <c r="G28" i="4"/>
  <c r="G23" i="4"/>
  <c r="G18" i="4"/>
  <c r="G13" i="4"/>
  <c r="G8" i="4"/>
  <c r="G3" i="4"/>
  <c r="G125" i="4"/>
  <c r="G100" i="4"/>
  <c r="G75" i="4"/>
  <c r="G51" i="4"/>
  <c r="G65" i="4"/>
  <c r="G62" i="4"/>
  <c r="G41" i="4"/>
  <c r="G36" i="4"/>
  <c r="G31" i="4"/>
  <c r="G26" i="4"/>
  <c r="G21" i="4"/>
  <c r="G16" i="4"/>
  <c r="G11" i="4"/>
  <c r="G6" i="4"/>
  <c r="G115" i="4"/>
  <c r="G90" i="4"/>
  <c r="G67" i="4"/>
  <c r="G46" i="4"/>
  <c r="G72" i="4"/>
  <c r="G55" i="4"/>
  <c r="G44" i="4"/>
  <c r="G39" i="4"/>
  <c r="G34" i="4"/>
  <c r="G29" i="4"/>
  <c r="G24" i="4"/>
  <c r="G19" i="4"/>
  <c r="G14" i="4"/>
  <c r="G9" i="4"/>
  <c r="G4" i="4"/>
  <c r="H401" i="4"/>
  <c r="H399" i="4"/>
  <c r="H394" i="4"/>
  <c r="H389" i="4"/>
  <c r="H384" i="4"/>
  <c r="H379" i="4"/>
  <c r="H374" i="4"/>
  <c r="H369" i="4"/>
  <c r="H364" i="4"/>
  <c r="H359" i="4"/>
  <c r="H354" i="4"/>
  <c r="H349" i="4"/>
  <c r="H344" i="4"/>
  <c r="H397" i="4"/>
  <c r="H392" i="4"/>
  <c r="H387" i="4"/>
  <c r="H382" i="4"/>
  <c r="H377" i="4"/>
  <c r="H372" i="4"/>
  <c r="H367" i="4"/>
  <c r="H362" i="4"/>
  <c r="H357" i="4"/>
  <c r="H352" i="4"/>
  <c r="H347" i="4"/>
  <c r="H342" i="4"/>
  <c r="H400" i="4"/>
  <c r="H395" i="4"/>
  <c r="H390" i="4"/>
  <c r="H385" i="4"/>
  <c r="H380" i="4"/>
  <c r="H375" i="4"/>
  <c r="H370" i="4"/>
  <c r="H365" i="4"/>
  <c r="H360" i="4"/>
  <c r="H355" i="4"/>
  <c r="H350" i="4"/>
  <c r="H345" i="4"/>
  <c r="H398" i="4"/>
  <c r="H393" i="4"/>
  <c r="H388" i="4"/>
  <c r="H396" i="4"/>
  <c r="H391" i="4"/>
  <c r="H386" i="4"/>
  <c r="H381" i="4"/>
  <c r="H376" i="4"/>
  <c r="H371" i="4"/>
  <c r="H366" i="4"/>
  <c r="H361" i="4"/>
  <c r="H356" i="4"/>
  <c r="H351" i="4"/>
  <c r="H346" i="4"/>
  <c r="H328" i="4"/>
  <c r="H323" i="4"/>
  <c r="H318" i="4"/>
  <c r="H313" i="4"/>
  <c r="H308" i="4"/>
  <c r="H303" i="4"/>
  <c r="H298" i="4"/>
  <c r="H293" i="4"/>
  <c r="H288" i="4"/>
  <c r="H283" i="4"/>
  <c r="H278" i="4"/>
  <c r="H273" i="4"/>
  <c r="H268" i="4"/>
  <c r="H263" i="4"/>
  <c r="H258" i="4"/>
  <c r="H253" i="4"/>
  <c r="H383" i="4"/>
  <c r="H358" i="4"/>
  <c r="H330" i="4"/>
  <c r="H338" i="4"/>
  <c r="H337" i="4"/>
  <c r="H336" i="4"/>
  <c r="H335" i="4"/>
  <c r="H332" i="4"/>
  <c r="H326" i="4"/>
  <c r="H321" i="4"/>
  <c r="H316" i="4"/>
  <c r="H311" i="4"/>
  <c r="H306" i="4"/>
  <c r="H301" i="4"/>
  <c r="H296" i="4"/>
  <c r="H291" i="4"/>
  <c r="H286" i="4"/>
  <c r="H281" i="4"/>
  <c r="H276" i="4"/>
  <c r="H271" i="4"/>
  <c r="H266" i="4"/>
  <c r="H261" i="4"/>
  <c r="H256" i="4"/>
  <c r="H373" i="4"/>
  <c r="H348" i="4"/>
  <c r="H340" i="4"/>
  <c r="H339" i="4"/>
  <c r="H341" i="4"/>
  <c r="H324" i="4"/>
  <c r="H319" i="4"/>
  <c r="H314" i="4"/>
  <c r="H309" i="4"/>
  <c r="H304" i="4"/>
  <c r="H299" i="4"/>
  <c r="H294" i="4"/>
  <c r="H289" i="4"/>
  <c r="H284" i="4"/>
  <c r="H279" i="4"/>
  <c r="H274" i="4"/>
  <c r="H269" i="4"/>
  <c r="H264" i="4"/>
  <c r="H259" i="4"/>
  <c r="H254" i="4"/>
  <c r="H363" i="4"/>
  <c r="H334" i="4"/>
  <c r="H329" i="4"/>
  <c r="H327" i="4"/>
  <c r="H322" i="4"/>
  <c r="H317" i="4"/>
  <c r="H312" i="4"/>
  <c r="H307" i="4"/>
  <c r="H302" i="4"/>
  <c r="H297" i="4"/>
  <c r="H292" i="4"/>
  <c r="H287" i="4"/>
  <c r="H282" i="4"/>
  <c r="H277" i="4"/>
  <c r="H272" i="4"/>
  <c r="H267" i="4"/>
  <c r="H262" i="4"/>
  <c r="H257" i="4"/>
  <c r="H378" i="4"/>
  <c r="H353" i="4"/>
  <c r="H331" i="4"/>
  <c r="H333" i="4"/>
  <c r="H325" i="4"/>
  <c r="H320" i="4"/>
  <c r="H315" i="4"/>
  <c r="H368" i="4"/>
  <c r="H343" i="4"/>
  <c r="H305" i="4"/>
  <c r="H280" i="4"/>
  <c r="H250" i="4"/>
  <c r="H241" i="4"/>
  <c r="H236" i="4"/>
  <c r="H231" i="4"/>
  <c r="H226" i="4"/>
  <c r="H221" i="4"/>
  <c r="H216" i="4"/>
  <c r="H211" i="4"/>
  <c r="H206" i="4"/>
  <c r="H201" i="4"/>
  <c r="H196" i="4"/>
  <c r="H191" i="4"/>
  <c r="H186" i="4"/>
  <c r="H181" i="4"/>
  <c r="H176" i="4"/>
  <c r="H171" i="4"/>
  <c r="H166" i="4"/>
  <c r="H255" i="4"/>
  <c r="H295" i="4"/>
  <c r="H270" i="4"/>
  <c r="H239" i="4"/>
  <c r="H234" i="4"/>
  <c r="H229" i="4"/>
  <c r="H224" i="4"/>
  <c r="H219" i="4"/>
  <c r="H214" i="4"/>
  <c r="H209" i="4"/>
  <c r="H204" i="4"/>
  <c r="H199" i="4"/>
  <c r="H194" i="4"/>
  <c r="H189" i="4"/>
  <c r="H184" i="4"/>
  <c r="H179" i="4"/>
  <c r="H174" i="4"/>
  <c r="H169" i="4"/>
  <c r="H251" i="4"/>
  <c r="H310" i="4"/>
  <c r="H285" i="4"/>
  <c r="H260" i="4"/>
  <c r="H237" i="4"/>
  <c r="H232" i="4"/>
  <c r="H227" i="4"/>
  <c r="H222" i="4"/>
  <c r="H217" i="4"/>
  <c r="H212" i="4"/>
  <c r="H207" i="4"/>
  <c r="H202" i="4"/>
  <c r="H197" i="4"/>
  <c r="H192" i="4"/>
  <c r="H187" i="4"/>
  <c r="H182" i="4"/>
  <c r="H177" i="4"/>
  <c r="H172" i="4"/>
  <c r="H244" i="4"/>
  <c r="H243" i="4"/>
  <c r="H242" i="4"/>
  <c r="H300" i="4"/>
  <c r="H275" i="4"/>
  <c r="H252" i="4"/>
  <c r="H247" i="4"/>
  <c r="H246" i="4"/>
  <c r="H245" i="4"/>
  <c r="H240" i="4"/>
  <c r="H235" i="4"/>
  <c r="H230" i="4"/>
  <c r="H225" i="4"/>
  <c r="H220" i="4"/>
  <c r="H215" i="4"/>
  <c r="H210" i="4"/>
  <c r="H205" i="4"/>
  <c r="H200" i="4"/>
  <c r="H195" i="4"/>
  <c r="H190" i="4"/>
  <c r="H185" i="4"/>
  <c r="H180" i="4"/>
  <c r="H175" i="4"/>
  <c r="H249" i="4"/>
  <c r="H248" i="4"/>
  <c r="H290" i="4"/>
  <c r="H265" i="4"/>
  <c r="H238" i="4"/>
  <c r="H233" i="4"/>
  <c r="H218" i="4"/>
  <c r="H193" i="4"/>
  <c r="H165" i="4"/>
  <c r="H147" i="4"/>
  <c r="H138" i="4"/>
  <c r="H158" i="4"/>
  <c r="H157" i="4"/>
  <c r="H152" i="4"/>
  <c r="H149" i="4"/>
  <c r="H140" i="4"/>
  <c r="H136" i="4"/>
  <c r="H131" i="4"/>
  <c r="H126" i="4"/>
  <c r="H121" i="4"/>
  <c r="H116" i="4"/>
  <c r="H111" i="4"/>
  <c r="H106" i="4"/>
  <c r="H101" i="4"/>
  <c r="H96" i="4"/>
  <c r="H91" i="4"/>
  <c r="H86" i="4"/>
  <c r="H81" i="4"/>
  <c r="H76" i="4"/>
  <c r="H71" i="4"/>
  <c r="H66" i="4"/>
  <c r="H61" i="4"/>
  <c r="H228" i="4"/>
  <c r="H208" i="4"/>
  <c r="H183" i="4"/>
  <c r="H142" i="4"/>
  <c r="H156" i="4"/>
  <c r="H144" i="4"/>
  <c r="H134" i="4"/>
  <c r="H129" i="4"/>
  <c r="H124" i="4"/>
  <c r="H119" i="4"/>
  <c r="H114" i="4"/>
  <c r="H109" i="4"/>
  <c r="H104" i="4"/>
  <c r="H99" i="4"/>
  <c r="H94" i="4"/>
  <c r="H89" i="4"/>
  <c r="H84" i="4"/>
  <c r="H79" i="4"/>
  <c r="H74" i="4"/>
  <c r="H223" i="4"/>
  <c r="H198" i="4"/>
  <c r="H173" i="4"/>
  <c r="H167" i="4"/>
  <c r="H155" i="4"/>
  <c r="H151" i="4"/>
  <c r="H146" i="4"/>
  <c r="H139" i="4"/>
  <c r="H137" i="4"/>
  <c r="H132" i="4"/>
  <c r="H127" i="4"/>
  <c r="H122" i="4"/>
  <c r="H117" i="4"/>
  <c r="H112" i="4"/>
  <c r="H107" i="4"/>
  <c r="H102" i="4"/>
  <c r="H97" i="4"/>
  <c r="H92" i="4"/>
  <c r="H87" i="4"/>
  <c r="H82" i="4"/>
  <c r="H77" i="4"/>
  <c r="H213" i="4"/>
  <c r="H188" i="4"/>
  <c r="H170" i="4"/>
  <c r="H154" i="4"/>
  <c r="H148" i="4"/>
  <c r="H141" i="4"/>
  <c r="H150" i="4"/>
  <c r="H135" i="4"/>
  <c r="H130" i="4"/>
  <c r="H125" i="4"/>
  <c r="H120" i="4"/>
  <c r="H115" i="4"/>
  <c r="H110" i="4"/>
  <c r="H105" i="4"/>
  <c r="H100" i="4"/>
  <c r="H95" i="4"/>
  <c r="H90" i="4"/>
  <c r="H85" i="4"/>
  <c r="H80" i="4"/>
  <c r="H75" i="4"/>
  <c r="H70" i="4"/>
  <c r="H203" i="4"/>
  <c r="H178" i="4"/>
  <c r="H162" i="4"/>
  <c r="H161" i="4"/>
  <c r="H160" i="4"/>
  <c r="H143" i="4"/>
  <c r="H168" i="4"/>
  <c r="H164" i="4"/>
  <c r="H163" i="4"/>
  <c r="H159" i="4"/>
  <c r="H153" i="4"/>
  <c r="H145" i="4"/>
  <c r="H68" i="4"/>
  <c r="H60" i="4"/>
  <c r="H50" i="4"/>
  <c r="H42" i="4"/>
  <c r="H37" i="4"/>
  <c r="H32" i="4"/>
  <c r="H27" i="4"/>
  <c r="H22" i="4"/>
  <c r="H17" i="4"/>
  <c r="H12" i="4"/>
  <c r="H7" i="4"/>
  <c r="H2" i="4"/>
  <c r="H133" i="4"/>
  <c r="H108" i="4"/>
  <c r="H83" i="4"/>
  <c r="H69" i="4"/>
  <c r="H52" i="4"/>
  <c r="H59" i="4"/>
  <c r="H54" i="4"/>
  <c r="H45" i="4"/>
  <c r="H40" i="4"/>
  <c r="H35" i="4"/>
  <c r="H30" i="4"/>
  <c r="H25" i="4"/>
  <c r="H20" i="4"/>
  <c r="H15" i="4"/>
  <c r="H10" i="4"/>
  <c r="H5" i="4"/>
  <c r="H123" i="4"/>
  <c r="H98" i="4"/>
  <c r="H56" i="4"/>
  <c r="H47" i="4"/>
  <c r="H73" i="4"/>
  <c r="H49" i="4"/>
  <c r="H43" i="4"/>
  <c r="H38" i="4"/>
  <c r="H33" i="4"/>
  <c r="H28" i="4"/>
  <c r="H23" i="4"/>
  <c r="H18" i="4"/>
  <c r="H13" i="4"/>
  <c r="H8" i="4"/>
  <c r="H3" i="4"/>
  <c r="H113" i="4"/>
  <c r="H88" i="4"/>
  <c r="H64" i="4"/>
  <c r="H51" i="4"/>
  <c r="H65" i="4"/>
  <c r="H63" i="4"/>
  <c r="H62" i="4"/>
  <c r="H58" i="4"/>
  <c r="H41" i="4"/>
  <c r="H36" i="4"/>
  <c r="H31" i="4"/>
  <c r="H26" i="4"/>
  <c r="H21" i="4"/>
  <c r="H16" i="4"/>
  <c r="H11" i="4"/>
  <c r="H6" i="4"/>
  <c r="H128" i="4"/>
  <c r="H103" i="4"/>
  <c r="H78" i="4"/>
  <c r="H67" i="4"/>
  <c r="H53" i="4"/>
  <c r="H46" i="4"/>
  <c r="H72" i="4"/>
  <c r="H55" i="4"/>
  <c r="H44" i="4"/>
  <c r="H39" i="4"/>
  <c r="H34" i="4"/>
  <c r="H29" i="4"/>
  <c r="H24" i="4"/>
  <c r="H19" i="4"/>
  <c r="H14" i="4"/>
  <c r="H9" i="4"/>
  <c r="H4" i="4"/>
  <c r="H118" i="4"/>
  <c r="H93" i="4"/>
  <c r="H57" i="4"/>
  <c r="H48" i="4"/>
  <c r="Z650" i="4"/>
  <c r="Z640" i="4"/>
  <c r="Z647" i="4"/>
  <c r="Z644" i="4"/>
  <c r="Z648" i="4"/>
  <c r="Z651" i="4"/>
  <c r="Z645" i="4"/>
  <c r="Z643" i="4"/>
  <c r="Z636" i="4"/>
  <c r="Z626" i="4"/>
  <c r="Z616" i="4"/>
  <c r="Z606" i="4"/>
  <c r="Z596" i="4"/>
  <c r="Z633" i="4"/>
  <c r="Z623" i="4"/>
  <c r="Z613" i="4"/>
  <c r="Z603" i="4"/>
  <c r="Z593" i="4"/>
  <c r="Z630" i="4"/>
  <c r="Z620" i="4"/>
  <c r="Z610" i="4"/>
  <c r="Z600" i="4"/>
  <c r="Z637" i="4"/>
  <c r="Z627" i="4"/>
  <c r="Z617" i="4"/>
  <c r="Z607" i="4"/>
  <c r="Z597" i="4"/>
  <c r="Z639" i="4"/>
  <c r="Z634" i="4"/>
  <c r="Z624" i="4"/>
  <c r="Z614" i="4"/>
  <c r="Z604" i="4"/>
  <c r="Z594" i="4"/>
  <c r="Z631" i="4"/>
  <c r="Z621" i="4"/>
  <c r="Z611" i="4"/>
  <c r="Z601" i="4"/>
  <c r="Z649" i="4"/>
  <c r="Z642" i="4"/>
  <c r="Z628" i="4"/>
  <c r="Z618" i="4"/>
  <c r="Z608" i="4"/>
  <c r="Z598" i="4"/>
  <c r="Z646" i="4"/>
  <c r="Z641" i="4"/>
  <c r="Z635" i="4"/>
  <c r="Z638" i="4"/>
  <c r="Z632" i="4"/>
  <c r="Z622" i="4"/>
  <c r="Z612" i="4"/>
  <c r="Z602" i="4"/>
  <c r="Z592" i="4"/>
  <c r="Z615" i="4"/>
  <c r="Z581" i="4"/>
  <c r="Z571" i="4"/>
  <c r="Z561" i="4"/>
  <c r="Z551" i="4"/>
  <c r="Z541" i="4"/>
  <c r="Z531" i="4"/>
  <c r="Z521" i="4"/>
  <c r="Z511" i="4"/>
  <c r="Z501" i="4"/>
  <c r="Z609" i="4"/>
  <c r="Z578" i="4"/>
  <c r="Z568" i="4"/>
  <c r="Z558" i="4"/>
  <c r="Z548" i="4"/>
  <c r="Z538" i="4"/>
  <c r="Z528" i="4"/>
  <c r="Z518" i="4"/>
  <c r="Z508" i="4"/>
  <c r="Z585" i="4"/>
  <c r="Z575" i="4"/>
  <c r="Z565" i="4"/>
  <c r="Z555" i="4"/>
  <c r="Z545" i="4"/>
  <c r="Z535" i="4"/>
  <c r="Z525" i="4"/>
  <c r="Z515" i="4"/>
  <c r="Z629" i="4"/>
  <c r="Z588" i="4"/>
  <c r="Z582" i="4"/>
  <c r="Z572" i="4"/>
  <c r="Z562" i="4"/>
  <c r="Z552" i="4"/>
  <c r="Z542" i="4"/>
  <c r="Z532" i="4"/>
  <c r="Z522" i="4"/>
  <c r="Z512" i="4"/>
  <c r="Z605" i="4"/>
  <c r="Z579" i="4"/>
  <c r="Z569" i="4"/>
  <c r="Z559" i="4"/>
  <c r="Z549" i="4"/>
  <c r="Z539" i="4"/>
  <c r="Z529" i="4"/>
  <c r="Z519" i="4"/>
  <c r="Z509" i="4"/>
  <c r="Z599" i="4"/>
  <c r="Z586" i="4"/>
  <c r="Z576" i="4"/>
  <c r="Z566" i="4"/>
  <c r="Z556" i="4"/>
  <c r="Z546" i="4"/>
  <c r="Z536" i="4"/>
  <c r="Z526" i="4"/>
  <c r="Z516" i="4"/>
  <c r="Z506" i="4"/>
  <c r="Z625" i="4"/>
  <c r="Z583" i="4"/>
  <c r="Z573" i="4"/>
  <c r="Z563" i="4"/>
  <c r="Z553" i="4"/>
  <c r="Z543" i="4"/>
  <c r="Z533" i="4"/>
  <c r="Z523" i="4"/>
  <c r="Z513" i="4"/>
  <c r="Z619" i="4"/>
  <c r="Z590" i="4"/>
  <c r="Z580" i="4"/>
  <c r="Z570" i="4"/>
  <c r="Z595" i="4"/>
  <c r="Z591" i="4"/>
  <c r="Z589" i="4"/>
  <c r="Z584" i="4"/>
  <c r="Z574" i="4"/>
  <c r="Z564" i="4"/>
  <c r="Z554" i="4"/>
  <c r="Z544" i="4"/>
  <c r="Z534" i="4"/>
  <c r="Z524" i="4"/>
  <c r="Z514" i="4"/>
  <c r="Z504" i="4"/>
  <c r="Z520" i="4"/>
  <c r="Z507" i="4"/>
  <c r="Z503" i="4"/>
  <c r="Z488" i="4"/>
  <c r="Z478" i="4"/>
  <c r="Z468" i="4"/>
  <c r="Z458" i="4"/>
  <c r="Z448" i="4"/>
  <c r="Z438" i="4"/>
  <c r="Z428" i="4"/>
  <c r="Z418" i="4"/>
  <c r="Z408" i="4"/>
  <c r="Z577" i="4"/>
  <c r="Z567" i="4"/>
  <c r="Z517" i="4"/>
  <c r="Z502" i="4"/>
  <c r="Z485" i="4"/>
  <c r="Z475" i="4"/>
  <c r="Z465" i="4"/>
  <c r="Z455" i="4"/>
  <c r="Z445" i="4"/>
  <c r="Z435" i="4"/>
  <c r="Z425" i="4"/>
  <c r="Z415" i="4"/>
  <c r="Z540" i="4"/>
  <c r="Z499" i="4"/>
  <c r="Z497" i="4"/>
  <c r="Z495" i="4"/>
  <c r="Z492" i="4"/>
  <c r="Z482" i="4"/>
  <c r="Z472" i="4"/>
  <c r="Z462" i="4"/>
  <c r="Z452" i="4"/>
  <c r="Z442" i="4"/>
  <c r="Z432" i="4"/>
  <c r="Z537" i="4"/>
  <c r="Z505" i="4"/>
  <c r="Z489" i="4"/>
  <c r="Z479" i="4"/>
  <c r="Z469" i="4"/>
  <c r="Z459" i="4"/>
  <c r="Z449" i="4"/>
  <c r="Z439" i="4"/>
  <c r="Z429" i="4"/>
  <c r="Z587" i="4"/>
  <c r="Z560" i="4"/>
  <c r="Z510" i="4"/>
  <c r="Z486" i="4"/>
  <c r="Z476" i="4"/>
  <c r="Z466" i="4"/>
  <c r="Z456" i="4"/>
  <c r="Z446" i="4"/>
  <c r="Z436" i="4"/>
  <c r="Z426" i="4"/>
  <c r="Z557" i="4"/>
  <c r="Z493" i="4"/>
  <c r="Z483" i="4"/>
  <c r="Z473" i="4"/>
  <c r="Z463" i="4"/>
  <c r="Z453" i="4"/>
  <c r="Z443" i="4"/>
  <c r="Z433" i="4"/>
  <c r="Z530" i="4"/>
  <c r="Z498" i="4"/>
  <c r="Z490" i="4"/>
  <c r="Z480" i="4"/>
  <c r="Z470" i="4"/>
  <c r="Z460" i="4"/>
  <c r="Z450" i="4"/>
  <c r="Z440" i="4"/>
  <c r="Z527" i="4"/>
  <c r="Z550" i="4"/>
  <c r="Z494" i="4"/>
  <c r="Z484" i="4"/>
  <c r="Z474" i="4"/>
  <c r="Z464" i="4"/>
  <c r="Z454" i="4"/>
  <c r="Z444" i="4"/>
  <c r="Z434" i="4"/>
  <c r="Z424" i="4"/>
  <c r="Z547" i="4"/>
  <c r="Z477" i="4"/>
  <c r="Z423" i="4"/>
  <c r="Z412" i="4"/>
  <c r="Z471" i="4"/>
  <c r="Z422" i="4"/>
  <c r="Z409" i="4"/>
  <c r="Z447" i="4"/>
  <c r="Z491" i="4"/>
  <c r="Z441" i="4"/>
  <c r="Z430" i="4"/>
  <c r="Z417" i="4"/>
  <c r="Z406" i="4"/>
  <c r="Z467" i="4"/>
  <c r="Z421" i="4"/>
  <c r="Z414" i="4"/>
  <c r="Z404" i="4"/>
  <c r="Z402" i="4"/>
  <c r="Z461" i="4"/>
  <c r="Z411" i="4"/>
  <c r="Z496" i="4"/>
  <c r="Z487" i="4"/>
  <c r="Z437" i="4"/>
  <c r="Z420" i="4"/>
  <c r="Z416" i="4"/>
  <c r="Z481" i="4"/>
  <c r="Z431" i="4"/>
  <c r="Z419" i="4"/>
  <c r="Z413" i="4"/>
  <c r="Z457" i="4"/>
  <c r="Z410" i="4"/>
  <c r="Z405" i="4"/>
  <c r="Z500" i="4"/>
  <c r="Z451" i="4"/>
  <c r="Z427" i="4"/>
  <c r="Z407" i="4"/>
  <c r="Z403" i="4"/>
  <c r="AJ640" i="4"/>
  <c r="AJ650" i="4"/>
  <c r="AJ647" i="4"/>
  <c r="AJ644" i="4"/>
  <c r="AJ648" i="4"/>
  <c r="AJ645" i="4"/>
  <c r="AJ651" i="4"/>
  <c r="AJ643" i="4"/>
  <c r="AJ641" i="4"/>
  <c r="AJ636" i="4"/>
  <c r="AJ626" i="4"/>
  <c r="AJ616" i="4"/>
  <c r="AJ606" i="4"/>
  <c r="AJ596" i="4"/>
  <c r="AJ633" i="4"/>
  <c r="AJ623" i="4"/>
  <c r="AJ613" i="4"/>
  <c r="AJ603" i="4"/>
  <c r="AJ593" i="4"/>
  <c r="AJ630" i="4"/>
  <c r="AJ620" i="4"/>
  <c r="AJ610" i="4"/>
  <c r="AJ600" i="4"/>
  <c r="AJ590" i="4"/>
  <c r="AJ627" i="4"/>
  <c r="AJ617" i="4"/>
  <c r="AJ607" i="4"/>
  <c r="AJ597" i="4"/>
  <c r="AJ649" i="4"/>
  <c r="AJ637" i="4"/>
  <c r="AJ634" i="4"/>
  <c r="AJ624" i="4"/>
  <c r="AJ614" i="4"/>
  <c r="AJ604" i="4"/>
  <c r="AJ594" i="4"/>
  <c r="AJ646" i="4"/>
  <c r="AJ631" i="4"/>
  <c r="AJ621" i="4"/>
  <c r="AJ611" i="4"/>
  <c r="AJ601" i="4"/>
  <c r="AJ639" i="4"/>
  <c r="AJ628" i="4"/>
  <c r="AJ618" i="4"/>
  <c r="AJ608" i="4"/>
  <c r="AJ598" i="4"/>
  <c r="AJ635" i="4"/>
  <c r="AJ632" i="4"/>
  <c r="AJ622" i="4"/>
  <c r="AJ612" i="4"/>
  <c r="AJ602" i="4"/>
  <c r="AJ592" i="4"/>
  <c r="AJ642" i="4"/>
  <c r="AJ638" i="4"/>
  <c r="AJ629" i="4"/>
  <c r="AJ581" i="4"/>
  <c r="AJ571" i="4"/>
  <c r="AJ561" i="4"/>
  <c r="AJ551" i="4"/>
  <c r="AJ541" i="4"/>
  <c r="AJ531" i="4"/>
  <c r="AJ521" i="4"/>
  <c r="AJ511" i="4"/>
  <c r="AJ501" i="4"/>
  <c r="AJ578" i="4"/>
  <c r="AJ568" i="4"/>
  <c r="AJ558" i="4"/>
  <c r="AJ548" i="4"/>
  <c r="AJ538" i="4"/>
  <c r="AJ528" i="4"/>
  <c r="AJ518" i="4"/>
  <c r="AJ508" i="4"/>
  <c r="AJ498" i="4"/>
  <c r="AJ605" i="4"/>
  <c r="AJ589" i="4"/>
  <c r="AJ585" i="4"/>
  <c r="AJ575" i="4"/>
  <c r="AJ565" i="4"/>
  <c r="AJ555" i="4"/>
  <c r="AJ545" i="4"/>
  <c r="AJ535" i="4"/>
  <c r="AJ525" i="4"/>
  <c r="AJ515" i="4"/>
  <c r="AJ599" i="4"/>
  <c r="AJ582" i="4"/>
  <c r="AJ572" i="4"/>
  <c r="AJ562" i="4"/>
  <c r="AJ552" i="4"/>
  <c r="AJ542" i="4"/>
  <c r="AJ532" i="4"/>
  <c r="AJ522" i="4"/>
  <c r="AJ512" i="4"/>
  <c r="AJ625" i="4"/>
  <c r="AJ588" i="4"/>
  <c r="AJ579" i="4"/>
  <c r="AJ569" i="4"/>
  <c r="AJ559" i="4"/>
  <c r="AJ549" i="4"/>
  <c r="AJ539" i="4"/>
  <c r="AJ529" i="4"/>
  <c r="AJ519" i="4"/>
  <c r="AJ509" i="4"/>
  <c r="AJ619" i="4"/>
  <c r="AJ591" i="4"/>
  <c r="AJ586" i="4"/>
  <c r="AJ576" i="4"/>
  <c r="AJ566" i="4"/>
  <c r="AJ556" i="4"/>
  <c r="AJ546" i="4"/>
  <c r="AJ536" i="4"/>
  <c r="AJ526" i="4"/>
  <c r="AJ516" i="4"/>
  <c r="AJ506" i="4"/>
  <c r="AJ595" i="4"/>
  <c r="AJ583" i="4"/>
  <c r="AJ573" i="4"/>
  <c r="AJ563" i="4"/>
  <c r="AJ553" i="4"/>
  <c r="AJ543" i="4"/>
  <c r="AJ533" i="4"/>
  <c r="AJ523" i="4"/>
  <c r="AJ513" i="4"/>
  <c r="AJ580" i="4"/>
  <c r="AJ570" i="4"/>
  <c r="AJ615" i="4"/>
  <c r="AJ609" i="4"/>
  <c r="AJ587" i="4"/>
  <c r="AJ584" i="4"/>
  <c r="AJ574" i="4"/>
  <c r="AJ564" i="4"/>
  <c r="AJ554" i="4"/>
  <c r="AJ544" i="4"/>
  <c r="AJ534" i="4"/>
  <c r="AJ524" i="4"/>
  <c r="AJ514" i="4"/>
  <c r="AJ504" i="4"/>
  <c r="AJ577" i="4"/>
  <c r="AJ540" i="4"/>
  <c r="AJ488" i="4"/>
  <c r="AJ478" i="4"/>
  <c r="AJ468" i="4"/>
  <c r="AJ458" i="4"/>
  <c r="AJ448" i="4"/>
  <c r="AJ438" i="4"/>
  <c r="AJ428" i="4"/>
  <c r="AJ418" i="4"/>
  <c r="AJ408" i="4"/>
  <c r="AJ537" i="4"/>
  <c r="AJ500" i="4"/>
  <c r="AJ485" i="4"/>
  <c r="AJ475" i="4"/>
  <c r="AJ465" i="4"/>
  <c r="AJ455" i="4"/>
  <c r="AJ445" i="4"/>
  <c r="AJ435" i="4"/>
  <c r="AJ425" i="4"/>
  <c r="AJ415" i="4"/>
  <c r="AJ560" i="4"/>
  <c r="AJ510" i="4"/>
  <c r="AJ492" i="4"/>
  <c r="AJ482" i="4"/>
  <c r="AJ472" i="4"/>
  <c r="AJ462" i="4"/>
  <c r="AJ452" i="4"/>
  <c r="AJ442" i="4"/>
  <c r="AJ432" i="4"/>
  <c r="AJ557" i="4"/>
  <c r="AJ497" i="4"/>
  <c r="AJ495" i="4"/>
  <c r="AJ489" i="4"/>
  <c r="AJ479" i="4"/>
  <c r="AJ469" i="4"/>
  <c r="AJ459" i="4"/>
  <c r="AJ449" i="4"/>
  <c r="AJ439" i="4"/>
  <c r="AJ429" i="4"/>
  <c r="AJ530" i="4"/>
  <c r="AJ502" i="4"/>
  <c r="AJ499" i="4"/>
  <c r="AJ486" i="4"/>
  <c r="AJ476" i="4"/>
  <c r="AJ466" i="4"/>
  <c r="AJ456" i="4"/>
  <c r="AJ446" i="4"/>
  <c r="AJ436" i="4"/>
  <c r="AJ426" i="4"/>
  <c r="AJ527" i="4"/>
  <c r="AJ503" i="4"/>
  <c r="AJ493" i="4"/>
  <c r="AJ483" i="4"/>
  <c r="AJ473" i="4"/>
  <c r="AJ463" i="4"/>
  <c r="AJ453" i="4"/>
  <c r="AJ443" i="4"/>
  <c r="AJ433" i="4"/>
  <c r="AJ550" i="4"/>
  <c r="AJ507" i="4"/>
  <c r="AJ490" i="4"/>
  <c r="AJ480" i="4"/>
  <c r="AJ470" i="4"/>
  <c r="AJ460" i="4"/>
  <c r="AJ450" i="4"/>
  <c r="AJ440" i="4"/>
  <c r="AJ430" i="4"/>
  <c r="AJ547" i="4"/>
  <c r="AJ520" i="4"/>
  <c r="AJ496" i="4"/>
  <c r="AJ484" i="4"/>
  <c r="AJ474" i="4"/>
  <c r="AJ464" i="4"/>
  <c r="AJ454" i="4"/>
  <c r="AJ444" i="4"/>
  <c r="AJ434" i="4"/>
  <c r="AJ424" i="4"/>
  <c r="AJ567" i="4"/>
  <c r="AJ517" i="4"/>
  <c r="AJ447" i="4"/>
  <c r="AJ419" i="4"/>
  <c r="AJ410" i="4"/>
  <c r="AJ403" i="4"/>
  <c r="AJ494" i="4"/>
  <c r="AJ491" i="4"/>
  <c r="AJ441" i="4"/>
  <c r="AJ407" i="4"/>
  <c r="AJ467" i="4"/>
  <c r="AJ412" i="4"/>
  <c r="AJ505" i="4"/>
  <c r="AJ461" i="4"/>
  <c r="AJ423" i="4"/>
  <c r="AJ409" i="4"/>
  <c r="AJ487" i="4"/>
  <c r="AJ437" i="4"/>
  <c r="AJ427" i="4"/>
  <c r="AJ422" i="4"/>
  <c r="AJ406" i="4"/>
  <c r="AJ481" i="4"/>
  <c r="AJ431" i="4"/>
  <c r="AJ417" i="4"/>
  <c r="AJ404" i="4"/>
  <c r="AJ402" i="4"/>
  <c r="AJ457" i="4"/>
  <c r="AJ414" i="4"/>
  <c r="AJ451" i="4"/>
  <c r="AJ421" i="4"/>
  <c r="AJ411" i="4"/>
  <c r="AJ477" i="4"/>
  <c r="AJ416" i="4"/>
  <c r="AJ471" i="4"/>
  <c r="AJ420" i="4"/>
  <c r="AJ413" i="4"/>
  <c r="AJ405" i="4"/>
  <c r="G181" i="2"/>
  <c r="G164" i="2"/>
  <c r="R401" i="4"/>
  <c r="R399" i="4"/>
  <c r="R394" i="4"/>
  <c r="R389" i="4"/>
  <c r="R384" i="4"/>
  <c r="R379" i="4"/>
  <c r="R374" i="4"/>
  <c r="R369" i="4"/>
  <c r="R364" i="4"/>
  <c r="R359" i="4"/>
  <c r="R354" i="4"/>
  <c r="R349" i="4"/>
  <c r="R344" i="4"/>
  <c r="R397" i="4"/>
  <c r="R392" i="4"/>
  <c r="R387" i="4"/>
  <c r="R382" i="4"/>
  <c r="R377" i="4"/>
  <c r="R372" i="4"/>
  <c r="R367" i="4"/>
  <c r="R362" i="4"/>
  <c r="R357" i="4"/>
  <c r="R352" i="4"/>
  <c r="R347" i="4"/>
  <c r="R342" i="4"/>
  <c r="R395" i="4"/>
  <c r="R390" i="4"/>
  <c r="R385" i="4"/>
  <c r="R380" i="4"/>
  <c r="R375" i="4"/>
  <c r="R370" i="4"/>
  <c r="R365" i="4"/>
  <c r="R360" i="4"/>
  <c r="R355" i="4"/>
  <c r="R350" i="4"/>
  <c r="R345" i="4"/>
  <c r="R400" i="4"/>
  <c r="R398" i="4"/>
  <c r="R393" i="4"/>
  <c r="R388" i="4"/>
  <c r="R396" i="4"/>
  <c r="R391" i="4"/>
  <c r="R386" i="4"/>
  <c r="R381" i="4"/>
  <c r="R376" i="4"/>
  <c r="R371" i="4"/>
  <c r="R366" i="4"/>
  <c r="R361" i="4"/>
  <c r="R356" i="4"/>
  <c r="R351" i="4"/>
  <c r="R346" i="4"/>
  <c r="R333" i="4"/>
  <c r="R323" i="4"/>
  <c r="R318" i="4"/>
  <c r="R313" i="4"/>
  <c r="R308" i="4"/>
  <c r="R303" i="4"/>
  <c r="R298" i="4"/>
  <c r="R293" i="4"/>
  <c r="R288" i="4"/>
  <c r="R283" i="4"/>
  <c r="R278" i="4"/>
  <c r="R273" i="4"/>
  <c r="R268" i="4"/>
  <c r="R263" i="4"/>
  <c r="R258" i="4"/>
  <c r="R253" i="4"/>
  <c r="R373" i="4"/>
  <c r="R348" i="4"/>
  <c r="R328" i="4"/>
  <c r="R330" i="4"/>
  <c r="R326" i="4"/>
  <c r="R321" i="4"/>
  <c r="R316" i="4"/>
  <c r="R311" i="4"/>
  <c r="R306" i="4"/>
  <c r="R301" i="4"/>
  <c r="R296" i="4"/>
  <c r="R291" i="4"/>
  <c r="R286" i="4"/>
  <c r="R281" i="4"/>
  <c r="R276" i="4"/>
  <c r="R271" i="4"/>
  <c r="R266" i="4"/>
  <c r="R261" i="4"/>
  <c r="R256" i="4"/>
  <c r="R363" i="4"/>
  <c r="R332" i="4"/>
  <c r="R324" i="4"/>
  <c r="R319" i="4"/>
  <c r="R314" i="4"/>
  <c r="R309" i="4"/>
  <c r="R304" i="4"/>
  <c r="R299" i="4"/>
  <c r="R294" i="4"/>
  <c r="R289" i="4"/>
  <c r="R284" i="4"/>
  <c r="R279" i="4"/>
  <c r="R274" i="4"/>
  <c r="R269" i="4"/>
  <c r="R264" i="4"/>
  <c r="R259" i="4"/>
  <c r="R254" i="4"/>
  <c r="R249" i="4"/>
  <c r="R378" i="4"/>
  <c r="R353" i="4"/>
  <c r="R335" i="4"/>
  <c r="R338" i="4"/>
  <c r="R337" i="4"/>
  <c r="R336" i="4"/>
  <c r="R329" i="4"/>
  <c r="R327" i="4"/>
  <c r="R322" i="4"/>
  <c r="R317" i="4"/>
  <c r="R312" i="4"/>
  <c r="R307" i="4"/>
  <c r="R302" i="4"/>
  <c r="R297" i="4"/>
  <c r="R292" i="4"/>
  <c r="R287" i="4"/>
  <c r="R282" i="4"/>
  <c r="R277" i="4"/>
  <c r="R272" i="4"/>
  <c r="R267" i="4"/>
  <c r="R262" i="4"/>
  <c r="R257" i="4"/>
  <c r="R368" i="4"/>
  <c r="R343" i="4"/>
  <c r="R340" i="4"/>
  <c r="R339" i="4"/>
  <c r="R334" i="4"/>
  <c r="R341" i="4"/>
  <c r="R331" i="4"/>
  <c r="R325" i="4"/>
  <c r="R320" i="4"/>
  <c r="R315" i="4"/>
  <c r="R383" i="4"/>
  <c r="R358" i="4"/>
  <c r="R251" i="4"/>
  <c r="R244" i="4"/>
  <c r="R243" i="4"/>
  <c r="R295" i="4"/>
  <c r="R270" i="4"/>
  <c r="R247" i="4"/>
  <c r="R246" i="4"/>
  <c r="R245" i="4"/>
  <c r="R236" i="4"/>
  <c r="R231" i="4"/>
  <c r="R226" i="4"/>
  <c r="R221" i="4"/>
  <c r="R216" i="4"/>
  <c r="R211" i="4"/>
  <c r="R206" i="4"/>
  <c r="R201" i="4"/>
  <c r="R196" i="4"/>
  <c r="R191" i="4"/>
  <c r="R186" i="4"/>
  <c r="R181" i="4"/>
  <c r="R176" i="4"/>
  <c r="R171" i="4"/>
  <c r="R166" i="4"/>
  <c r="R248" i="4"/>
  <c r="R241" i="4"/>
  <c r="R310" i="4"/>
  <c r="R285" i="4"/>
  <c r="R260" i="4"/>
  <c r="R252" i="4"/>
  <c r="R239" i="4"/>
  <c r="R234" i="4"/>
  <c r="R229" i="4"/>
  <c r="R224" i="4"/>
  <c r="R219" i="4"/>
  <c r="R214" i="4"/>
  <c r="R209" i="4"/>
  <c r="R204" i="4"/>
  <c r="R199" i="4"/>
  <c r="R194" i="4"/>
  <c r="R189" i="4"/>
  <c r="R184" i="4"/>
  <c r="R179" i="4"/>
  <c r="R174" i="4"/>
  <c r="R169" i="4"/>
  <c r="R300" i="4"/>
  <c r="R275" i="4"/>
  <c r="R237" i="4"/>
  <c r="R232" i="4"/>
  <c r="R227" i="4"/>
  <c r="R222" i="4"/>
  <c r="R217" i="4"/>
  <c r="R212" i="4"/>
  <c r="R207" i="4"/>
  <c r="R202" i="4"/>
  <c r="R197" i="4"/>
  <c r="R192" i="4"/>
  <c r="R187" i="4"/>
  <c r="R182" i="4"/>
  <c r="R177" i="4"/>
  <c r="R172" i="4"/>
  <c r="R290" i="4"/>
  <c r="R265" i="4"/>
  <c r="R250" i="4"/>
  <c r="R240" i="4"/>
  <c r="R235" i="4"/>
  <c r="R230" i="4"/>
  <c r="R225" i="4"/>
  <c r="R220" i="4"/>
  <c r="R215" i="4"/>
  <c r="R210" i="4"/>
  <c r="R205" i="4"/>
  <c r="R200" i="4"/>
  <c r="R195" i="4"/>
  <c r="R190" i="4"/>
  <c r="R185" i="4"/>
  <c r="R180" i="4"/>
  <c r="R175" i="4"/>
  <c r="R305" i="4"/>
  <c r="R280" i="4"/>
  <c r="R255" i="4"/>
  <c r="R242" i="4"/>
  <c r="R238" i="4"/>
  <c r="R233" i="4"/>
  <c r="R208" i="4"/>
  <c r="R183" i="4"/>
  <c r="R167" i="4"/>
  <c r="R145" i="4"/>
  <c r="R228" i="4"/>
  <c r="R160" i="4"/>
  <c r="R153" i="4"/>
  <c r="R147" i="4"/>
  <c r="R138" i="4"/>
  <c r="R136" i="4"/>
  <c r="R131" i="4"/>
  <c r="R126" i="4"/>
  <c r="R121" i="4"/>
  <c r="R116" i="4"/>
  <c r="R111" i="4"/>
  <c r="R106" i="4"/>
  <c r="R101" i="4"/>
  <c r="R96" i="4"/>
  <c r="R91" i="4"/>
  <c r="R86" i="4"/>
  <c r="R81" i="4"/>
  <c r="R76" i="4"/>
  <c r="R71" i="4"/>
  <c r="R66" i="4"/>
  <c r="R61" i="4"/>
  <c r="R223" i="4"/>
  <c r="R198" i="4"/>
  <c r="R173" i="4"/>
  <c r="R162" i="4"/>
  <c r="R161" i="4"/>
  <c r="R159" i="4"/>
  <c r="R149" i="4"/>
  <c r="R140" i="4"/>
  <c r="R170" i="4"/>
  <c r="R164" i="4"/>
  <c r="R163" i="4"/>
  <c r="R152" i="4"/>
  <c r="R142" i="4"/>
  <c r="R134" i="4"/>
  <c r="R129" i="4"/>
  <c r="R124" i="4"/>
  <c r="R119" i="4"/>
  <c r="R114" i="4"/>
  <c r="R109" i="4"/>
  <c r="R104" i="4"/>
  <c r="R99" i="4"/>
  <c r="R94" i="4"/>
  <c r="R89" i="4"/>
  <c r="R84" i="4"/>
  <c r="R79" i="4"/>
  <c r="R74" i="4"/>
  <c r="R213" i="4"/>
  <c r="R188" i="4"/>
  <c r="R158" i="4"/>
  <c r="R157" i="4"/>
  <c r="R144" i="4"/>
  <c r="R168" i="4"/>
  <c r="R165" i="4"/>
  <c r="R146" i="4"/>
  <c r="R137" i="4"/>
  <c r="R132" i="4"/>
  <c r="R127" i="4"/>
  <c r="R122" i="4"/>
  <c r="R117" i="4"/>
  <c r="R112" i="4"/>
  <c r="R107" i="4"/>
  <c r="R102" i="4"/>
  <c r="R97" i="4"/>
  <c r="R92" i="4"/>
  <c r="R87" i="4"/>
  <c r="R82" i="4"/>
  <c r="R77" i="4"/>
  <c r="R203" i="4"/>
  <c r="R178" i="4"/>
  <c r="R156" i="4"/>
  <c r="R151" i="4"/>
  <c r="R139" i="4"/>
  <c r="R155" i="4"/>
  <c r="R148" i="4"/>
  <c r="R141" i="4"/>
  <c r="R135" i="4"/>
  <c r="R130" i="4"/>
  <c r="R125" i="4"/>
  <c r="R120" i="4"/>
  <c r="R115" i="4"/>
  <c r="R110" i="4"/>
  <c r="R105" i="4"/>
  <c r="R100" i="4"/>
  <c r="R95" i="4"/>
  <c r="R90" i="4"/>
  <c r="R85" i="4"/>
  <c r="R80" i="4"/>
  <c r="R75" i="4"/>
  <c r="R70" i="4"/>
  <c r="R218" i="4"/>
  <c r="R193" i="4"/>
  <c r="R154" i="4"/>
  <c r="R150" i="4"/>
  <c r="R143" i="4"/>
  <c r="R65" i="4"/>
  <c r="R63" i="4"/>
  <c r="R57" i="4"/>
  <c r="R48" i="4"/>
  <c r="R42" i="4"/>
  <c r="R37" i="4"/>
  <c r="R32" i="4"/>
  <c r="R27" i="4"/>
  <c r="R22" i="4"/>
  <c r="R17" i="4"/>
  <c r="R12" i="4"/>
  <c r="R7" i="4"/>
  <c r="R2" i="4"/>
  <c r="R123" i="4"/>
  <c r="R98" i="4"/>
  <c r="R73" i="4"/>
  <c r="R50" i="4"/>
  <c r="R67" i="4"/>
  <c r="R60" i="4"/>
  <c r="R52" i="4"/>
  <c r="R40" i="4"/>
  <c r="R35" i="4"/>
  <c r="R30" i="4"/>
  <c r="R25" i="4"/>
  <c r="R20" i="4"/>
  <c r="R15" i="4"/>
  <c r="R10" i="4"/>
  <c r="R5" i="4"/>
  <c r="R113" i="4"/>
  <c r="R88" i="4"/>
  <c r="R54" i="4"/>
  <c r="R45" i="4"/>
  <c r="R59" i="4"/>
  <c r="R56" i="4"/>
  <c r="R47" i="4"/>
  <c r="R43" i="4"/>
  <c r="R38" i="4"/>
  <c r="R33" i="4"/>
  <c r="R28" i="4"/>
  <c r="R23" i="4"/>
  <c r="R18" i="4"/>
  <c r="R13" i="4"/>
  <c r="R8" i="4"/>
  <c r="R3" i="4"/>
  <c r="R128" i="4"/>
  <c r="R103" i="4"/>
  <c r="R78" i="4"/>
  <c r="R72" i="4"/>
  <c r="R68" i="4"/>
  <c r="R49" i="4"/>
  <c r="R69" i="4"/>
  <c r="R51" i="4"/>
  <c r="R41" i="4"/>
  <c r="R36" i="4"/>
  <c r="R31" i="4"/>
  <c r="R26" i="4"/>
  <c r="R21" i="4"/>
  <c r="R16" i="4"/>
  <c r="R11" i="4"/>
  <c r="R6" i="4"/>
  <c r="R118" i="4"/>
  <c r="R93" i="4"/>
  <c r="R58" i="4"/>
  <c r="R53" i="4"/>
  <c r="R46" i="4"/>
  <c r="R44" i="4"/>
  <c r="R39" i="4"/>
  <c r="R34" i="4"/>
  <c r="R29" i="4"/>
  <c r="R24" i="4"/>
  <c r="R19" i="4"/>
  <c r="R14" i="4"/>
  <c r="R9" i="4"/>
  <c r="R4" i="4"/>
  <c r="R133" i="4"/>
  <c r="R108" i="4"/>
  <c r="R83" i="4"/>
  <c r="R64" i="4"/>
  <c r="R62" i="4"/>
  <c r="R55" i="4"/>
  <c r="I401" i="4"/>
  <c r="I399" i="4"/>
  <c r="I394" i="4"/>
  <c r="I389" i="4"/>
  <c r="I384" i="4"/>
  <c r="I379" i="4"/>
  <c r="I374" i="4"/>
  <c r="I369" i="4"/>
  <c r="I364" i="4"/>
  <c r="I359" i="4"/>
  <c r="I354" i="4"/>
  <c r="I349" i="4"/>
  <c r="I344" i="4"/>
  <c r="I339" i="4"/>
  <c r="I334" i="4"/>
  <c r="I329" i="4"/>
  <c r="I397" i="4"/>
  <c r="I392" i="4"/>
  <c r="I387" i="4"/>
  <c r="I382" i="4"/>
  <c r="I377" i="4"/>
  <c r="I372" i="4"/>
  <c r="I367" i="4"/>
  <c r="I362" i="4"/>
  <c r="I357" i="4"/>
  <c r="I352" i="4"/>
  <c r="I347" i="4"/>
  <c r="I342" i="4"/>
  <c r="I337" i="4"/>
  <c r="I400" i="4"/>
  <c r="I395" i="4"/>
  <c r="I390" i="4"/>
  <c r="I385" i="4"/>
  <c r="I380" i="4"/>
  <c r="I375" i="4"/>
  <c r="I370" i="4"/>
  <c r="I365" i="4"/>
  <c r="I360" i="4"/>
  <c r="I355" i="4"/>
  <c r="I350" i="4"/>
  <c r="I345" i="4"/>
  <c r="I340" i="4"/>
  <c r="I335" i="4"/>
  <c r="I398" i="4"/>
  <c r="I393" i="4"/>
  <c r="I388" i="4"/>
  <c r="I383" i="4"/>
  <c r="I378" i="4"/>
  <c r="I373" i="4"/>
  <c r="I368" i="4"/>
  <c r="I363" i="4"/>
  <c r="I358" i="4"/>
  <c r="I353" i="4"/>
  <c r="I348" i="4"/>
  <c r="I343" i="4"/>
  <c r="I338" i="4"/>
  <c r="I396" i="4"/>
  <c r="I391" i="4"/>
  <c r="I386" i="4"/>
  <c r="I371" i="4"/>
  <c r="I346" i="4"/>
  <c r="I330" i="4"/>
  <c r="I336" i="4"/>
  <c r="I332" i="4"/>
  <c r="I326" i="4"/>
  <c r="I321" i="4"/>
  <c r="I316" i="4"/>
  <c r="I311" i="4"/>
  <c r="I306" i="4"/>
  <c r="I301" i="4"/>
  <c r="I296" i="4"/>
  <c r="I291" i="4"/>
  <c r="I286" i="4"/>
  <c r="I281" i="4"/>
  <c r="I276" i="4"/>
  <c r="I271" i="4"/>
  <c r="I266" i="4"/>
  <c r="I261" i="4"/>
  <c r="I256" i="4"/>
  <c r="I251" i="4"/>
  <c r="I246" i="4"/>
  <c r="I361" i="4"/>
  <c r="I341" i="4"/>
  <c r="I324" i="4"/>
  <c r="I319" i="4"/>
  <c r="I314" i="4"/>
  <c r="I309" i="4"/>
  <c r="I304" i="4"/>
  <c r="I299" i="4"/>
  <c r="I294" i="4"/>
  <c r="I289" i="4"/>
  <c r="I284" i="4"/>
  <c r="I279" i="4"/>
  <c r="I274" i="4"/>
  <c r="I269" i="4"/>
  <c r="I264" i="4"/>
  <c r="I259" i="4"/>
  <c r="I254" i="4"/>
  <c r="I249" i="4"/>
  <c r="I244" i="4"/>
  <c r="I376" i="4"/>
  <c r="I351" i="4"/>
  <c r="I327" i="4"/>
  <c r="I322" i="4"/>
  <c r="I317" i="4"/>
  <c r="I312" i="4"/>
  <c r="I307" i="4"/>
  <c r="I302" i="4"/>
  <c r="I297" i="4"/>
  <c r="I292" i="4"/>
  <c r="I287" i="4"/>
  <c r="I282" i="4"/>
  <c r="I277" i="4"/>
  <c r="I272" i="4"/>
  <c r="I267" i="4"/>
  <c r="I262" i="4"/>
  <c r="I257" i="4"/>
  <c r="I252" i="4"/>
  <c r="I247" i="4"/>
  <c r="I366" i="4"/>
  <c r="I331" i="4"/>
  <c r="I333" i="4"/>
  <c r="I325" i="4"/>
  <c r="I320" i="4"/>
  <c r="I381" i="4"/>
  <c r="I356" i="4"/>
  <c r="I328" i="4"/>
  <c r="I323" i="4"/>
  <c r="I318" i="4"/>
  <c r="I313" i="4"/>
  <c r="I308" i="4"/>
  <c r="I303" i="4"/>
  <c r="I298" i="4"/>
  <c r="I293" i="4"/>
  <c r="I288" i="4"/>
  <c r="I283" i="4"/>
  <c r="I278" i="4"/>
  <c r="I273" i="4"/>
  <c r="I268" i="4"/>
  <c r="I263" i="4"/>
  <c r="I258" i="4"/>
  <c r="I253" i="4"/>
  <c r="I248" i="4"/>
  <c r="I243" i="4"/>
  <c r="I315" i="4"/>
  <c r="I305" i="4"/>
  <c r="I280" i="4"/>
  <c r="I250" i="4"/>
  <c r="I241" i="4"/>
  <c r="I236" i="4"/>
  <c r="I231" i="4"/>
  <c r="I226" i="4"/>
  <c r="I221" i="4"/>
  <c r="I216" i="4"/>
  <c r="I211" i="4"/>
  <c r="I206" i="4"/>
  <c r="I201" i="4"/>
  <c r="I196" i="4"/>
  <c r="I191" i="4"/>
  <c r="I186" i="4"/>
  <c r="I181" i="4"/>
  <c r="I176" i="4"/>
  <c r="I171" i="4"/>
  <c r="I166" i="4"/>
  <c r="I161" i="4"/>
  <c r="I156" i="4"/>
  <c r="I151" i="4"/>
  <c r="I146" i="4"/>
  <c r="I141" i="4"/>
  <c r="I255" i="4"/>
  <c r="I295" i="4"/>
  <c r="I270" i="4"/>
  <c r="I239" i="4"/>
  <c r="I234" i="4"/>
  <c r="I229" i="4"/>
  <c r="I224" i="4"/>
  <c r="I219" i="4"/>
  <c r="I214" i="4"/>
  <c r="I209" i="4"/>
  <c r="I204" i="4"/>
  <c r="I199" i="4"/>
  <c r="I194" i="4"/>
  <c r="I189" i="4"/>
  <c r="I184" i="4"/>
  <c r="I179" i="4"/>
  <c r="I174" i="4"/>
  <c r="I169" i="4"/>
  <c r="I164" i="4"/>
  <c r="I159" i="4"/>
  <c r="I310" i="4"/>
  <c r="I285" i="4"/>
  <c r="I260" i="4"/>
  <c r="I237" i="4"/>
  <c r="I232" i="4"/>
  <c r="I227" i="4"/>
  <c r="I222" i="4"/>
  <c r="I217" i="4"/>
  <c r="I212" i="4"/>
  <c r="I207" i="4"/>
  <c r="I202" i="4"/>
  <c r="I197" i="4"/>
  <c r="I192" i="4"/>
  <c r="I187" i="4"/>
  <c r="I182" i="4"/>
  <c r="I177" i="4"/>
  <c r="I172" i="4"/>
  <c r="I167" i="4"/>
  <c r="I162" i="4"/>
  <c r="I157" i="4"/>
  <c r="I152" i="4"/>
  <c r="I242" i="4"/>
  <c r="I300" i="4"/>
  <c r="I275" i="4"/>
  <c r="I245" i="4"/>
  <c r="I240" i="4"/>
  <c r="I235" i="4"/>
  <c r="I230" i="4"/>
  <c r="I225" i="4"/>
  <c r="I220" i="4"/>
  <c r="I215" i="4"/>
  <c r="I210" i="4"/>
  <c r="I205" i="4"/>
  <c r="I200" i="4"/>
  <c r="I195" i="4"/>
  <c r="I190" i="4"/>
  <c r="I185" i="4"/>
  <c r="I180" i="4"/>
  <c r="I175" i="4"/>
  <c r="I170" i="4"/>
  <c r="I165" i="4"/>
  <c r="I290" i="4"/>
  <c r="I265" i="4"/>
  <c r="I238" i="4"/>
  <c r="I233" i="4"/>
  <c r="I228" i="4"/>
  <c r="I158" i="4"/>
  <c r="I149" i="4"/>
  <c r="I140" i="4"/>
  <c r="I136" i="4"/>
  <c r="I131" i="4"/>
  <c r="I126" i="4"/>
  <c r="I121" i="4"/>
  <c r="I116" i="4"/>
  <c r="I111" i="4"/>
  <c r="I106" i="4"/>
  <c r="I101" i="4"/>
  <c r="I96" i="4"/>
  <c r="I91" i="4"/>
  <c r="I86" i="4"/>
  <c r="I81" i="4"/>
  <c r="I76" i="4"/>
  <c r="I71" i="4"/>
  <c r="I66" i="4"/>
  <c r="I61" i="4"/>
  <c r="I56" i="4"/>
  <c r="I51" i="4"/>
  <c r="I46" i="4"/>
  <c r="I208" i="4"/>
  <c r="I183" i="4"/>
  <c r="I142" i="4"/>
  <c r="I144" i="4"/>
  <c r="I134" i="4"/>
  <c r="I129" i="4"/>
  <c r="I124" i="4"/>
  <c r="I119" i="4"/>
  <c r="I114" i="4"/>
  <c r="I109" i="4"/>
  <c r="I104" i="4"/>
  <c r="I99" i="4"/>
  <c r="I94" i="4"/>
  <c r="I89" i="4"/>
  <c r="I84" i="4"/>
  <c r="I79" i="4"/>
  <c r="I74" i="4"/>
  <c r="I69" i="4"/>
  <c r="I64" i="4"/>
  <c r="I223" i="4"/>
  <c r="I198" i="4"/>
  <c r="I173" i="4"/>
  <c r="I155" i="4"/>
  <c r="I139" i="4"/>
  <c r="I137" i="4"/>
  <c r="I132" i="4"/>
  <c r="I127" i="4"/>
  <c r="I122" i="4"/>
  <c r="I117" i="4"/>
  <c r="I112" i="4"/>
  <c r="I107" i="4"/>
  <c r="I102" i="4"/>
  <c r="I97" i="4"/>
  <c r="I92" i="4"/>
  <c r="I87" i="4"/>
  <c r="I82" i="4"/>
  <c r="I77" i="4"/>
  <c r="I72" i="4"/>
  <c r="I67" i="4"/>
  <c r="I213" i="4"/>
  <c r="I188" i="4"/>
  <c r="I154" i="4"/>
  <c r="I148" i="4"/>
  <c r="I150" i="4"/>
  <c r="I135" i="4"/>
  <c r="I130" i="4"/>
  <c r="I125" i="4"/>
  <c r="I120" i="4"/>
  <c r="I115" i="4"/>
  <c r="I110" i="4"/>
  <c r="I105" i="4"/>
  <c r="I100" i="4"/>
  <c r="I95" i="4"/>
  <c r="I90" i="4"/>
  <c r="I85" i="4"/>
  <c r="I80" i="4"/>
  <c r="I75" i="4"/>
  <c r="I203" i="4"/>
  <c r="I178" i="4"/>
  <c r="I160" i="4"/>
  <c r="I143" i="4"/>
  <c r="I168" i="4"/>
  <c r="I163" i="4"/>
  <c r="I153" i="4"/>
  <c r="I145" i="4"/>
  <c r="I218" i="4"/>
  <c r="I193" i="4"/>
  <c r="I147" i="4"/>
  <c r="I133" i="4"/>
  <c r="I108" i="4"/>
  <c r="I83" i="4"/>
  <c r="I52" i="4"/>
  <c r="I59" i="4"/>
  <c r="I54" i="4"/>
  <c r="I45" i="4"/>
  <c r="I40" i="4"/>
  <c r="I35" i="4"/>
  <c r="I30" i="4"/>
  <c r="I25" i="4"/>
  <c r="I20" i="4"/>
  <c r="I15" i="4"/>
  <c r="I10" i="4"/>
  <c r="I5" i="4"/>
  <c r="I123" i="4"/>
  <c r="I98" i="4"/>
  <c r="I47" i="4"/>
  <c r="I73" i="4"/>
  <c r="I70" i="4"/>
  <c r="I49" i="4"/>
  <c r="I43" i="4"/>
  <c r="I38" i="4"/>
  <c r="I33" i="4"/>
  <c r="I28" i="4"/>
  <c r="I23" i="4"/>
  <c r="I18" i="4"/>
  <c r="I13" i="4"/>
  <c r="I8" i="4"/>
  <c r="I3" i="4"/>
  <c r="I113" i="4"/>
  <c r="I88" i="4"/>
  <c r="I138" i="4"/>
  <c r="I65" i="4"/>
  <c r="I63" i="4"/>
  <c r="I62" i="4"/>
  <c r="I58" i="4"/>
  <c r="I41" i="4"/>
  <c r="I36" i="4"/>
  <c r="I31" i="4"/>
  <c r="I26" i="4"/>
  <c r="I21" i="4"/>
  <c r="I16" i="4"/>
  <c r="I11" i="4"/>
  <c r="I6" i="4"/>
  <c r="I128" i="4"/>
  <c r="I103" i="4"/>
  <c r="I78" i="4"/>
  <c r="I53" i="4"/>
  <c r="I55" i="4"/>
  <c r="I44" i="4"/>
  <c r="I39" i="4"/>
  <c r="I34" i="4"/>
  <c r="I29" i="4"/>
  <c r="I24" i="4"/>
  <c r="I19" i="4"/>
  <c r="I14" i="4"/>
  <c r="I9" i="4"/>
  <c r="I4" i="4"/>
  <c r="I118" i="4"/>
  <c r="I93" i="4"/>
  <c r="I57" i="4"/>
  <c r="I48" i="4"/>
  <c r="I68" i="4"/>
  <c r="I60" i="4"/>
  <c r="I50" i="4"/>
  <c r="I42" i="4"/>
  <c r="I37" i="4"/>
  <c r="I32" i="4"/>
  <c r="I27" i="4"/>
  <c r="I22" i="4"/>
  <c r="I17" i="4"/>
  <c r="I12" i="4"/>
  <c r="I7" i="4"/>
  <c r="I2" i="4"/>
  <c r="S399" i="4"/>
  <c r="S394" i="4"/>
  <c r="S389" i="4"/>
  <c r="S384" i="4"/>
  <c r="S379" i="4"/>
  <c r="S374" i="4"/>
  <c r="S369" i="4"/>
  <c r="S364" i="4"/>
  <c r="S359" i="4"/>
  <c r="S354" i="4"/>
  <c r="S349" i="4"/>
  <c r="S344" i="4"/>
  <c r="S339" i="4"/>
  <c r="S334" i="4"/>
  <c r="S329" i="4"/>
  <c r="S401" i="4"/>
  <c r="S397" i="4"/>
  <c r="S392" i="4"/>
  <c r="S387" i="4"/>
  <c r="S382" i="4"/>
  <c r="S377" i="4"/>
  <c r="S372" i="4"/>
  <c r="S367" i="4"/>
  <c r="S362" i="4"/>
  <c r="S357" i="4"/>
  <c r="S352" i="4"/>
  <c r="S347" i="4"/>
  <c r="S342" i="4"/>
  <c r="S337" i="4"/>
  <c r="S395" i="4"/>
  <c r="S390" i="4"/>
  <c r="S385" i="4"/>
  <c r="S380" i="4"/>
  <c r="S375" i="4"/>
  <c r="S370" i="4"/>
  <c r="S365" i="4"/>
  <c r="S360" i="4"/>
  <c r="S355" i="4"/>
  <c r="S350" i="4"/>
  <c r="S345" i="4"/>
  <c r="S340" i="4"/>
  <c r="S335" i="4"/>
  <c r="S400" i="4"/>
  <c r="S398" i="4"/>
  <c r="S393" i="4"/>
  <c r="S388" i="4"/>
  <c r="S383" i="4"/>
  <c r="S378" i="4"/>
  <c r="S373" i="4"/>
  <c r="S368" i="4"/>
  <c r="S363" i="4"/>
  <c r="S358" i="4"/>
  <c r="S353" i="4"/>
  <c r="S348" i="4"/>
  <c r="S343" i="4"/>
  <c r="S338" i="4"/>
  <c r="S396" i="4"/>
  <c r="S391" i="4"/>
  <c r="S386" i="4"/>
  <c r="S361" i="4"/>
  <c r="S328" i="4"/>
  <c r="S330" i="4"/>
  <c r="S326" i="4"/>
  <c r="S321" i="4"/>
  <c r="S316" i="4"/>
  <c r="S311" i="4"/>
  <c r="S306" i="4"/>
  <c r="S301" i="4"/>
  <c r="S296" i="4"/>
  <c r="S291" i="4"/>
  <c r="S286" i="4"/>
  <c r="S281" i="4"/>
  <c r="S276" i="4"/>
  <c r="S271" i="4"/>
  <c r="S266" i="4"/>
  <c r="S261" i="4"/>
  <c r="S256" i="4"/>
  <c r="S251" i="4"/>
  <c r="S246" i="4"/>
  <c r="S376" i="4"/>
  <c r="S351" i="4"/>
  <c r="S332" i="4"/>
  <c r="S324" i="4"/>
  <c r="S319" i="4"/>
  <c r="S314" i="4"/>
  <c r="S309" i="4"/>
  <c r="S304" i="4"/>
  <c r="S299" i="4"/>
  <c r="S294" i="4"/>
  <c r="S289" i="4"/>
  <c r="S284" i="4"/>
  <c r="S279" i="4"/>
  <c r="S274" i="4"/>
  <c r="S269" i="4"/>
  <c r="S264" i="4"/>
  <c r="S259" i="4"/>
  <c r="S254" i="4"/>
  <c r="S249" i="4"/>
  <c r="S244" i="4"/>
  <c r="S366" i="4"/>
  <c r="S336" i="4"/>
  <c r="S327" i="4"/>
  <c r="S322" i="4"/>
  <c r="S317" i="4"/>
  <c r="S312" i="4"/>
  <c r="S307" i="4"/>
  <c r="S302" i="4"/>
  <c r="S297" i="4"/>
  <c r="S292" i="4"/>
  <c r="S287" i="4"/>
  <c r="S282" i="4"/>
  <c r="S277" i="4"/>
  <c r="S272" i="4"/>
  <c r="S267" i="4"/>
  <c r="S262" i="4"/>
  <c r="S257" i="4"/>
  <c r="S252" i="4"/>
  <c r="S247" i="4"/>
  <c r="S242" i="4"/>
  <c r="S381" i="4"/>
  <c r="S356" i="4"/>
  <c r="S341" i="4"/>
  <c r="S331" i="4"/>
  <c r="S325" i="4"/>
  <c r="S320" i="4"/>
  <c r="S315" i="4"/>
  <c r="S371" i="4"/>
  <c r="S346" i="4"/>
  <c r="S333" i="4"/>
  <c r="S323" i="4"/>
  <c r="S318" i="4"/>
  <c r="S313" i="4"/>
  <c r="S308" i="4"/>
  <c r="S303" i="4"/>
  <c r="S298" i="4"/>
  <c r="S293" i="4"/>
  <c r="S288" i="4"/>
  <c r="S283" i="4"/>
  <c r="S278" i="4"/>
  <c r="S273" i="4"/>
  <c r="S268" i="4"/>
  <c r="S263" i="4"/>
  <c r="S258" i="4"/>
  <c r="S253" i="4"/>
  <c r="S248" i="4"/>
  <c r="S243" i="4"/>
  <c r="S295" i="4"/>
  <c r="S270" i="4"/>
  <c r="S245" i="4"/>
  <c r="S236" i="4"/>
  <c r="S231" i="4"/>
  <c r="S226" i="4"/>
  <c r="S221" i="4"/>
  <c r="S216" i="4"/>
  <c r="S211" i="4"/>
  <c r="S206" i="4"/>
  <c r="S201" i="4"/>
  <c r="S196" i="4"/>
  <c r="S191" i="4"/>
  <c r="S186" i="4"/>
  <c r="S181" i="4"/>
  <c r="S176" i="4"/>
  <c r="S171" i="4"/>
  <c r="S166" i="4"/>
  <c r="S161" i="4"/>
  <c r="S156" i="4"/>
  <c r="S151" i="4"/>
  <c r="S146" i="4"/>
  <c r="S141" i="4"/>
  <c r="S241" i="4"/>
  <c r="S310" i="4"/>
  <c r="S285" i="4"/>
  <c r="S260" i="4"/>
  <c r="S239" i="4"/>
  <c r="S234" i="4"/>
  <c r="S229" i="4"/>
  <c r="S224" i="4"/>
  <c r="S219" i="4"/>
  <c r="S214" i="4"/>
  <c r="S209" i="4"/>
  <c r="S204" i="4"/>
  <c r="S199" i="4"/>
  <c r="S194" i="4"/>
  <c r="S189" i="4"/>
  <c r="S184" i="4"/>
  <c r="S179" i="4"/>
  <c r="S174" i="4"/>
  <c r="S169" i="4"/>
  <c r="S164" i="4"/>
  <c r="S159" i="4"/>
  <c r="S154" i="4"/>
  <c r="S300" i="4"/>
  <c r="S275" i="4"/>
  <c r="S237" i="4"/>
  <c r="S232" i="4"/>
  <c r="S227" i="4"/>
  <c r="S222" i="4"/>
  <c r="S217" i="4"/>
  <c r="S212" i="4"/>
  <c r="S207" i="4"/>
  <c r="S202" i="4"/>
  <c r="S197" i="4"/>
  <c r="S192" i="4"/>
  <c r="S187" i="4"/>
  <c r="S182" i="4"/>
  <c r="S177" i="4"/>
  <c r="S172" i="4"/>
  <c r="S167" i="4"/>
  <c r="S162" i="4"/>
  <c r="S157" i="4"/>
  <c r="S152" i="4"/>
  <c r="S290" i="4"/>
  <c r="S265" i="4"/>
  <c r="S250" i="4"/>
  <c r="S240" i="4"/>
  <c r="S235" i="4"/>
  <c r="S230" i="4"/>
  <c r="S225" i="4"/>
  <c r="S220" i="4"/>
  <c r="S215" i="4"/>
  <c r="S210" i="4"/>
  <c r="S205" i="4"/>
  <c r="S200" i="4"/>
  <c r="S195" i="4"/>
  <c r="S190" i="4"/>
  <c r="S185" i="4"/>
  <c r="S180" i="4"/>
  <c r="S175" i="4"/>
  <c r="S170" i="4"/>
  <c r="S165" i="4"/>
  <c r="S160" i="4"/>
  <c r="S305" i="4"/>
  <c r="S280" i="4"/>
  <c r="S255" i="4"/>
  <c r="S238" i="4"/>
  <c r="S233" i="4"/>
  <c r="S228" i="4"/>
  <c r="S153" i="4"/>
  <c r="S147" i="4"/>
  <c r="S138" i="4"/>
  <c r="S136" i="4"/>
  <c r="S131" i="4"/>
  <c r="S126" i="4"/>
  <c r="S121" i="4"/>
  <c r="S116" i="4"/>
  <c r="S111" i="4"/>
  <c r="S106" i="4"/>
  <c r="S101" i="4"/>
  <c r="S96" i="4"/>
  <c r="S91" i="4"/>
  <c r="S86" i="4"/>
  <c r="S81" i="4"/>
  <c r="S76" i="4"/>
  <c r="S71" i="4"/>
  <c r="S66" i="4"/>
  <c r="S61" i="4"/>
  <c r="S56" i="4"/>
  <c r="S51" i="4"/>
  <c r="S46" i="4"/>
  <c r="S223" i="4"/>
  <c r="S198" i="4"/>
  <c r="S173" i="4"/>
  <c r="S149" i="4"/>
  <c r="S140" i="4"/>
  <c r="S163" i="4"/>
  <c r="S142" i="4"/>
  <c r="S134" i="4"/>
  <c r="S129" i="4"/>
  <c r="S124" i="4"/>
  <c r="S119" i="4"/>
  <c r="S114" i="4"/>
  <c r="S109" i="4"/>
  <c r="S104" i="4"/>
  <c r="S99" i="4"/>
  <c r="S94" i="4"/>
  <c r="S89" i="4"/>
  <c r="S84" i="4"/>
  <c r="S79" i="4"/>
  <c r="S74" i="4"/>
  <c r="S69" i="4"/>
  <c r="S64" i="4"/>
  <c r="S213" i="4"/>
  <c r="S188" i="4"/>
  <c r="S158" i="4"/>
  <c r="S144" i="4"/>
  <c r="S168" i="4"/>
  <c r="S137" i="4"/>
  <c r="S132" i="4"/>
  <c r="S127" i="4"/>
  <c r="S122" i="4"/>
  <c r="S117" i="4"/>
  <c r="S112" i="4"/>
  <c r="S107" i="4"/>
  <c r="S102" i="4"/>
  <c r="S97" i="4"/>
  <c r="S92" i="4"/>
  <c r="S87" i="4"/>
  <c r="S82" i="4"/>
  <c r="S77" i="4"/>
  <c r="S72" i="4"/>
  <c r="S67" i="4"/>
  <c r="S203" i="4"/>
  <c r="S178" i="4"/>
  <c r="S139" i="4"/>
  <c r="S155" i="4"/>
  <c r="S148" i="4"/>
  <c r="S135" i="4"/>
  <c r="S130" i="4"/>
  <c r="S125" i="4"/>
  <c r="S120" i="4"/>
  <c r="S115" i="4"/>
  <c r="S110" i="4"/>
  <c r="S105" i="4"/>
  <c r="S100" i="4"/>
  <c r="S95" i="4"/>
  <c r="S90" i="4"/>
  <c r="S85" i="4"/>
  <c r="S80" i="4"/>
  <c r="S75" i="4"/>
  <c r="S218" i="4"/>
  <c r="S193" i="4"/>
  <c r="S150" i="4"/>
  <c r="S143" i="4"/>
  <c r="S208" i="4"/>
  <c r="S183" i="4"/>
  <c r="S145" i="4"/>
  <c r="S123" i="4"/>
  <c r="S98" i="4"/>
  <c r="S73" i="4"/>
  <c r="S50" i="4"/>
  <c r="S60" i="4"/>
  <c r="S52" i="4"/>
  <c r="S40" i="4"/>
  <c r="S35" i="4"/>
  <c r="S30" i="4"/>
  <c r="S25" i="4"/>
  <c r="S20" i="4"/>
  <c r="S15" i="4"/>
  <c r="S10" i="4"/>
  <c r="S5" i="4"/>
  <c r="S113" i="4"/>
  <c r="S88" i="4"/>
  <c r="S54" i="4"/>
  <c r="S45" i="4"/>
  <c r="S59" i="4"/>
  <c r="S47" i="4"/>
  <c r="S43" i="4"/>
  <c r="S38" i="4"/>
  <c r="S33" i="4"/>
  <c r="S28" i="4"/>
  <c r="S23" i="4"/>
  <c r="S18" i="4"/>
  <c r="S13" i="4"/>
  <c r="S8" i="4"/>
  <c r="S3" i="4"/>
  <c r="S128" i="4"/>
  <c r="S103" i="4"/>
  <c r="S78" i="4"/>
  <c r="S68" i="4"/>
  <c r="S49" i="4"/>
  <c r="S41" i="4"/>
  <c r="S36" i="4"/>
  <c r="S31" i="4"/>
  <c r="S26" i="4"/>
  <c r="S21" i="4"/>
  <c r="S16" i="4"/>
  <c r="S11" i="4"/>
  <c r="S6" i="4"/>
  <c r="S118" i="4"/>
  <c r="S93" i="4"/>
  <c r="S58" i="4"/>
  <c r="S53" i="4"/>
  <c r="S44" i="4"/>
  <c r="S39" i="4"/>
  <c r="S34" i="4"/>
  <c r="S29" i="4"/>
  <c r="S24" i="4"/>
  <c r="S19" i="4"/>
  <c r="S14" i="4"/>
  <c r="S9" i="4"/>
  <c r="S4" i="4"/>
  <c r="S133" i="4"/>
  <c r="S108" i="4"/>
  <c r="S83" i="4"/>
  <c r="S70" i="4"/>
  <c r="S62" i="4"/>
  <c r="S55" i="4"/>
  <c r="S65" i="4"/>
  <c r="S63" i="4"/>
  <c r="S57" i="4"/>
  <c r="S48" i="4"/>
  <c r="S42" i="4"/>
  <c r="S37" i="4"/>
  <c r="S32" i="4"/>
  <c r="S27" i="4"/>
  <c r="S22" i="4"/>
  <c r="S17" i="4"/>
  <c r="S12" i="4"/>
  <c r="S7" i="4"/>
  <c r="S2" i="4"/>
  <c r="AA647" i="4"/>
  <c r="AA637" i="4"/>
  <c r="AA644" i="4"/>
  <c r="AA641" i="4"/>
  <c r="AA648" i="4"/>
  <c r="AA651" i="4"/>
  <c r="AA645" i="4"/>
  <c r="AA649" i="4"/>
  <c r="AA650" i="4"/>
  <c r="AA640" i="4"/>
  <c r="AA633" i="4"/>
  <c r="AA623" i="4"/>
  <c r="AA613" i="4"/>
  <c r="AA603" i="4"/>
  <c r="AA593" i="4"/>
  <c r="AA630" i="4"/>
  <c r="AA620" i="4"/>
  <c r="AA610" i="4"/>
  <c r="AA600" i="4"/>
  <c r="AA590" i="4"/>
  <c r="AA627" i="4"/>
  <c r="AA617" i="4"/>
  <c r="AA607" i="4"/>
  <c r="AA597" i="4"/>
  <c r="AA639" i="4"/>
  <c r="AA634" i="4"/>
  <c r="AA624" i="4"/>
  <c r="AA614" i="4"/>
  <c r="AA604" i="4"/>
  <c r="AA594" i="4"/>
  <c r="AA631" i="4"/>
  <c r="AA621" i="4"/>
  <c r="AA611" i="4"/>
  <c r="AA601" i="4"/>
  <c r="AA591" i="4"/>
  <c r="AA643" i="4"/>
  <c r="AA642" i="4"/>
  <c r="AA628" i="4"/>
  <c r="AA618" i="4"/>
  <c r="AA608" i="4"/>
  <c r="AA598" i="4"/>
  <c r="AA646" i="4"/>
  <c r="AA635" i="4"/>
  <c r="AA625" i="4"/>
  <c r="AA615" i="4"/>
  <c r="AA605" i="4"/>
  <c r="AA595" i="4"/>
  <c r="AA638" i="4"/>
  <c r="AA632" i="4"/>
  <c r="AA629" i="4"/>
  <c r="AA619" i="4"/>
  <c r="AA609" i="4"/>
  <c r="AA599" i="4"/>
  <c r="AA589" i="4"/>
  <c r="AA636" i="4"/>
  <c r="AA612" i="4"/>
  <c r="AA578" i="4"/>
  <c r="AA568" i="4"/>
  <c r="AA558" i="4"/>
  <c r="AA548" i="4"/>
  <c r="AA538" i="4"/>
  <c r="AA528" i="4"/>
  <c r="AA518" i="4"/>
  <c r="AA508" i="4"/>
  <c r="AA498" i="4"/>
  <c r="AA606" i="4"/>
  <c r="AA585" i="4"/>
  <c r="AA575" i="4"/>
  <c r="AA565" i="4"/>
  <c r="AA555" i="4"/>
  <c r="AA545" i="4"/>
  <c r="AA535" i="4"/>
  <c r="AA525" i="4"/>
  <c r="AA515" i="4"/>
  <c r="AA505" i="4"/>
  <c r="AA588" i="4"/>
  <c r="AA582" i="4"/>
  <c r="AA572" i="4"/>
  <c r="AA562" i="4"/>
  <c r="AA552" i="4"/>
  <c r="AA542" i="4"/>
  <c r="AA532" i="4"/>
  <c r="AA522" i="4"/>
  <c r="AA512" i="4"/>
  <c r="AA626" i="4"/>
  <c r="AA592" i="4"/>
  <c r="AA579" i="4"/>
  <c r="AA569" i="4"/>
  <c r="AA559" i="4"/>
  <c r="AA549" i="4"/>
  <c r="AA539" i="4"/>
  <c r="AA529" i="4"/>
  <c r="AA519" i="4"/>
  <c r="AA509" i="4"/>
  <c r="AA602" i="4"/>
  <c r="AA586" i="4"/>
  <c r="AA576" i="4"/>
  <c r="AA566" i="4"/>
  <c r="AA556" i="4"/>
  <c r="AA546" i="4"/>
  <c r="AA536" i="4"/>
  <c r="AA526" i="4"/>
  <c r="AA516" i="4"/>
  <c r="AA506" i="4"/>
  <c r="AA596" i="4"/>
  <c r="AA583" i="4"/>
  <c r="AA573" i="4"/>
  <c r="AA563" i="4"/>
  <c r="AA553" i="4"/>
  <c r="AA543" i="4"/>
  <c r="AA533" i="4"/>
  <c r="AA523" i="4"/>
  <c r="AA513" i="4"/>
  <c r="AA622" i="4"/>
  <c r="AA580" i="4"/>
  <c r="AA570" i="4"/>
  <c r="AA560" i="4"/>
  <c r="AA550" i="4"/>
  <c r="AA540" i="4"/>
  <c r="AA530" i="4"/>
  <c r="AA520" i="4"/>
  <c r="AA510" i="4"/>
  <c r="AA616" i="4"/>
  <c r="AA587" i="4"/>
  <c r="AA577" i="4"/>
  <c r="AA581" i="4"/>
  <c r="AA571" i="4"/>
  <c r="AA561" i="4"/>
  <c r="AA551" i="4"/>
  <c r="AA541" i="4"/>
  <c r="AA531" i="4"/>
  <c r="AA521" i="4"/>
  <c r="AA511" i="4"/>
  <c r="AA567" i="4"/>
  <c r="AA517" i="4"/>
  <c r="AA502" i="4"/>
  <c r="AA485" i="4"/>
  <c r="AA475" i="4"/>
  <c r="AA465" i="4"/>
  <c r="AA455" i="4"/>
  <c r="AA445" i="4"/>
  <c r="AA435" i="4"/>
  <c r="AA425" i="4"/>
  <c r="AA415" i="4"/>
  <c r="AA405" i="4"/>
  <c r="AA564" i="4"/>
  <c r="AA514" i="4"/>
  <c r="AA499" i="4"/>
  <c r="AA497" i="4"/>
  <c r="AA495" i="4"/>
  <c r="AA492" i="4"/>
  <c r="AA482" i="4"/>
  <c r="AA472" i="4"/>
  <c r="AA462" i="4"/>
  <c r="AA452" i="4"/>
  <c r="AA442" i="4"/>
  <c r="AA432" i="4"/>
  <c r="AA422" i="4"/>
  <c r="AA412" i="4"/>
  <c r="AA537" i="4"/>
  <c r="AA504" i="4"/>
  <c r="AA489" i="4"/>
  <c r="AA479" i="4"/>
  <c r="AA469" i="4"/>
  <c r="AA459" i="4"/>
  <c r="AA449" i="4"/>
  <c r="AA439" i="4"/>
  <c r="AA534" i="4"/>
  <c r="AA486" i="4"/>
  <c r="AA476" i="4"/>
  <c r="AA466" i="4"/>
  <c r="AA456" i="4"/>
  <c r="AA446" i="4"/>
  <c r="AA436" i="4"/>
  <c r="AA426" i="4"/>
  <c r="AA557" i="4"/>
  <c r="AA493" i="4"/>
  <c r="AA483" i="4"/>
  <c r="AA473" i="4"/>
  <c r="AA463" i="4"/>
  <c r="AA453" i="4"/>
  <c r="AA443" i="4"/>
  <c r="AA433" i="4"/>
  <c r="AA554" i="4"/>
  <c r="AA501" i="4"/>
  <c r="AA490" i="4"/>
  <c r="AA480" i="4"/>
  <c r="AA470" i="4"/>
  <c r="AA460" i="4"/>
  <c r="AA450" i="4"/>
  <c r="AA440" i="4"/>
  <c r="AA574" i="4"/>
  <c r="AA527" i="4"/>
  <c r="AA496" i="4"/>
  <c r="AA487" i="4"/>
  <c r="AA477" i="4"/>
  <c r="AA467" i="4"/>
  <c r="AA457" i="4"/>
  <c r="AA447" i="4"/>
  <c r="AA437" i="4"/>
  <c r="AA524" i="4"/>
  <c r="AA547" i="4"/>
  <c r="AA500" i="4"/>
  <c r="AA491" i="4"/>
  <c r="AA481" i="4"/>
  <c r="AA471" i="4"/>
  <c r="AA461" i="4"/>
  <c r="AA451" i="4"/>
  <c r="AA441" i="4"/>
  <c r="AA431" i="4"/>
  <c r="AA421" i="4"/>
  <c r="AA584" i="4"/>
  <c r="AA544" i="4"/>
  <c r="AA474" i="4"/>
  <c r="AA428" i="4"/>
  <c r="AA409" i="4"/>
  <c r="AA468" i="4"/>
  <c r="AA429" i="4"/>
  <c r="AA507" i="4"/>
  <c r="AA494" i="4"/>
  <c r="AA444" i="4"/>
  <c r="AA430" i="4"/>
  <c r="AA417" i="4"/>
  <c r="AA406" i="4"/>
  <c r="AA488" i="4"/>
  <c r="AA438" i="4"/>
  <c r="AA414" i="4"/>
  <c r="AA404" i="4"/>
  <c r="AA402" i="4"/>
  <c r="AA464" i="4"/>
  <c r="AA411" i="4"/>
  <c r="AA503" i="4"/>
  <c r="AA458" i="4"/>
  <c r="AA420" i="4"/>
  <c r="AA416" i="4"/>
  <c r="AA408" i="4"/>
  <c r="AA484" i="4"/>
  <c r="AA434" i="4"/>
  <c r="AA419" i="4"/>
  <c r="AA413" i="4"/>
  <c r="AA478" i="4"/>
  <c r="AA410" i="4"/>
  <c r="AA454" i="4"/>
  <c r="AA427" i="4"/>
  <c r="AA424" i="4"/>
  <c r="AA407" i="4"/>
  <c r="AA403" i="4"/>
  <c r="AA448" i="4"/>
  <c r="AA423" i="4"/>
  <c r="AA418" i="4"/>
  <c r="AK650" i="4"/>
  <c r="AK647" i="4"/>
  <c r="AK637" i="4"/>
  <c r="AK644" i="4"/>
  <c r="AK641" i="4"/>
  <c r="AK648" i="4"/>
  <c r="AK645" i="4"/>
  <c r="AK651" i="4"/>
  <c r="AK649" i="4"/>
  <c r="AK633" i="4"/>
  <c r="AK623" i="4"/>
  <c r="AK613" i="4"/>
  <c r="AK603" i="4"/>
  <c r="AK593" i="4"/>
  <c r="AK630" i="4"/>
  <c r="AK620" i="4"/>
  <c r="AK610" i="4"/>
  <c r="AK600" i="4"/>
  <c r="AK590" i="4"/>
  <c r="AK627" i="4"/>
  <c r="AK617" i="4"/>
  <c r="AK607" i="4"/>
  <c r="AK597" i="4"/>
  <c r="AK640" i="4"/>
  <c r="AK634" i="4"/>
  <c r="AK624" i="4"/>
  <c r="AK614" i="4"/>
  <c r="AK604" i="4"/>
  <c r="AK594" i="4"/>
  <c r="AK646" i="4"/>
  <c r="AK631" i="4"/>
  <c r="AK621" i="4"/>
  <c r="AK611" i="4"/>
  <c r="AK601" i="4"/>
  <c r="AK591" i="4"/>
  <c r="AK639" i="4"/>
  <c r="AK628" i="4"/>
  <c r="AK618" i="4"/>
  <c r="AK608" i="4"/>
  <c r="AK598" i="4"/>
  <c r="AK635" i="4"/>
  <c r="AK625" i="4"/>
  <c r="AK615" i="4"/>
  <c r="AK605" i="4"/>
  <c r="AK595" i="4"/>
  <c r="AK632" i="4"/>
  <c r="AK642" i="4"/>
  <c r="AK638" i="4"/>
  <c r="AK629" i="4"/>
  <c r="AK619" i="4"/>
  <c r="AK609" i="4"/>
  <c r="AK599" i="4"/>
  <c r="AK589" i="4"/>
  <c r="AK643" i="4"/>
  <c r="AK636" i="4"/>
  <c r="AK578" i="4"/>
  <c r="AK568" i="4"/>
  <c r="AK558" i="4"/>
  <c r="AK548" i="4"/>
  <c r="AK538" i="4"/>
  <c r="AK528" i="4"/>
  <c r="AK518" i="4"/>
  <c r="AK508" i="4"/>
  <c r="AK498" i="4"/>
  <c r="AK626" i="4"/>
  <c r="AK585" i="4"/>
  <c r="AK575" i="4"/>
  <c r="AK565" i="4"/>
  <c r="AK555" i="4"/>
  <c r="AK545" i="4"/>
  <c r="AK535" i="4"/>
  <c r="AK525" i="4"/>
  <c r="AK515" i="4"/>
  <c r="AK505" i="4"/>
  <c r="AK602" i="4"/>
  <c r="AK582" i="4"/>
  <c r="AK572" i="4"/>
  <c r="AK562" i="4"/>
  <c r="AK552" i="4"/>
  <c r="AK542" i="4"/>
  <c r="AK532" i="4"/>
  <c r="AK522" i="4"/>
  <c r="AK512" i="4"/>
  <c r="AK596" i="4"/>
  <c r="AK588" i="4"/>
  <c r="AK579" i="4"/>
  <c r="AK569" i="4"/>
  <c r="AK559" i="4"/>
  <c r="AK549" i="4"/>
  <c r="AK539" i="4"/>
  <c r="AK529" i="4"/>
  <c r="AK519" i="4"/>
  <c r="AK509" i="4"/>
  <c r="AK622" i="4"/>
  <c r="AK586" i="4"/>
  <c r="AK576" i="4"/>
  <c r="AK566" i="4"/>
  <c r="AK556" i="4"/>
  <c r="AK546" i="4"/>
  <c r="AK536" i="4"/>
  <c r="AK526" i="4"/>
  <c r="AK516" i="4"/>
  <c r="AK506" i="4"/>
  <c r="AK616" i="4"/>
  <c r="AK583" i="4"/>
  <c r="AK573" i="4"/>
  <c r="AK563" i="4"/>
  <c r="AK553" i="4"/>
  <c r="AK543" i="4"/>
  <c r="AK533" i="4"/>
  <c r="AK523" i="4"/>
  <c r="AK513" i="4"/>
  <c r="AK580" i="4"/>
  <c r="AK570" i="4"/>
  <c r="AK560" i="4"/>
  <c r="AK550" i="4"/>
  <c r="AK540" i="4"/>
  <c r="AK530" i="4"/>
  <c r="AK520" i="4"/>
  <c r="AK510" i="4"/>
  <c r="AK577" i="4"/>
  <c r="AK612" i="4"/>
  <c r="AK606" i="4"/>
  <c r="AK592" i="4"/>
  <c r="AK581" i="4"/>
  <c r="AK571" i="4"/>
  <c r="AK561" i="4"/>
  <c r="AK551" i="4"/>
  <c r="AK541" i="4"/>
  <c r="AK531" i="4"/>
  <c r="AK521" i="4"/>
  <c r="AK511" i="4"/>
  <c r="AK537" i="4"/>
  <c r="AK500" i="4"/>
  <c r="AK485" i="4"/>
  <c r="AK475" i="4"/>
  <c r="AK465" i="4"/>
  <c r="AK455" i="4"/>
  <c r="AK445" i="4"/>
  <c r="AK435" i="4"/>
  <c r="AK425" i="4"/>
  <c r="AK415" i="4"/>
  <c r="AK405" i="4"/>
  <c r="AK534" i="4"/>
  <c r="AK492" i="4"/>
  <c r="AK482" i="4"/>
  <c r="AK472" i="4"/>
  <c r="AK462" i="4"/>
  <c r="AK452" i="4"/>
  <c r="AK442" i="4"/>
  <c r="AK432" i="4"/>
  <c r="AK422" i="4"/>
  <c r="AK412" i="4"/>
  <c r="AK557" i="4"/>
  <c r="AK497" i="4"/>
  <c r="AK495" i="4"/>
  <c r="AK489" i="4"/>
  <c r="AK479" i="4"/>
  <c r="AK469" i="4"/>
  <c r="AK459" i="4"/>
  <c r="AK449" i="4"/>
  <c r="AK439" i="4"/>
  <c r="AK587" i="4"/>
  <c r="AK554" i="4"/>
  <c r="AK502" i="4"/>
  <c r="AK499" i="4"/>
  <c r="AK486" i="4"/>
  <c r="AK476" i="4"/>
  <c r="AK466" i="4"/>
  <c r="AK456" i="4"/>
  <c r="AK446" i="4"/>
  <c r="AK436" i="4"/>
  <c r="AK426" i="4"/>
  <c r="AK527" i="4"/>
  <c r="AK503" i="4"/>
  <c r="AK493" i="4"/>
  <c r="AK483" i="4"/>
  <c r="AK473" i="4"/>
  <c r="AK463" i="4"/>
  <c r="AK453" i="4"/>
  <c r="AK443" i="4"/>
  <c r="AK433" i="4"/>
  <c r="AK574" i="4"/>
  <c r="AK524" i="4"/>
  <c r="AK507" i="4"/>
  <c r="AK490" i="4"/>
  <c r="AK480" i="4"/>
  <c r="AK470" i="4"/>
  <c r="AK460" i="4"/>
  <c r="AK450" i="4"/>
  <c r="AK440" i="4"/>
  <c r="AK430" i="4"/>
  <c r="AK547" i="4"/>
  <c r="AK487" i="4"/>
  <c r="AK477" i="4"/>
  <c r="AK467" i="4"/>
  <c r="AK457" i="4"/>
  <c r="AK447" i="4"/>
  <c r="AK437" i="4"/>
  <c r="AK544" i="4"/>
  <c r="AK504" i="4"/>
  <c r="AK501" i="4"/>
  <c r="AK584" i="4"/>
  <c r="AK567" i="4"/>
  <c r="AK517" i="4"/>
  <c r="AK494" i="4"/>
  <c r="AK491" i="4"/>
  <c r="AK481" i="4"/>
  <c r="AK471" i="4"/>
  <c r="AK461" i="4"/>
  <c r="AK451" i="4"/>
  <c r="AK441" i="4"/>
  <c r="AK431" i="4"/>
  <c r="AK421" i="4"/>
  <c r="AK564" i="4"/>
  <c r="AK514" i="4"/>
  <c r="AK444" i="4"/>
  <c r="AK407" i="4"/>
  <c r="AK488" i="4"/>
  <c r="AK438" i="4"/>
  <c r="AK424" i="4"/>
  <c r="AK464" i="4"/>
  <c r="AK423" i="4"/>
  <c r="AK418" i="4"/>
  <c r="AK409" i="4"/>
  <c r="AK458" i="4"/>
  <c r="AK427" i="4"/>
  <c r="AK406" i="4"/>
  <c r="AK496" i="4"/>
  <c r="AK484" i="4"/>
  <c r="AK434" i="4"/>
  <c r="AK417" i="4"/>
  <c r="AK404" i="4"/>
  <c r="AK402" i="4"/>
  <c r="AK478" i="4"/>
  <c r="AK428" i="4"/>
  <c r="AK414" i="4"/>
  <c r="AK454" i="4"/>
  <c r="AK429" i="4"/>
  <c r="AK411" i="4"/>
  <c r="AK448" i="4"/>
  <c r="AK416" i="4"/>
  <c r="AK408" i="4"/>
  <c r="AK474" i="4"/>
  <c r="AK420" i="4"/>
  <c r="AK413" i="4"/>
  <c r="AK468" i="4"/>
  <c r="AK419" i="4"/>
  <c r="AK410" i="4"/>
  <c r="AK403" i="4"/>
  <c r="G94" i="2"/>
  <c r="G147" i="2"/>
  <c r="G250" i="2"/>
  <c r="G551" i="2"/>
  <c r="G326" i="2"/>
  <c r="G282" i="2"/>
  <c r="G417" i="2"/>
  <c r="G352" i="2"/>
  <c r="G500" i="2"/>
  <c r="G399" i="2"/>
  <c r="G446" i="2"/>
  <c r="G371" i="2"/>
  <c r="G439" i="2"/>
  <c r="G518" i="2"/>
  <c r="G477" i="2"/>
  <c r="G522" i="2"/>
  <c r="G257" i="2"/>
  <c r="G468" i="2"/>
  <c r="G413" i="2"/>
  <c r="G346" i="2"/>
  <c r="G313" i="2"/>
  <c r="G433" i="2"/>
  <c r="G438" i="2"/>
  <c r="G312" i="2"/>
  <c r="G374" i="2"/>
  <c r="G542" i="2"/>
  <c r="G353" i="2"/>
  <c r="G397" i="2"/>
  <c r="G441" i="2"/>
  <c r="G268" i="2"/>
  <c r="G426" i="2"/>
  <c r="G432" i="2"/>
  <c r="G552" i="2"/>
  <c r="G508" i="2"/>
  <c r="G582" i="2"/>
  <c r="G300" i="2"/>
  <c r="G382" i="2"/>
  <c r="G529" i="2"/>
  <c r="G335" i="2"/>
  <c r="G406" i="2"/>
  <c r="G331" i="2"/>
  <c r="G354" i="2"/>
  <c r="G380" i="2"/>
  <c r="G327" i="2"/>
  <c r="G295" i="2"/>
  <c r="G306" i="2"/>
  <c r="G465" i="2"/>
  <c r="G482" i="2"/>
  <c r="G369" i="2"/>
  <c r="L23" i="3"/>
  <c r="Q23" i="3"/>
  <c r="R23" i="3"/>
  <c r="J23" i="3"/>
  <c r="T23" i="3"/>
  <c r="E6" i="9" l="1"/>
  <c r="D12" i="9" s="1"/>
  <c r="F11" i="3"/>
  <c r="E2" i="10"/>
  <c r="F17" i="3"/>
  <c r="E45" i="15"/>
  <c r="E43" i="17"/>
  <c r="E48" i="15"/>
  <c r="E32" i="17"/>
  <c r="E101" i="15"/>
  <c r="E119" i="17"/>
  <c r="E19" i="16"/>
  <c r="E114" i="17"/>
  <c r="E226" i="17"/>
  <c r="E72" i="16"/>
  <c r="E46" i="15"/>
  <c r="E46" i="17"/>
  <c r="E2" i="15"/>
  <c r="E2" i="17"/>
  <c r="E171" i="17"/>
  <c r="E33" i="16"/>
  <c r="E7" i="16"/>
  <c r="E67" i="17"/>
  <c r="E34" i="15"/>
  <c r="E38" i="17"/>
  <c r="E187" i="17"/>
  <c r="E148" i="15"/>
  <c r="E144" i="15"/>
  <c r="E180" i="17"/>
  <c r="E21" i="16"/>
  <c r="E137" i="17"/>
  <c r="E5" i="16"/>
  <c r="E57" i="17"/>
  <c r="E4" i="15"/>
  <c r="E5" i="17"/>
  <c r="E119" i="15"/>
  <c r="E164" i="17"/>
  <c r="E120" i="15"/>
  <c r="E138" i="17"/>
  <c r="E206" i="17"/>
  <c r="E55" i="16"/>
  <c r="E36" i="16"/>
  <c r="E174" i="17"/>
  <c r="E50" i="15"/>
  <c r="E50" i="17"/>
  <c r="E167" i="17"/>
  <c r="E30" i="16"/>
  <c r="E106" i="15"/>
  <c r="E124" i="17"/>
  <c r="E156" i="17"/>
  <c r="E27" i="16"/>
  <c r="E40" i="15"/>
  <c r="E53" i="17"/>
  <c r="E109" i="15"/>
  <c r="E127" i="17"/>
  <c r="E22" i="16"/>
  <c r="E140" i="17"/>
  <c r="E20" i="11"/>
  <c r="E38" i="13"/>
  <c r="E52" i="6"/>
  <c r="E104" i="12"/>
  <c r="E81" i="12"/>
  <c r="E51" i="6"/>
  <c r="E32" i="7"/>
  <c r="E57" i="13"/>
  <c r="E53" i="13"/>
  <c r="E30" i="7"/>
  <c r="E18" i="8"/>
  <c r="E42" i="12"/>
  <c r="E18" i="11"/>
  <c r="E33" i="13"/>
  <c r="E35" i="8"/>
  <c r="E74" i="12"/>
  <c r="E31" i="12"/>
  <c r="E20" i="6"/>
  <c r="E17" i="12"/>
  <c r="E10" i="6"/>
  <c r="E53" i="8"/>
  <c r="E101" i="12"/>
  <c r="E35" i="7"/>
  <c r="E61" i="13"/>
  <c r="E69" i="12"/>
  <c r="E31" i="8"/>
  <c r="E15" i="13"/>
  <c r="E11" i="11"/>
  <c r="E29" i="7"/>
  <c r="E52" i="13"/>
  <c r="E23" i="12"/>
  <c r="E16" i="6"/>
  <c r="E7" i="11"/>
  <c r="E9" i="13"/>
  <c r="E68" i="12"/>
  <c r="E40" i="6"/>
  <c r="E28" i="7"/>
  <c r="E51" i="13"/>
  <c r="E4" i="7"/>
  <c r="E12" i="13"/>
  <c r="E60" i="6"/>
  <c r="E94" i="12"/>
  <c r="E81" i="17"/>
  <c r="E69" i="15"/>
  <c r="E123" i="17"/>
  <c r="E102" i="15"/>
  <c r="E104" i="15"/>
  <c r="E97" i="17"/>
  <c r="E160" i="17"/>
  <c r="E133" i="15"/>
  <c r="E131" i="15"/>
  <c r="E154" i="17"/>
  <c r="E158" i="15"/>
  <c r="E238" i="17"/>
  <c r="E195" i="17"/>
  <c r="E46" i="16"/>
  <c r="E243" i="17"/>
  <c r="E85" i="16"/>
  <c r="E217" i="17"/>
  <c r="E65" i="16"/>
  <c r="E143" i="15"/>
  <c r="E181" i="17"/>
  <c r="E168" i="17"/>
  <c r="E31" i="16"/>
  <c r="E39" i="16"/>
  <c r="E185" i="17"/>
  <c r="E114" i="15"/>
  <c r="E126" i="17"/>
  <c r="E26" i="15"/>
  <c r="E19" i="17"/>
  <c r="E61" i="15"/>
  <c r="E71" i="17"/>
  <c r="E55" i="15"/>
  <c r="E58" i="17"/>
  <c r="E62" i="15"/>
  <c r="E72" i="17"/>
  <c r="E137" i="15"/>
  <c r="E165" i="17"/>
  <c r="E32" i="15"/>
  <c r="E35" i="17"/>
  <c r="E70" i="15"/>
  <c r="E74" i="17"/>
  <c r="E56" i="17"/>
  <c r="E54" i="15"/>
  <c r="E20" i="15"/>
  <c r="E22" i="17"/>
  <c r="E39" i="15"/>
  <c r="E33" i="17"/>
  <c r="E208" i="17"/>
  <c r="E57" i="16"/>
  <c r="E65" i="15"/>
  <c r="E73" i="17"/>
  <c r="E126" i="15"/>
  <c r="E152" i="17"/>
  <c r="E74" i="15"/>
  <c r="E63" i="17"/>
  <c r="E127" i="15"/>
  <c r="E146" i="17"/>
  <c r="E29" i="16"/>
  <c r="E166" i="17"/>
  <c r="E131" i="17"/>
  <c r="E139" i="15"/>
  <c r="E175" i="17"/>
  <c r="E152" i="15"/>
  <c r="E65" i="17"/>
  <c r="E60" i="15"/>
  <c r="E186" i="17"/>
  <c r="E40" i="16"/>
  <c r="E233" i="17"/>
  <c r="E78" i="16"/>
  <c r="E56" i="16"/>
  <c r="E207" i="17"/>
  <c r="E3" i="16"/>
  <c r="E49" i="17"/>
  <c r="E18" i="15"/>
  <c r="E21" i="17"/>
  <c r="E103" i="15"/>
  <c r="E122" i="17"/>
  <c r="E157" i="17"/>
  <c r="E28" i="16"/>
  <c r="E2" i="7"/>
  <c r="E4" i="13"/>
  <c r="E27" i="11"/>
  <c r="E60" i="13"/>
  <c r="E70" i="13"/>
  <c r="E39" i="7"/>
  <c r="E50" i="7"/>
  <c r="E94" i="13"/>
  <c r="E43" i="12"/>
  <c r="E19" i="8"/>
  <c r="E19" i="6"/>
  <c r="E27" i="12"/>
  <c r="E5" i="11"/>
  <c r="E7" i="13"/>
  <c r="E87" i="12"/>
  <c r="E55" i="6"/>
  <c r="E33" i="8"/>
  <c r="E72" i="12"/>
  <c r="E28" i="8"/>
  <c r="E64" i="12"/>
  <c r="E3" i="7"/>
  <c r="E5" i="13"/>
  <c r="E45" i="7"/>
  <c r="E88" i="13"/>
  <c r="E33" i="6"/>
  <c r="E53" i="12"/>
  <c r="E17" i="6"/>
  <c r="E25" i="12"/>
  <c r="E24" i="11"/>
  <c r="E50" i="13"/>
  <c r="E46" i="8"/>
  <c r="E91" i="12"/>
  <c r="E7" i="6"/>
  <c r="E9" i="12"/>
  <c r="E3" i="13"/>
  <c r="E3" i="11"/>
  <c r="E77" i="12"/>
  <c r="E38" i="8"/>
  <c r="E16" i="12"/>
  <c r="E11" i="6"/>
  <c r="E48" i="13"/>
  <c r="E22" i="11"/>
  <c r="E14" i="7"/>
  <c r="E29" i="13"/>
  <c r="E17" i="11"/>
  <c r="E31" i="13"/>
  <c r="E18" i="12"/>
  <c r="E12" i="6"/>
  <c r="E68" i="13"/>
  <c r="E37" i="7"/>
  <c r="E63" i="12"/>
  <c r="E39" i="6"/>
  <c r="E3" i="6"/>
  <c r="E4" i="12"/>
  <c r="E76" i="16"/>
  <c r="E231" i="17"/>
  <c r="E68" i="15"/>
  <c r="E79" i="17"/>
  <c r="E223" i="17"/>
  <c r="E151" i="15"/>
  <c r="E38" i="16"/>
  <c r="E182" i="17"/>
  <c r="E134" i="15"/>
  <c r="E161" i="17"/>
  <c r="E91" i="16"/>
  <c r="E251" i="17"/>
  <c r="E44" i="15"/>
  <c r="E59" i="17"/>
  <c r="E73" i="15"/>
  <c r="E68" i="17"/>
  <c r="E76" i="17"/>
  <c r="E89" i="15"/>
  <c r="E76" i="15"/>
  <c r="E88" i="17"/>
  <c r="E23" i="15"/>
  <c r="E26" i="17"/>
  <c r="E162" i="17"/>
  <c r="E121" i="15"/>
  <c r="E179" i="17"/>
  <c r="E37" i="16"/>
  <c r="E135" i="15"/>
  <c r="E158" i="17"/>
  <c r="E25" i="17"/>
  <c r="E22" i="15"/>
  <c r="E82" i="16"/>
  <c r="E239" i="17"/>
  <c r="E52" i="15"/>
  <c r="E52" i="17"/>
  <c r="E62" i="16"/>
  <c r="E213" i="17"/>
  <c r="E28" i="15"/>
  <c r="E29" i="17"/>
  <c r="E241" i="17"/>
  <c r="E159" i="15"/>
  <c r="E190" i="17"/>
  <c r="E43" i="16"/>
  <c r="E64" i="15"/>
  <c r="E78" i="17"/>
  <c r="E204" i="17"/>
  <c r="E53" i="16"/>
  <c r="E84" i="15"/>
  <c r="E96" i="17"/>
  <c r="E63" i="15"/>
  <c r="E136" i="17"/>
  <c r="E113" i="15"/>
  <c r="E132" i="17"/>
  <c r="E117" i="15"/>
  <c r="E134" i="17"/>
  <c r="E142" i="17"/>
  <c r="E130" i="15"/>
  <c r="E220" i="17"/>
  <c r="E67" i="16"/>
  <c r="E88" i="16"/>
  <c r="E246" i="17"/>
  <c r="E107" i="15"/>
  <c r="E128" i="17"/>
  <c r="E6" i="13"/>
  <c r="E4" i="11"/>
  <c r="E81" i="13"/>
  <c r="E40" i="11"/>
  <c r="E39" i="8"/>
  <c r="E78" i="12"/>
  <c r="E21" i="13"/>
  <c r="E13" i="11"/>
  <c r="E12" i="8"/>
  <c r="E30" i="12"/>
  <c r="E83" i="12"/>
  <c r="E53" i="6"/>
  <c r="E56" i="12"/>
  <c r="E34" i="6"/>
  <c r="E22" i="7"/>
  <c r="E42" i="13"/>
  <c r="E63" i="13"/>
  <c r="E29" i="11"/>
  <c r="E41" i="7"/>
  <c r="E76" i="13"/>
  <c r="E43" i="6"/>
  <c r="E71" i="12"/>
  <c r="E27" i="6"/>
  <c r="E44" i="12"/>
  <c r="E9" i="11"/>
  <c r="E11" i="13"/>
  <c r="E26" i="8"/>
  <c r="E59" i="12"/>
  <c r="E34" i="12"/>
  <c r="E14" i="8"/>
  <c r="E10" i="8"/>
  <c r="E28" i="12"/>
  <c r="E67" i="13"/>
  <c r="E32" i="11"/>
  <c r="E36" i="7"/>
  <c r="E66" i="13"/>
  <c r="E30" i="13"/>
  <c r="E15" i="7"/>
  <c r="E15" i="6"/>
  <c r="E20" i="12"/>
  <c r="E23" i="11"/>
  <c r="E49" i="13"/>
  <c r="E20" i="8"/>
  <c r="E46" i="12"/>
  <c r="E11" i="12"/>
  <c r="E6" i="8"/>
  <c r="E34" i="7"/>
  <c r="E59" i="13"/>
  <c r="E8" i="6"/>
  <c r="E14" i="12"/>
  <c r="E2" i="6"/>
  <c r="E3" i="12"/>
  <c r="E90" i="16"/>
  <c r="E248" i="17"/>
  <c r="E14" i="16"/>
  <c r="E100" i="17"/>
  <c r="E100" i="15"/>
  <c r="E118" i="17"/>
  <c r="E235" i="17"/>
  <c r="E79" i="16"/>
  <c r="E82" i="15"/>
  <c r="E90" i="17"/>
  <c r="E91" i="15"/>
  <c r="E85" i="17"/>
  <c r="E16" i="15"/>
  <c r="E17" i="17"/>
  <c r="E216" i="17"/>
  <c r="E64" i="16"/>
  <c r="E67" i="15"/>
  <c r="E34" i="17"/>
  <c r="E24" i="16"/>
  <c r="E144" i="17"/>
  <c r="E39" i="17"/>
  <c r="E2" i="16"/>
  <c r="E150" i="15"/>
  <c r="E193" i="17"/>
  <c r="E66" i="15"/>
  <c r="E77" i="17"/>
  <c r="E189" i="17"/>
  <c r="E42" i="16"/>
  <c r="E12" i="15"/>
  <c r="E13" i="17"/>
  <c r="E47" i="16"/>
  <c r="E197" i="17"/>
  <c r="E237" i="17"/>
  <c r="E81" i="16"/>
  <c r="E7" i="15"/>
  <c r="E6" i="17"/>
  <c r="E110" i="15"/>
  <c r="E117" i="17"/>
  <c r="E58" i="15"/>
  <c r="E62" i="17"/>
  <c r="E37" i="15"/>
  <c r="E31" i="17"/>
  <c r="E129" i="17"/>
  <c r="E112" i="15"/>
  <c r="E99" i="15"/>
  <c r="E115" i="17"/>
  <c r="E173" i="17"/>
  <c r="E35" i="16"/>
  <c r="E222" i="17"/>
  <c r="E69" i="16"/>
  <c r="E210" i="17"/>
  <c r="E59" i="16"/>
  <c r="E17" i="15"/>
  <c r="E18" i="17"/>
  <c r="E14" i="11"/>
  <c r="E23" i="13"/>
  <c r="E43" i="7"/>
  <c r="E82" i="13"/>
  <c r="E31" i="7"/>
  <c r="E54" i="13"/>
  <c r="E21" i="12"/>
  <c r="E14" i="6"/>
  <c r="E19" i="11"/>
  <c r="E37" i="13"/>
  <c r="E41" i="8"/>
  <c r="E80" i="12"/>
  <c r="E42" i="7"/>
  <c r="E77" i="13"/>
  <c r="E11" i="7"/>
  <c r="E25" i="13"/>
  <c r="E6" i="11"/>
  <c r="E8" i="13"/>
  <c r="E95" i="12"/>
  <c r="E47" i="8"/>
  <c r="E54" i="12"/>
  <c r="E31" i="6"/>
  <c r="E20" i="7"/>
  <c r="E39" i="13"/>
  <c r="E12" i="7"/>
  <c r="E26" i="13"/>
  <c r="E80" i="13"/>
  <c r="E39" i="11"/>
  <c r="E89" i="12"/>
  <c r="E58" i="6"/>
  <c r="E15" i="8"/>
  <c r="E36" i="12"/>
  <c r="E41" i="13"/>
  <c r="E21" i="11"/>
  <c r="E83" i="13"/>
  <c r="E41" i="11"/>
  <c r="E44" i="8"/>
  <c r="E86" i="12"/>
  <c r="E24" i="8"/>
  <c r="E51" i="12"/>
  <c r="E11" i="8"/>
  <c r="E29" i="12"/>
  <c r="E6" i="12"/>
  <c r="E3" i="8"/>
  <c r="E34" i="11"/>
  <c r="E72" i="13"/>
  <c r="E40" i="7"/>
  <c r="E73" i="13"/>
  <c r="E22" i="6"/>
  <c r="E40" i="12"/>
  <c r="E35" i="13"/>
  <c r="E18" i="7"/>
  <c r="E7" i="8"/>
  <c r="E12" i="12"/>
  <c r="E42" i="8"/>
  <c r="E84" i="12"/>
  <c r="E29" i="6"/>
  <c r="E52" i="12"/>
  <c r="E202" i="17"/>
  <c r="E51" i="16"/>
  <c r="E154" i="15"/>
  <c r="E184" i="17"/>
  <c r="E172" i="17"/>
  <c r="E34" i="16"/>
  <c r="E155" i="15"/>
  <c r="E218" i="17"/>
  <c r="E142" i="15"/>
  <c r="E178" i="17"/>
  <c r="E92" i="15"/>
  <c r="E106" i="17"/>
  <c r="E53" i="15"/>
  <c r="E55" i="17"/>
  <c r="E116" i="15"/>
  <c r="E133" i="17"/>
  <c r="E80" i="17"/>
  <c r="E10" i="16"/>
  <c r="E160" i="15"/>
  <c r="E198" i="17"/>
  <c r="E90" i="15"/>
  <c r="E102" i="17"/>
  <c r="E9" i="15"/>
  <c r="E9" i="17"/>
  <c r="E111" i="15"/>
  <c r="E135" i="17"/>
  <c r="E13" i="16"/>
  <c r="E94" i="17"/>
  <c r="E52" i="16"/>
  <c r="E203" i="17"/>
  <c r="E78" i="15"/>
  <c r="E89" i="17"/>
  <c r="E115" i="15"/>
  <c r="E130" i="17"/>
  <c r="E96" i="15"/>
  <c r="E107" i="17"/>
  <c r="E138" i="15"/>
  <c r="E159" i="17"/>
  <c r="E8" i="15"/>
  <c r="E4" i="17"/>
  <c r="E68" i="16"/>
  <c r="E221" i="17"/>
  <c r="E98" i="17"/>
  <c r="E87" i="15"/>
  <c r="E19" i="15"/>
  <c r="E23" i="17"/>
  <c r="E156" i="15"/>
  <c r="E234" i="17"/>
  <c r="E29" i="15"/>
  <c r="E30" i="17"/>
  <c r="E145" i="15"/>
  <c r="E177" i="17"/>
  <c r="E63" i="16"/>
  <c r="E215" i="17"/>
  <c r="E49" i="15"/>
  <c r="E51" i="17"/>
  <c r="E129" i="15"/>
  <c r="E149" i="17"/>
  <c r="E111" i="17"/>
  <c r="E16" i="16"/>
  <c r="E27" i="15"/>
  <c r="E28" i="17"/>
  <c r="E25" i="11"/>
  <c r="E55" i="13"/>
  <c r="E99" i="12"/>
  <c r="E51" i="8"/>
  <c r="E27" i="8"/>
  <c r="E62" i="12"/>
  <c r="E31" i="11"/>
  <c r="E65" i="13"/>
  <c r="E38" i="6"/>
  <c r="E57" i="12"/>
  <c r="E30" i="6"/>
  <c r="E49" i="12"/>
  <c r="E9" i="7"/>
  <c r="E20" i="13"/>
  <c r="E10" i="12"/>
  <c r="E5" i="8"/>
  <c r="E16" i="11"/>
  <c r="E28" i="13"/>
  <c r="E103" i="12"/>
  <c r="E55" i="8"/>
  <c r="E26" i="7"/>
  <c r="E46" i="13"/>
  <c r="E21" i="7"/>
  <c r="E40" i="13"/>
  <c r="E7" i="12"/>
  <c r="E4" i="8"/>
  <c r="E48" i="7"/>
  <c r="E92" i="13"/>
  <c r="E42" i="6"/>
  <c r="E13" i="12"/>
  <c r="E6" i="6"/>
  <c r="E8" i="12"/>
  <c r="E62" i="13"/>
  <c r="E28" i="11"/>
  <c r="E25" i="7"/>
  <c r="E45" i="13"/>
  <c r="E88" i="12"/>
  <c r="E56" i="6"/>
  <c r="E30" i="8"/>
  <c r="E66" i="12"/>
  <c r="E18" i="6"/>
  <c r="E26" i="12"/>
  <c r="E38" i="11"/>
  <c r="E79" i="13"/>
  <c r="E41" i="6"/>
  <c r="E67" i="12"/>
  <c r="E47" i="13"/>
  <c r="E27" i="7"/>
  <c r="E23" i="8"/>
  <c r="E50" i="12"/>
  <c r="E55" i="12"/>
  <c r="E32" i="6"/>
  <c r="E16" i="8"/>
  <c r="E37" i="12"/>
  <c r="E94" i="15"/>
  <c r="E108" i="17"/>
  <c r="E125" i="17"/>
  <c r="E108" i="15"/>
  <c r="E86" i="16"/>
  <c r="E244" i="17"/>
  <c r="E136" i="15"/>
  <c r="E176" i="17"/>
  <c r="E87" i="16"/>
  <c r="E245" i="17"/>
  <c r="E54" i="16"/>
  <c r="E205" i="17"/>
  <c r="E50" i="16"/>
  <c r="E201" i="17"/>
  <c r="E105" i="15"/>
  <c r="E109" i="17"/>
  <c r="E69" i="17"/>
  <c r="E8" i="16"/>
  <c r="E72" i="15"/>
  <c r="E84" i="17"/>
  <c r="E47" i="15"/>
  <c r="E48" i="17"/>
  <c r="E75" i="16"/>
  <c r="E230" i="17"/>
  <c r="E42" i="15"/>
  <c r="E45" i="17"/>
  <c r="E3" i="17"/>
  <c r="E3" i="15"/>
  <c r="E60" i="16"/>
  <c r="E211" i="17"/>
  <c r="E47" i="17"/>
  <c r="E33" i="15"/>
  <c r="E118" i="15"/>
  <c r="E139" i="17"/>
  <c r="E153" i="17"/>
  <c r="E128" i="15"/>
  <c r="E98" i="15"/>
  <c r="E116" i="17"/>
  <c r="E18" i="16"/>
  <c r="E113" i="17"/>
  <c r="E122" i="15"/>
  <c r="E145" i="17"/>
  <c r="E30" i="15"/>
  <c r="E27" i="17"/>
  <c r="E228" i="17"/>
  <c r="E73" i="16"/>
  <c r="E86" i="15"/>
  <c r="E99" i="17"/>
  <c r="E15" i="17"/>
  <c r="E13" i="15"/>
  <c r="E147" i="15"/>
  <c r="E183" i="17"/>
  <c r="E11" i="16"/>
  <c r="E82" i="17"/>
  <c r="E149" i="15"/>
  <c r="E196" i="17"/>
  <c r="E70" i="16"/>
  <c r="E224" i="17"/>
  <c r="E40" i="17"/>
  <c r="E43" i="15"/>
  <c r="E132" i="15"/>
  <c r="E143" i="17"/>
  <c r="E157" i="15"/>
  <c r="E227" i="17"/>
  <c r="E24" i="17"/>
  <c r="E25" i="15"/>
  <c r="E56" i="13"/>
  <c r="E26" i="11"/>
  <c r="E65" i="12"/>
  <c r="E29" i="8"/>
  <c r="E25" i="6"/>
  <c r="E38" i="12"/>
  <c r="E5" i="7"/>
  <c r="E13" i="13"/>
  <c r="E33" i="11"/>
  <c r="E71" i="13"/>
  <c r="E22" i="13"/>
  <c r="E10" i="7"/>
  <c r="E2" i="11"/>
  <c r="E2" i="13"/>
  <c r="E30" i="11"/>
  <c r="E64" i="13"/>
  <c r="E50" i="8"/>
  <c r="E98" i="12"/>
  <c r="E23" i="7"/>
  <c r="E43" i="13"/>
  <c r="E45" i="12"/>
  <c r="E28" i="6"/>
  <c r="E47" i="12"/>
  <c r="E21" i="8"/>
  <c r="E6" i="7"/>
  <c r="E17" i="13"/>
  <c r="E9" i="6"/>
  <c r="E15" i="12"/>
  <c r="E5" i="6"/>
  <c r="E5" i="12"/>
  <c r="E35" i="11"/>
  <c r="E74" i="13"/>
  <c r="E61" i="6"/>
  <c r="E92" i="12"/>
  <c r="E7" i="7"/>
  <c r="E18" i="13"/>
  <c r="E44" i="7"/>
  <c r="E85" i="13"/>
  <c r="E44" i="13"/>
  <c r="E24" i="7"/>
  <c r="E19" i="12"/>
  <c r="E13" i="6"/>
  <c r="E40" i="8"/>
  <c r="E79" i="12"/>
  <c r="E32" i="16"/>
  <c r="E169" i="17"/>
  <c r="E25" i="16"/>
  <c r="E150" i="17"/>
  <c r="E163" i="17"/>
  <c r="E141" i="15"/>
  <c r="E191" i="17"/>
  <c r="E44" i="16"/>
  <c r="E37" i="17"/>
  <c r="E35" i="15"/>
  <c r="E151" i="17"/>
  <c r="E124" i="15"/>
  <c r="E26" i="16"/>
  <c r="E155" i="17"/>
  <c r="E236" i="17"/>
  <c r="E80" i="16"/>
  <c r="E20" i="16"/>
  <c r="E120" i="17"/>
  <c r="E6" i="15"/>
  <c r="E8" i="17"/>
  <c r="E247" i="17"/>
  <c r="E89" i="16"/>
  <c r="E6" i="16"/>
  <c r="E66" i="17"/>
  <c r="E38" i="15"/>
  <c r="E42" i="17"/>
  <c r="E85" i="15"/>
  <c r="E249" i="17"/>
  <c r="E17" i="16"/>
  <c r="E112" i="17"/>
  <c r="E57" i="15"/>
  <c r="E61" i="17"/>
  <c r="E51" i="15"/>
  <c r="E41" i="17"/>
  <c r="E140" i="15"/>
  <c r="E194" i="17"/>
  <c r="E74" i="16"/>
  <c r="E229" i="17"/>
  <c r="E88" i="15"/>
  <c r="E103" i="17"/>
  <c r="E21" i="15"/>
  <c r="E16" i="17"/>
  <c r="E153" i="15"/>
  <c r="E214" i="17"/>
  <c r="E15" i="15"/>
  <c r="E14" i="17"/>
  <c r="E49" i="16"/>
  <c r="E200" i="17"/>
  <c r="E219" i="17"/>
  <c r="E66" i="16"/>
  <c r="E36" i="15"/>
  <c r="E36" i="17"/>
  <c r="E123" i="15"/>
  <c r="E147" i="17"/>
  <c r="E83" i="15"/>
  <c r="E95" i="17"/>
  <c r="E59" i="15"/>
  <c r="E64" i="17"/>
  <c r="E37" i="11"/>
  <c r="E78" i="13"/>
  <c r="E24" i="13"/>
  <c r="E15" i="11"/>
  <c r="E48" i="6"/>
  <c r="E82" i="12"/>
  <c r="E16" i="7"/>
  <c r="E32" i="13"/>
  <c r="E8" i="7"/>
  <c r="E19" i="13"/>
  <c r="E44" i="11"/>
  <c r="E87" i="13"/>
  <c r="E75" i="13"/>
  <c r="E36" i="11"/>
  <c r="E24" i="6"/>
  <c r="E35" i="12"/>
  <c r="E43" i="8"/>
  <c r="E85" i="12"/>
  <c r="E61" i="12"/>
  <c r="E37" i="6"/>
  <c r="E45" i="11"/>
  <c r="E91" i="13"/>
  <c r="E38" i="7"/>
  <c r="E69" i="13"/>
  <c r="E102" i="12"/>
  <c r="E54" i="8"/>
  <c r="E36" i="6"/>
  <c r="E60" i="12"/>
  <c r="E13" i="7"/>
  <c r="E27" i="13"/>
  <c r="E100" i="12"/>
  <c r="E52" i="8"/>
  <c r="E23" i="6"/>
  <c r="E33" i="12"/>
  <c r="E19" i="7"/>
  <c r="E36" i="13"/>
  <c r="E46" i="7"/>
  <c r="E89" i="13"/>
  <c r="E13" i="8"/>
  <c r="E32" i="12"/>
  <c r="E95" i="15"/>
  <c r="E104" i="17"/>
  <c r="E61" i="16"/>
  <c r="E212" i="17"/>
  <c r="E58" i="16"/>
  <c r="E209" i="17"/>
  <c r="E97" i="15"/>
  <c r="E110" i="17"/>
  <c r="E141" i="17"/>
  <c r="E23" i="16"/>
  <c r="E170" i="17"/>
  <c r="E146" i="15"/>
  <c r="E45" i="16"/>
  <c r="E192" i="17"/>
  <c r="E93" i="15"/>
  <c r="E105" i="17"/>
  <c r="E41" i="16"/>
  <c r="E188" i="17"/>
  <c r="E56" i="15"/>
  <c r="E60" i="17"/>
  <c r="E92" i="17"/>
  <c r="E81" i="15"/>
  <c r="E80" i="15"/>
  <c r="E93" i="17"/>
  <c r="E70" i="17"/>
  <c r="E9" i="16"/>
  <c r="E84" i="16"/>
  <c r="E242" i="17"/>
  <c r="E75" i="15"/>
  <c r="E86" i="17"/>
  <c r="E11" i="15"/>
  <c r="E12" i="17"/>
  <c r="E101" i="17"/>
  <c r="E15" i="16"/>
  <c r="E11" i="17"/>
  <c r="E24" i="15"/>
  <c r="E71" i="15"/>
  <c r="E75" i="17"/>
  <c r="E77" i="16"/>
  <c r="E232" i="17"/>
  <c r="E48" i="16"/>
  <c r="E199" i="17"/>
  <c r="E125" i="15"/>
  <c r="E148" i="17"/>
  <c r="E44" i="17"/>
  <c r="E41" i="15"/>
  <c r="E54" i="17"/>
  <c r="E4" i="16"/>
  <c r="E83" i="16"/>
  <c r="E240" i="17"/>
  <c r="E79" i="15"/>
  <c r="E91" i="17"/>
  <c r="E77" i="15"/>
  <c r="E87" i="17"/>
  <c r="E31" i="15"/>
  <c r="E121" i="17"/>
  <c r="E20" i="17"/>
  <c r="E14" i="15"/>
  <c r="E12" i="16"/>
  <c r="E83" i="17"/>
  <c r="E161" i="15"/>
  <c r="E250" i="17"/>
  <c r="E7" i="17"/>
  <c r="E5" i="15"/>
  <c r="E225" i="17"/>
  <c r="E71" i="16"/>
  <c r="E10" i="15"/>
  <c r="E10" i="17"/>
  <c r="E43" i="11"/>
  <c r="E86" i="13"/>
  <c r="E8" i="11"/>
  <c r="E10" i="13"/>
  <c r="E49" i="8"/>
  <c r="E97" i="12"/>
  <c r="E73" i="12"/>
  <c r="E34" i="8"/>
  <c r="E59" i="6"/>
  <c r="E93" i="12"/>
  <c r="E90" i="12"/>
  <c r="E45" i="8"/>
  <c r="E2" i="8"/>
  <c r="E2" i="12"/>
  <c r="E84" i="13"/>
  <c r="E42" i="11"/>
  <c r="E26" i="6"/>
  <c r="E41" i="12"/>
  <c r="E17" i="7"/>
  <c r="E34" i="13"/>
  <c r="E16" i="13"/>
  <c r="E12" i="11"/>
  <c r="E8" i="8"/>
  <c r="E22" i="12"/>
  <c r="E48" i="8"/>
  <c r="E96" i="12"/>
  <c r="E37" i="8"/>
  <c r="E76" i="12"/>
  <c r="E14" i="13"/>
  <c r="E10" i="11"/>
  <c r="E49" i="7"/>
  <c r="E93" i="13"/>
  <c r="E32" i="8"/>
  <c r="E70" i="12"/>
  <c r="E39" i="12"/>
  <c r="E17" i="8"/>
  <c r="E24" i="12"/>
  <c r="E9" i="8"/>
  <c r="E58" i="12"/>
  <c r="E25" i="8"/>
  <c r="E47" i="7"/>
  <c r="E90" i="13"/>
  <c r="E33" i="7"/>
  <c r="E58" i="13"/>
  <c r="E75" i="12"/>
  <c r="E36" i="8"/>
  <c r="E22" i="8"/>
  <c r="E48" i="12"/>
  <c r="F42" i="3"/>
  <c r="L42" i="3"/>
  <c r="P23" i="3"/>
  <c r="D16" i="10"/>
  <c r="D104" i="10"/>
  <c r="D36" i="9"/>
  <c r="D45" i="10"/>
  <c r="D65" i="10"/>
  <c r="D31" i="4"/>
  <c r="H373" i="2" s="1"/>
  <c r="D100" i="4"/>
  <c r="D43" i="4"/>
  <c r="H557" i="2" s="1"/>
  <c r="D5" i="4"/>
  <c r="H30" i="2" s="1"/>
  <c r="D59" i="4"/>
  <c r="H152" i="2" s="1"/>
  <c r="D32" i="4"/>
  <c r="H356" i="2" s="1"/>
  <c r="D4" i="4"/>
  <c r="H27" i="2" s="1"/>
  <c r="D55" i="4"/>
  <c r="H59" i="2" s="1"/>
  <c r="D67" i="4"/>
  <c r="H174" i="2" s="1"/>
  <c r="D117" i="4"/>
  <c r="H231" i="2" s="1"/>
  <c r="D151" i="4"/>
  <c r="H641" i="2" s="1"/>
  <c r="D104" i="4"/>
  <c r="H57" i="2" s="1"/>
  <c r="D156" i="4"/>
  <c r="H104" i="2" s="1"/>
  <c r="H2" i="9" s="1"/>
  <c r="D111" i="4"/>
  <c r="H141" i="2" s="1"/>
  <c r="D166" i="4"/>
  <c r="H284" i="2" s="1"/>
  <c r="H14" i="9" s="1"/>
  <c r="D73" i="4"/>
  <c r="H349" i="2" s="1"/>
  <c r="D123" i="4"/>
  <c r="H414" i="2" s="1"/>
  <c r="D190" i="4"/>
  <c r="H561" i="2" s="1"/>
  <c r="H33" i="9" s="1"/>
  <c r="D287" i="4"/>
  <c r="H445" i="2" s="1"/>
  <c r="H99" i="10" s="1"/>
  <c r="D202" i="4"/>
  <c r="H591" i="2" s="1"/>
  <c r="H48" i="9" s="1"/>
  <c r="D272" i="4"/>
  <c r="H234" i="2" s="1"/>
  <c r="H65" i="10" s="1"/>
  <c r="D209" i="4"/>
  <c r="H325" i="2" s="1"/>
  <c r="H35" i="6" s="1"/>
  <c r="D171" i="4"/>
  <c r="H404" i="2" s="1"/>
  <c r="H16" i="9" s="1"/>
  <c r="D221" i="4"/>
  <c r="H6" i="2" s="1"/>
  <c r="H9" i="10" s="1"/>
  <c r="D178" i="4"/>
  <c r="H512" i="2" s="1"/>
  <c r="H28" i="9" s="1"/>
  <c r="D228" i="4"/>
  <c r="H31" i="2" s="1"/>
  <c r="H15" i="10" s="1"/>
  <c r="D329" i="4"/>
  <c r="H458" i="2" s="1"/>
  <c r="H114" i="10" s="1"/>
  <c r="D289" i="4"/>
  <c r="H359" i="2" s="1"/>
  <c r="H85" i="10" s="1"/>
  <c r="D360" i="4"/>
  <c r="H18" i="2" s="1"/>
  <c r="D291" i="4"/>
  <c r="H333" i="2" s="1"/>
  <c r="H59" i="10" s="1"/>
  <c r="D338" i="4"/>
  <c r="H599" i="2" s="1"/>
  <c r="H133" i="10" s="1"/>
  <c r="D268" i="4"/>
  <c r="H279" i="2" s="1"/>
  <c r="H66" i="10" s="1"/>
  <c r="D318" i="4"/>
  <c r="H457" i="2" s="1"/>
  <c r="H102" i="10" s="1"/>
  <c r="D275" i="4"/>
  <c r="H238" i="2" s="1"/>
  <c r="H68" i="10" s="1"/>
  <c r="D325" i="4"/>
  <c r="H449" i="2" s="1"/>
  <c r="H109" i="10" s="1"/>
  <c r="D383" i="4"/>
  <c r="H497" i="2" s="1"/>
  <c r="D362" i="4"/>
  <c r="H47" i="2" s="1"/>
  <c r="D354" i="4"/>
  <c r="H612" i="2" s="1"/>
  <c r="H124" i="10" s="1"/>
  <c r="D401" i="4"/>
  <c r="H647" i="2" s="1"/>
  <c r="D391" i="4"/>
  <c r="H525" i="2" s="1"/>
  <c r="D56" i="10"/>
  <c r="D411" i="4"/>
  <c r="H21" i="2" s="1"/>
  <c r="D429" i="4"/>
  <c r="H62" i="2" s="1"/>
  <c r="D419" i="4"/>
  <c r="H96" i="2" s="1"/>
  <c r="D436" i="4"/>
  <c r="H108" i="2" s="1"/>
  <c r="D539" i="4"/>
  <c r="H468" i="2" s="1"/>
  <c r="D542" i="4"/>
  <c r="H382" i="2" s="1"/>
  <c r="D519" i="4"/>
  <c r="H285" i="2" s="1"/>
  <c r="D431" i="4"/>
  <c r="H134" i="2" s="1"/>
  <c r="D454" i="4"/>
  <c r="H246" i="2" s="1"/>
  <c r="D447" i="4"/>
  <c r="H155" i="2" s="1"/>
  <c r="D430" i="4"/>
  <c r="H107" i="2" s="1"/>
  <c r="D516" i="4"/>
  <c r="H455" i="2" s="1"/>
  <c r="D572" i="4"/>
  <c r="H75" i="2" s="1"/>
  <c r="D585" i="4"/>
  <c r="H190" i="2" s="1"/>
  <c r="D511" i="4"/>
  <c r="H413" i="2" s="1"/>
  <c r="D514" i="4"/>
  <c r="H522" i="2" s="1"/>
  <c r="D537" i="4"/>
  <c r="H518" i="2" s="1"/>
  <c r="D520" i="4"/>
  <c r="H381" i="2" s="1"/>
  <c r="D513" i="4"/>
  <c r="H328" i="2" s="1"/>
  <c r="D631" i="4"/>
  <c r="H431" i="2" s="1"/>
  <c r="D620" i="4"/>
  <c r="H283" i="2" s="1"/>
  <c r="D626" i="4"/>
  <c r="H519" i="2" s="1"/>
  <c r="D622" i="4"/>
  <c r="H274" i="2" s="1"/>
  <c r="D588" i="4"/>
  <c r="H302" i="2" s="1"/>
  <c r="D639" i="4"/>
  <c r="H295" i="2" s="1"/>
  <c r="D102" i="10"/>
  <c r="D93" i="10"/>
  <c r="D8" i="9"/>
  <c r="D37" i="10"/>
  <c r="D35" i="10"/>
  <c r="D5" i="10"/>
  <c r="D127" i="10"/>
  <c r="D38" i="10"/>
  <c r="D32" i="9"/>
  <c r="D36" i="4"/>
  <c r="H363" i="2" s="1"/>
  <c r="D125" i="4"/>
  <c r="H310" i="2" s="1"/>
  <c r="D49" i="4"/>
  <c r="H645" i="2" s="1"/>
  <c r="D10" i="4"/>
  <c r="H121" i="2" s="1"/>
  <c r="D52" i="4"/>
  <c r="H41" i="2" s="1"/>
  <c r="D37" i="4"/>
  <c r="H470" i="2" s="1"/>
  <c r="D9" i="4"/>
  <c r="H98" i="2" s="1"/>
  <c r="D143" i="4"/>
  <c r="H589" i="2" s="1"/>
  <c r="D72" i="4"/>
  <c r="H228" i="2" s="1"/>
  <c r="D122" i="4"/>
  <c r="H260" i="2" s="1"/>
  <c r="D155" i="4"/>
  <c r="H76" i="2" s="1"/>
  <c r="H3" i="9" s="1"/>
  <c r="D109" i="4"/>
  <c r="H217" i="2" s="1"/>
  <c r="D195" i="4"/>
  <c r="H587" i="2" s="1"/>
  <c r="H44" i="9" s="1"/>
  <c r="D116" i="4"/>
  <c r="H278" i="2" s="1"/>
  <c r="D147" i="4"/>
  <c r="H625" i="2" s="1"/>
  <c r="D78" i="4"/>
  <c r="H418" i="2" s="1"/>
  <c r="D128" i="4"/>
  <c r="H375" i="2" s="1"/>
  <c r="D215" i="4"/>
  <c r="H581" i="2" s="1"/>
  <c r="H45" i="6" s="1"/>
  <c r="D312" i="4"/>
  <c r="H493" i="2" s="1"/>
  <c r="H108" i="10" s="1"/>
  <c r="D207" i="4"/>
  <c r="D297" i="4"/>
  <c r="H366" i="2" s="1"/>
  <c r="H94" i="10" s="1"/>
  <c r="D214" i="4"/>
  <c r="H615" i="2" s="1"/>
  <c r="H47" i="6" s="1"/>
  <c r="D176" i="4"/>
  <c r="H516" i="2" s="1"/>
  <c r="H26" i="9" s="1"/>
  <c r="D226" i="4"/>
  <c r="H12" i="2" s="1"/>
  <c r="H4" i="10" s="1"/>
  <c r="D183" i="4"/>
  <c r="H533" i="2" s="1"/>
  <c r="H29" i="9" s="1"/>
  <c r="D233" i="4"/>
  <c r="H50" i="2" s="1"/>
  <c r="H13" i="10" s="1"/>
  <c r="D334" i="4"/>
  <c r="H536" i="2" s="1"/>
  <c r="H118" i="10" s="1"/>
  <c r="D294" i="4"/>
  <c r="H289" i="2" s="1"/>
  <c r="H54" i="10" s="1"/>
  <c r="D385" i="4"/>
  <c r="H484" i="2" s="1"/>
  <c r="D296" i="4"/>
  <c r="H389" i="2" s="1"/>
  <c r="H84" i="10" s="1"/>
  <c r="D339" i="4"/>
  <c r="H576" i="2" s="1"/>
  <c r="H122" i="10" s="1"/>
  <c r="D273" i="4"/>
  <c r="H272" i="2" s="1"/>
  <c r="H56" i="10" s="1"/>
  <c r="D323" i="4"/>
  <c r="H403" i="2" s="1"/>
  <c r="H92" i="10" s="1"/>
  <c r="D280" i="4"/>
  <c r="H263" i="2" s="1"/>
  <c r="H58" i="10" s="1"/>
  <c r="D333" i="4"/>
  <c r="H494" i="2" s="1"/>
  <c r="H110" i="10" s="1"/>
  <c r="D388" i="4"/>
  <c r="H409" i="2" s="1"/>
  <c r="D367" i="4"/>
  <c r="H80" i="2" s="1"/>
  <c r="D359" i="4"/>
  <c r="H16" i="2" s="1"/>
  <c r="D346" i="4"/>
  <c r="H622" i="2" s="1"/>
  <c r="H139" i="10" s="1"/>
  <c r="D396" i="4"/>
  <c r="H575" i="2" s="1"/>
  <c r="D84" i="10"/>
  <c r="D443" i="4"/>
  <c r="H126" i="2" s="1"/>
  <c r="D479" i="4"/>
  <c r="H247" i="2" s="1"/>
  <c r="D433" i="4"/>
  <c r="H180" i="2" s="1"/>
  <c r="D446" i="4"/>
  <c r="H147" i="2" s="1"/>
  <c r="D432" i="4"/>
  <c r="H94" i="2" s="1"/>
  <c r="D435" i="4"/>
  <c r="H129" i="2" s="1"/>
  <c r="D569" i="4"/>
  <c r="H66" i="2" s="1"/>
  <c r="D441" i="4"/>
  <c r="H88" i="2" s="1"/>
  <c r="D464" i="4"/>
  <c r="H221" i="2" s="1"/>
  <c r="D457" i="4"/>
  <c r="H191" i="2" s="1"/>
  <c r="D440" i="4"/>
  <c r="H169" i="2" s="1"/>
  <c r="D526" i="4"/>
  <c r="H398" i="2" s="1"/>
  <c r="D582" i="4"/>
  <c r="H159" i="2" s="1"/>
  <c r="D508" i="4"/>
  <c r="H400" i="2" s="1"/>
  <c r="D521" i="4"/>
  <c r="H508" i="2" s="1"/>
  <c r="D524" i="4"/>
  <c r="H436" i="2" s="1"/>
  <c r="D547" i="4"/>
  <c r="H451" i="2" s="1"/>
  <c r="D530" i="4"/>
  <c r="H490" i="2" s="1"/>
  <c r="D523" i="4"/>
  <c r="H495" i="2" s="1"/>
  <c r="D594" i="4"/>
  <c r="H346" i="2" s="1"/>
  <c r="D630" i="4"/>
  <c r="H441" i="2" s="1"/>
  <c r="D636" i="4"/>
  <c r="H476" i="2" s="1"/>
  <c r="D632" i="4"/>
  <c r="H353" i="2" s="1"/>
  <c r="D598" i="4"/>
  <c r="H297" i="2" s="1"/>
  <c r="D649" i="4"/>
  <c r="H469" i="2" s="1"/>
  <c r="D91" i="10"/>
  <c r="D89" i="10"/>
  <c r="D15" i="10"/>
  <c r="D22" i="10"/>
  <c r="D77" i="10"/>
  <c r="D19" i="9"/>
  <c r="D46" i="4"/>
  <c r="H621" i="2" s="1"/>
  <c r="D41" i="4"/>
  <c r="H563" i="2" s="1"/>
  <c r="D3" i="4"/>
  <c r="H15" i="2" s="1"/>
  <c r="D64" i="4"/>
  <c r="H144" i="2" s="1"/>
  <c r="D15" i="4"/>
  <c r="H139" i="2" s="1"/>
  <c r="D95" i="4"/>
  <c r="H609" i="2" s="1"/>
  <c r="D42" i="4"/>
  <c r="H473" i="2" s="1"/>
  <c r="D14" i="4"/>
  <c r="H163" i="2" s="1"/>
  <c r="D150" i="4"/>
  <c r="H628" i="2" s="1"/>
  <c r="D77" i="4"/>
  <c r="H329" i="2" s="1"/>
  <c r="D127" i="4"/>
  <c r="H442" i="2" s="1"/>
  <c r="D185" i="4"/>
  <c r="H558" i="2" s="1"/>
  <c r="H39" i="9" s="1"/>
  <c r="D114" i="4"/>
  <c r="H242" i="2" s="1"/>
  <c r="D220" i="4"/>
  <c r="H2" i="2" s="1"/>
  <c r="H3" i="10" s="1"/>
  <c r="D121" i="4"/>
  <c r="H340" i="2" s="1"/>
  <c r="D158" i="4"/>
  <c r="H162" i="2" s="1"/>
  <c r="H8" i="9" s="1"/>
  <c r="D83" i="4"/>
  <c r="H351" i="2" s="1"/>
  <c r="D133" i="4"/>
  <c r="H502" i="2" s="1"/>
  <c r="D230" i="4"/>
  <c r="H33" i="2" s="1"/>
  <c r="H11" i="10" s="1"/>
  <c r="D242" i="4"/>
  <c r="H70" i="2" s="1"/>
  <c r="H32" i="10" s="1"/>
  <c r="D212" i="4"/>
  <c r="H624" i="2" s="1"/>
  <c r="H49" i="6" s="1"/>
  <c r="D254" i="4"/>
  <c r="H120" i="2" s="1"/>
  <c r="H31" i="10" s="1"/>
  <c r="D219" i="4"/>
  <c r="H650" i="2" s="1"/>
  <c r="H63" i="6" s="1"/>
  <c r="D181" i="4"/>
  <c r="H534" i="2" s="1"/>
  <c r="H23" i="9" s="1"/>
  <c r="D231" i="4"/>
  <c r="H38" i="2" s="1"/>
  <c r="H19" i="10" s="1"/>
  <c r="D188" i="4"/>
  <c r="H546" i="2" s="1"/>
  <c r="H35" i="9" s="1"/>
  <c r="D238" i="4"/>
  <c r="H63" i="2" s="1"/>
  <c r="H24" i="10" s="1"/>
  <c r="D350" i="4"/>
  <c r="H613" i="2" s="1"/>
  <c r="H137" i="10" s="1"/>
  <c r="D299" i="4"/>
  <c r="H341" i="2" s="1"/>
  <c r="H80" i="10" s="1"/>
  <c r="D251" i="4"/>
  <c r="H118" i="2" s="1"/>
  <c r="H34" i="10" s="1"/>
  <c r="D301" i="4"/>
  <c r="H392" i="2" s="1"/>
  <c r="H81" i="10" s="1"/>
  <c r="D340" i="4"/>
  <c r="H574" i="2" s="1"/>
  <c r="H128" i="10" s="1"/>
  <c r="D278" i="4"/>
  <c r="H265" i="2" s="1"/>
  <c r="H62" i="10" s="1"/>
  <c r="D328" i="4"/>
  <c r="H535" i="2" s="1"/>
  <c r="H116" i="10" s="1"/>
  <c r="D285" i="4"/>
  <c r="H277" i="2" s="1"/>
  <c r="H67" i="10" s="1"/>
  <c r="D343" i="4"/>
  <c r="H298" i="2" s="1"/>
  <c r="H77" i="10" s="1"/>
  <c r="D393" i="4"/>
  <c r="H425" i="2" s="1"/>
  <c r="D372" i="4"/>
  <c r="H113" i="2" s="1"/>
  <c r="D364" i="4"/>
  <c r="H56" i="2" s="1"/>
  <c r="D351" i="4"/>
  <c r="H540" i="2" s="1"/>
  <c r="H127" i="10" s="1"/>
  <c r="D4" i="9"/>
  <c r="D50" i="10"/>
  <c r="D493" i="4"/>
  <c r="H501" i="2" s="1"/>
  <c r="D403" i="4"/>
  <c r="H19" i="2" s="1"/>
  <c r="D483" i="4"/>
  <c r="H294" i="2" s="1"/>
  <c r="D456" i="4"/>
  <c r="D442" i="4"/>
  <c r="H140" i="2" s="1"/>
  <c r="D445" i="4"/>
  <c r="H194" i="2" s="1"/>
  <c r="D428" i="4"/>
  <c r="H60" i="2" s="1"/>
  <c r="D451" i="4"/>
  <c r="H188" i="2" s="1"/>
  <c r="D474" i="4"/>
  <c r="H338" i="2" s="1"/>
  <c r="D467" i="4"/>
  <c r="H132" i="2" s="1"/>
  <c r="D450" i="4"/>
  <c r="H199" i="2" s="1"/>
  <c r="D536" i="4"/>
  <c r="H588" i="2" s="1"/>
  <c r="D593" i="4"/>
  <c r="H268" i="2" s="1"/>
  <c r="D518" i="4"/>
  <c r="H299" i="2" s="1"/>
  <c r="D531" i="4"/>
  <c r="H339" i="2" s="1"/>
  <c r="D534" i="4"/>
  <c r="H475" i="2" s="1"/>
  <c r="D557" i="4"/>
  <c r="H556" i="2" s="1"/>
  <c r="D540" i="4"/>
  <c r="H432" i="2" s="1"/>
  <c r="D533" i="4"/>
  <c r="H291" i="2" s="1"/>
  <c r="D604" i="4"/>
  <c r="H312" i="2" s="1"/>
  <c r="D643" i="4"/>
  <c r="H411" i="2" s="1"/>
  <c r="D599" i="4"/>
  <c r="H401" i="2" s="1"/>
  <c r="D638" i="4"/>
  <c r="H352" i="2" s="1"/>
  <c r="D608" i="4"/>
  <c r="H300" i="2" s="1"/>
  <c r="D642" i="4"/>
  <c r="H482" i="2" s="1"/>
  <c r="D32" i="10"/>
  <c r="D86" i="10"/>
  <c r="D58" i="10"/>
  <c r="D2" i="10"/>
  <c r="D49" i="10"/>
  <c r="D34" i="10"/>
  <c r="D29" i="10"/>
  <c r="D13" i="10"/>
  <c r="D6" i="9"/>
  <c r="D25" i="10"/>
  <c r="D74" i="10"/>
  <c r="D9" i="10"/>
  <c r="D137" i="10"/>
  <c r="D124" i="10"/>
  <c r="D72" i="10"/>
  <c r="D117" i="10"/>
  <c r="D24" i="9"/>
  <c r="D41" i="9"/>
  <c r="D39" i="9"/>
  <c r="D22" i="9"/>
  <c r="D42" i="9"/>
  <c r="D68" i="10"/>
  <c r="D31" i="10"/>
  <c r="D90" i="4"/>
  <c r="H530" i="2" s="1"/>
  <c r="D53" i="4"/>
  <c r="H40" i="2" s="1"/>
  <c r="D8" i="4"/>
  <c r="H124" i="2" s="1"/>
  <c r="D71" i="4"/>
  <c r="H213" i="2" s="1"/>
  <c r="D20" i="4"/>
  <c r="H189" i="2" s="1"/>
  <c r="D120" i="4"/>
  <c r="H281" i="2" s="1"/>
  <c r="D50" i="4"/>
  <c r="H617" i="2" s="1"/>
  <c r="D19" i="4"/>
  <c r="H168" i="2" s="1"/>
  <c r="D161" i="4"/>
  <c r="H203" i="2" s="1"/>
  <c r="H11" i="9" s="1"/>
  <c r="D82" i="4"/>
  <c r="H358" i="2" s="1"/>
  <c r="D132" i="4"/>
  <c r="H491" i="2" s="1"/>
  <c r="D210" i="4"/>
  <c r="H567" i="2" s="1"/>
  <c r="H46" i="6" s="1"/>
  <c r="D119" i="4"/>
  <c r="H324" i="2" s="1"/>
  <c r="D76" i="4"/>
  <c r="H276" i="2" s="1"/>
  <c r="D126" i="4"/>
  <c r="H488" i="2" s="1"/>
  <c r="D165" i="4"/>
  <c r="H253" i="2" s="1"/>
  <c r="H13" i="9" s="1"/>
  <c r="D88" i="4"/>
  <c r="H549" i="2" s="1"/>
  <c r="D138" i="4"/>
  <c r="H580" i="2" s="1"/>
  <c r="D235" i="4"/>
  <c r="H86" i="2" s="1"/>
  <c r="H22" i="10" s="1"/>
  <c r="D245" i="4"/>
  <c r="H137" i="2" s="1"/>
  <c r="H37" i="10" s="1"/>
  <c r="D217" i="4"/>
  <c r="H357" i="2" s="1"/>
  <c r="H57" i="6" s="1"/>
  <c r="D174" i="4"/>
  <c r="H517" i="2" s="1"/>
  <c r="H25" i="9" s="1"/>
  <c r="D224" i="4"/>
  <c r="H17" i="2" s="1"/>
  <c r="H7" i="10" s="1"/>
  <c r="D186" i="4"/>
  <c r="H541" i="2" s="1"/>
  <c r="H42" i="9" s="1"/>
  <c r="D236" i="4"/>
  <c r="H58" i="2" s="1"/>
  <c r="H23" i="10" s="1"/>
  <c r="D193" i="4"/>
  <c r="H584" i="2" s="1"/>
  <c r="H40" i="9" s="1"/>
  <c r="D277" i="4"/>
  <c r="H220" i="2" s="1"/>
  <c r="H52" i="10" s="1"/>
  <c r="D375" i="4"/>
  <c r="H145" i="2" s="1"/>
  <c r="D304" i="4"/>
  <c r="H379" i="2" s="1"/>
  <c r="H79" i="10" s="1"/>
  <c r="D256" i="4"/>
  <c r="H130" i="2" s="1"/>
  <c r="H30" i="10" s="1"/>
  <c r="D306" i="4"/>
  <c r="H316" i="2" s="1"/>
  <c r="H75" i="10" s="1"/>
  <c r="D330" i="4"/>
  <c r="H600" i="2" s="1"/>
  <c r="H123" i="10" s="1"/>
  <c r="D283" i="4"/>
  <c r="H227" i="2" s="1"/>
  <c r="H51" i="10" s="1"/>
  <c r="D355" i="4"/>
  <c r="H626" i="2" s="1"/>
  <c r="H132" i="10" s="1"/>
  <c r="D290" i="4"/>
  <c r="H334" i="2" s="1"/>
  <c r="H76" i="10" s="1"/>
  <c r="D348" i="4"/>
  <c r="H604" i="2" s="1"/>
  <c r="H136" i="10" s="1"/>
  <c r="D398" i="4"/>
  <c r="H627" i="2" s="1"/>
  <c r="D377" i="4"/>
  <c r="H507" i="2" s="1"/>
  <c r="D369" i="4"/>
  <c r="H89" i="2" s="1"/>
  <c r="D356" i="4"/>
  <c r="H642" i="2" s="1"/>
  <c r="H138" i="10" s="1"/>
  <c r="D57" i="10"/>
  <c r="D76" i="10"/>
  <c r="D94" i="10"/>
  <c r="D425" i="4"/>
  <c r="H93" i="2" s="1"/>
  <c r="D414" i="4"/>
  <c r="H43" i="2" s="1"/>
  <c r="D415" i="4"/>
  <c r="H48" i="2" s="1"/>
  <c r="D509" i="4"/>
  <c r="H417" i="2" s="1"/>
  <c r="D466" i="4"/>
  <c r="H166" i="2" s="1"/>
  <c r="D452" i="4"/>
  <c r="H216" i="2" s="1"/>
  <c r="D455" i="4"/>
  <c r="H181" i="2" s="1"/>
  <c r="D438" i="4"/>
  <c r="H146" i="2" s="1"/>
  <c r="D461" i="4"/>
  <c r="H128" i="2" s="1"/>
  <c r="D484" i="4"/>
  <c r="H326" i="2" s="1"/>
  <c r="D477" i="4"/>
  <c r="H307" i="2" s="1"/>
  <c r="D460" i="4"/>
  <c r="H223" i="2" s="1"/>
  <c r="D546" i="4"/>
  <c r="H528" i="2" s="1"/>
  <c r="D515" i="4"/>
  <c r="H448" i="2" s="1"/>
  <c r="D528" i="4"/>
  <c r="H510" i="2" s="1"/>
  <c r="D541" i="4"/>
  <c r="H548" i="2" s="1"/>
  <c r="D544" i="4"/>
  <c r="H506" i="2" s="1"/>
  <c r="D567" i="4"/>
  <c r="H51" i="2" s="1"/>
  <c r="D550" i="4"/>
  <c r="H598" i="2" s="1"/>
  <c r="D543" i="4"/>
  <c r="H583" i="2" s="1"/>
  <c r="D614" i="4"/>
  <c r="H374" i="2" s="1"/>
  <c r="D603" i="4"/>
  <c r="H240" i="2" s="1"/>
  <c r="D609" i="4"/>
  <c r="H399" i="2" s="1"/>
  <c r="D595" i="4"/>
  <c r="H275" i="2" s="1"/>
  <c r="D618" i="4"/>
  <c r="H521" i="2" s="1"/>
  <c r="D48" i="10"/>
  <c r="D47" i="10"/>
  <c r="D114" i="10"/>
  <c r="D79" i="10"/>
  <c r="D50" i="9"/>
  <c r="D134" i="10"/>
  <c r="D126" i="10"/>
  <c r="D69" i="10"/>
  <c r="D43" i="9"/>
  <c r="D95" i="10"/>
  <c r="D64" i="10"/>
  <c r="D20" i="9"/>
  <c r="D73" i="10"/>
  <c r="D3" i="10"/>
  <c r="D55" i="10"/>
  <c r="D115" i="4"/>
  <c r="H290" i="2" s="1"/>
  <c r="D61" i="4"/>
  <c r="H170" i="2" s="1"/>
  <c r="D13" i="4"/>
  <c r="H115" i="2" s="1"/>
  <c r="D47" i="4"/>
  <c r="H623" i="2" s="1"/>
  <c r="D25" i="4"/>
  <c r="H337" i="2" s="1"/>
  <c r="D2" i="4"/>
  <c r="D60" i="4"/>
  <c r="H131" i="2" s="1"/>
  <c r="D24" i="4"/>
  <c r="H211" i="2" s="1"/>
  <c r="D162" i="4"/>
  <c r="H151" i="2" s="1"/>
  <c r="H10" i="9" s="1"/>
  <c r="D87" i="4"/>
  <c r="H481" i="2" s="1"/>
  <c r="D137" i="4"/>
  <c r="H489" i="2" s="1"/>
  <c r="D74" i="4"/>
  <c r="H648" i="2" s="1"/>
  <c r="D124" i="4"/>
  <c r="H421" i="2" s="1"/>
  <c r="D81" i="4"/>
  <c r="H437" i="2" s="1"/>
  <c r="D131" i="4"/>
  <c r="H443" i="2" s="1"/>
  <c r="D169" i="4"/>
  <c r="H321" i="2" s="1"/>
  <c r="H15" i="9" s="1"/>
  <c r="D93" i="4"/>
  <c r="H637" i="2" s="1"/>
  <c r="D145" i="4"/>
  <c r="H616" i="2" s="1"/>
  <c r="D240" i="4"/>
  <c r="H97" i="2" s="1"/>
  <c r="H17" i="10" s="1"/>
  <c r="D246" i="4"/>
  <c r="H100" i="2" s="1"/>
  <c r="H21" i="10" s="1"/>
  <c r="D222" i="4"/>
  <c r="H3" i="2" s="1"/>
  <c r="H6" i="10" s="1"/>
  <c r="D179" i="4"/>
  <c r="H515" i="2" s="1"/>
  <c r="H19" i="9" s="1"/>
  <c r="D229" i="4"/>
  <c r="H24" i="2" s="1"/>
  <c r="H14" i="10" s="1"/>
  <c r="D191" i="4"/>
  <c r="H592" i="2" s="1"/>
  <c r="H31" i="9" s="1"/>
  <c r="D241" i="4"/>
  <c r="H109" i="2" s="1"/>
  <c r="H18" i="10" s="1"/>
  <c r="D198" i="4"/>
  <c r="H601" i="2" s="1"/>
  <c r="H41" i="9" s="1"/>
  <c r="D302" i="4"/>
  <c r="H336" i="2" s="1"/>
  <c r="H88" i="10" s="1"/>
  <c r="D259" i="4"/>
  <c r="H208" i="2" s="1"/>
  <c r="H50" i="10" s="1"/>
  <c r="D309" i="4"/>
  <c r="H394" i="2" s="1"/>
  <c r="H87" i="10" s="1"/>
  <c r="D261" i="4"/>
  <c r="H157" i="2" s="1"/>
  <c r="H39" i="10" s="1"/>
  <c r="D311" i="4"/>
  <c r="H450" i="2" s="1"/>
  <c r="H96" i="10" s="1"/>
  <c r="D336" i="4"/>
  <c r="H396" i="2" s="1"/>
  <c r="H64" i="10" s="1"/>
  <c r="D288" i="4"/>
  <c r="H273" i="2" s="1"/>
  <c r="H70" i="10" s="1"/>
  <c r="D380" i="4"/>
  <c r="H308" i="2" s="1"/>
  <c r="D295" i="4"/>
  <c r="H387" i="2" s="1"/>
  <c r="H86" i="10" s="1"/>
  <c r="D353" i="4"/>
  <c r="H607" i="2" s="1"/>
  <c r="H129" i="10" s="1"/>
  <c r="D390" i="4"/>
  <c r="H538" i="2" s="1"/>
  <c r="D382" i="4"/>
  <c r="H343" i="2" s="1"/>
  <c r="D374" i="4"/>
  <c r="H101" i="2" s="1"/>
  <c r="D361" i="4"/>
  <c r="D130" i="10"/>
  <c r="D463" i="4"/>
  <c r="H225" i="2" s="1"/>
  <c r="D421" i="4"/>
  <c r="H53" i="2" s="1"/>
  <c r="D423" i="4"/>
  <c r="H106" i="2" s="1"/>
  <c r="D416" i="4"/>
  <c r="H52" i="2" s="1"/>
  <c r="D476" i="4"/>
  <c r="H280" i="2" s="1"/>
  <c r="D462" i="4"/>
  <c r="H243" i="2" s="1"/>
  <c r="D465" i="4"/>
  <c r="H237" i="2" s="1"/>
  <c r="D448" i="4"/>
  <c r="H172" i="2" s="1"/>
  <c r="D471" i="4"/>
  <c r="H233" i="2" s="1"/>
  <c r="D494" i="4"/>
  <c r="H282" i="2" s="1"/>
  <c r="D487" i="4"/>
  <c r="H551" i="2" s="1"/>
  <c r="D470" i="4"/>
  <c r="H286" i="2" s="1"/>
  <c r="D556" i="4"/>
  <c r="H461" i="2" s="1"/>
  <c r="D525" i="4"/>
  <c r="H459" i="2" s="1"/>
  <c r="D538" i="4"/>
  <c r="H542" i="2" s="1"/>
  <c r="D551" i="4"/>
  <c r="H524" i="2" s="1"/>
  <c r="D554" i="4"/>
  <c r="H560" i="2" s="1"/>
  <c r="D577" i="4"/>
  <c r="H117" i="2" s="1"/>
  <c r="D560" i="4"/>
  <c r="H529" i="2" s="1"/>
  <c r="D553" i="4"/>
  <c r="H523" i="2" s="1"/>
  <c r="D624" i="4"/>
  <c r="H318" i="2" s="1"/>
  <c r="D613" i="4"/>
  <c r="H303" i="2" s="1"/>
  <c r="D619" i="4"/>
  <c r="H301" i="2" s="1"/>
  <c r="D605" i="4"/>
  <c r="H367" i="2" s="1"/>
  <c r="D628" i="4"/>
  <c r="H402" i="2" s="1"/>
  <c r="D75" i="10"/>
  <c r="D62" i="10"/>
  <c r="D107" i="10"/>
  <c r="D17" i="10"/>
  <c r="D18" i="10"/>
  <c r="D33" i="10"/>
  <c r="D19" i="10"/>
  <c r="D20" i="10"/>
  <c r="D36" i="10"/>
  <c r="D30" i="10"/>
  <c r="D24" i="10"/>
  <c r="D10" i="10"/>
  <c r="D63" i="10"/>
  <c r="D106" i="10"/>
  <c r="D6" i="4"/>
  <c r="H46" i="2" s="1"/>
  <c r="D62" i="4"/>
  <c r="H175" i="2" s="1"/>
  <c r="D18" i="4"/>
  <c r="H143" i="2" s="1"/>
  <c r="D56" i="4"/>
  <c r="H204" i="2" s="1"/>
  <c r="D30" i="4"/>
  <c r="H332" i="2" s="1"/>
  <c r="D7" i="4"/>
  <c r="H123" i="2" s="1"/>
  <c r="D69" i="4"/>
  <c r="H119" i="2" s="1"/>
  <c r="D29" i="4"/>
  <c r="H245" i="2" s="1"/>
  <c r="D141" i="4"/>
  <c r="H578" i="2" s="1"/>
  <c r="D92" i="4"/>
  <c r="H543" i="2" s="1"/>
  <c r="D139" i="4"/>
  <c r="H487" i="2" s="1"/>
  <c r="D79" i="4"/>
  <c r="D129" i="4"/>
  <c r="H271" i="2" s="1"/>
  <c r="D86" i="4"/>
  <c r="H365" i="2" s="1"/>
  <c r="D136" i="4"/>
  <c r="H544" i="2" s="1"/>
  <c r="D180" i="4"/>
  <c r="H514" i="2" s="1"/>
  <c r="H34" i="9" s="1"/>
  <c r="D98" i="4"/>
  <c r="H634" i="2" s="1"/>
  <c r="D153" i="4"/>
  <c r="H649" i="2" s="1"/>
  <c r="D247" i="4"/>
  <c r="H261" i="2" s="1"/>
  <c r="H74" i="10" s="1"/>
  <c r="D177" i="4"/>
  <c r="H513" i="2" s="1"/>
  <c r="H32" i="9" s="1"/>
  <c r="D227" i="4"/>
  <c r="H20" i="2" s="1"/>
  <c r="H8" i="10" s="1"/>
  <c r="D184" i="4"/>
  <c r="H566" i="2" s="1"/>
  <c r="H30" i="9" s="1"/>
  <c r="D234" i="4"/>
  <c r="H44" i="2" s="1"/>
  <c r="H10" i="10" s="1"/>
  <c r="D196" i="4"/>
  <c r="H606" i="2" s="1"/>
  <c r="H38" i="9" s="1"/>
  <c r="D267" i="4"/>
  <c r="H179" i="2" s="1"/>
  <c r="H42" i="10" s="1"/>
  <c r="D203" i="4"/>
  <c r="H614" i="2" s="1"/>
  <c r="H52" i="9" s="1"/>
  <c r="D365" i="4"/>
  <c r="H71" i="2" s="1"/>
  <c r="D264" i="4"/>
  <c r="H210" i="2" s="1"/>
  <c r="H40" i="10" s="1"/>
  <c r="D314" i="4"/>
  <c r="H315" i="2" s="1"/>
  <c r="H72" i="10" s="1"/>
  <c r="D266" i="4"/>
  <c r="H202" i="2" s="1"/>
  <c r="H47" i="10" s="1"/>
  <c r="D316" i="4"/>
  <c r="H505" i="2" s="1"/>
  <c r="H107" i="10" s="1"/>
  <c r="D337" i="4"/>
  <c r="H545" i="2" s="1"/>
  <c r="H115" i="10" s="1"/>
  <c r="D293" i="4"/>
  <c r="H270" i="2" s="1"/>
  <c r="H82" i="10" s="1"/>
  <c r="D250" i="4"/>
  <c r="H136" i="2" s="1"/>
  <c r="H27" i="10" s="1"/>
  <c r="D300" i="4"/>
  <c r="H385" i="2" s="1"/>
  <c r="H89" i="10" s="1"/>
  <c r="D358" i="4"/>
  <c r="H4" i="2" s="1"/>
  <c r="D395" i="4"/>
  <c r="H553" i="2" s="1"/>
  <c r="D387" i="4"/>
  <c r="H559" i="2" s="1"/>
  <c r="D379" i="4"/>
  <c r="H323" i="2" s="1"/>
  <c r="D366" i="4"/>
  <c r="H83" i="2" s="1"/>
  <c r="D70" i="10"/>
  <c r="D105" i="10"/>
  <c r="D402" i="4"/>
  <c r="D449" i="4"/>
  <c r="H206" i="2" s="1"/>
  <c r="D453" i="4"/>
  <c r="H207" i="2" s="1"/>
  <c r="D424" i="4"/>
  <c r="H72" i="2" s="1"/>
  <c r="D486" i="4"/>
  <c r="H305" i="2" s="1"/>
  <c r="D472" i="4"/>
  <c r="H466" i="2" s="1"/>
  <c r="D475" i="4"/>
  <c r="H259" i="2" s="1"/>
  <c r="D458" i="4"/>
  <c r="H200" i="2" s="1"/>
  <c r="D481" i="4"/>
  <c r="H383" i="2" s="1"/>
  <c r="D552" i="4"/>
  <c r="H230" i="2" s="1"/>
  <c r="D496" i="4"/>
  <c r="H87" i="2" s="1"/>
  <c r="D480" i="4"/>
  <c r="H344" i="2" s="1"/>
  <c r="D566" i="4"/>
  <c r="H78" i="2" s="1"/>
  <c r="D535" i="4"/>
  <c r="H433" i="2" s="1"/>
  <c r="D548" i="4"/>
  <c r="H582" i="2" s="1"/>
  <c r="D561" i="4"/>
  <c r="H183" i="2" s="1"/>
  <c r="D564" i="4"/>
  <c r="H39" i="2" s="1"/>
  <c r="D587" i="4"/>
  <c r="H164" i="2" s="1"/>
  <c r="D570" i="4"/>
  <c r="H73" i="2" s="1"/>
  <c r="D563" i="4"/>
  <c r="H13" i="2" s="1"/>
  <c r="D634" i="4"/>
  <c r="H422" i="2" s="1"/>
  <c r="D623" i="4"/>
  <c r="H407" i="2" s="1"/>
  <c r="D629" i="4"/>
  <c r="H355" i="2" s="1"/>
  <c r="D615" i="4"/>
  <c r="H384" i="2" s="1"/>
  <c r="D645" i="4"/>
  <c r="H467" i="2" s="1"/>
  <c r="D66" i="10"/>
  <c r="D80" i="10"/>
  <c r="D40" i="10"/>
  <c r="D21" i="10"/>
  <c r="D6" i="10"/>
  <c r="D103" i="10"/>
  <c r="D138" i="10"/>
  <c r="D131" i="10"/>
  <c r="D110" i="10"/>
  <c r="D100" i="10"/>
  <c r="D115" i="10"/>
  <c r="D61" i="10"/>
  <c r="D41" i="10"/>
  <c r="D11" i="4"/>
  <c r="H511" i="2" s="1"/>
  <c r="D65" i="4"/>
  <c r="H178" i="2" s="1"/>
  <c r="D23" i="4"/>
  <c r="H229" i="2" s="1"/>
  <c r="D70" i="4"/>
  <c r="H215" i="2" s="1"/>
  <c r="D35" i="4"/>
  <c r="H393" i="2" s="1"/>
  <c r="D12" i="4"/>
  <c r="H135" i="2" s="1"/>
  <c r="D57" i="4"/>
  <c r="H55" i="2" s="1"/>
  <c r="D34" i="4"/>
  <c r="H472" i="2" s="1"/>
  <c r="D170" i="4"/>
  <c r="H419" i="2" s="1"/>
  <c r="H21" i="9" s="1"/>
  <c r="D97" i="4"/>
  <c r="H618" i="2" s="1"/>
  <c r="D148" i="4"/>
  <c r="H620" i="2" s="1"/>
  <c r="D84" i="4"/>
  <c r="H499" i="2" s="1"/>
  <c r="D134" i="4"/>
  <c r="H483" i="2" s="1"/>
  <c r="D91" i="4"/>
  <c r="H496" i="2" s="1"/>
  <c r="D140" i="4"/>
  <c r="H571" i="2" s="1"/>
  <c r="D205" i="4"/>
  <c r="H646" i="2" s="1"/>
  <c r="H53" i="9" s="1"/>
  <c r="D103" i="4"/>
  <c r="H35" i="2" s="1"/>
  <c r="D159" i="4"/>
  <c r="H196" i="2" s="1"/>
  <c r="H7" i="9" s="1"/>
  <c r="D248" i="4"/>
  <c r="H92" i="2" s="1"/>
  <c r="H16" i="10" s="1"/>
  <c r="D182" i="4"/>
  <c r="H532" i="2" s="1"/>
  <c r="H36" i="9" s="1"/>
  <c r="D232" i="4"/>
  <c r="H45" i="2" s="1"/>
  <c r="H25" i="10" s="1"/>
  <c r="D189" i="4"/>
  <c r="H562" i="2" s="1"/>
  <c r="H37" i="9" s="1"/>
  <c r="D239" i="4"/>
  <c r="H79" i="2" s="1"/>
  <c r="H33" i="10" s="1"/>
  <c r="D201" i="4"/>
  <c r="H597" i="2" s="1"/>
  <c r="H43" i="9" s="1"/>
  <c r="D292" i="4"/>
  <c r="H322" i="2" s="1"/>
  <c r="H91" i="10" s="1"/>
  <c r="D208" i="4"/>
  <c r="H251" i="2" s="1"/>
  <c r="H21" i="6" s="1"/>
  <c r="D317" i="4"/>
  <c r="H590" i="2" s="1"/>
  <c r="H125" i="10" s="1"/>
  <c r="D269" i="4"/>
  <c r="H248" i="2" s="1"/>
  <c r="H41" i="10" s="1"/>
  <c r="D319" i="4"/>
  <c r="H471" i="2" s="1"/>
  <c r="H104" i="10" s="1"/>
  <c r="D271" i="4"/>
  <c r="H287" i="2" s="1"/>
  <c r="H60" i="10" s="1"/>
  <c r="D321" i="4"/>
  <c r="H550" i="2" s="1"/>
  <c r="H106" i="10" s="1"/>
  <c r="D345" i="4"/>
  <c r="H636" i="2" s="1"/>
  <c r="H134" i="10" s="1"/>
  <c r="D298" i="4"/>
  <c r="H304" i="2" s="1"/>
  <c r="H78" i="10" s="1"/>
  <c r="D255" i="4"/>
  <c r="H133" i="2" s="1"/>
  <c r="H20" i="10" s="1"/>
  <c r="D305" i="4"/>
  <c r="H314" i="2" s="1"/>
  <c r="H71" i="10" s="1"/>
  <c r="D363" i="4"/>
  <c r="H49" i="2" s="1"/>
  <c r="D400" i="4"/>
  <c r="H644" i="2" s="1"/>
  <c r="D392" i="4"/>
  <c r="H360" i="2" s="1"/>
  <c r="D384" i="4"/>
  <c r="H498" i="2" s="1"/>
  <c r="D371" i="4"/>
  <c r="H103" i="2" s="1"/>
  <c r="D39" i="10"/>
  <c r="D408" i="4"/>
  <c r="D409" i="4"/>
  <c r="H28" i="2" s="1"/>
  <c r="D405" i="4"/>
  <c r="H8" i="2" s="1"/>
  <c r="D439" i="4"/>
  <c r="H142" i="2" s="1"/>
  <c r="D501" i="4"/>
  <c r="H244" i="2" s="1"/>
  <c r="D482" i="4"/>
  <c r="H317" i="2" s="1"/>
  <c r="D485" i="4"/>
  <c r="H405" i="2" s="1"/>
  <c r="D468" i="4"/>
  <c r="H250" i="2" s="1"/>
  <c r="D491" i="4"/>
  <c r="H479" i="2" s="1"/>
  <c r="D407" i="4"/>
  <c r="H22" i="2" s="1"/>
  <c r="D507" i="4"/>
  <c r="H354" i="2" s="1"/>
  <c r="D490" i="4"/>
  <c r="H345" i="2" s="1"/>
  <c r="D576" i="4"/>
  <c r="H111" i="2" s="1"/>
  <c r="D545" i="4"/>
  <c r="H537" i="2" s="1"/>
  <c r="D558" i="4"/>
  <c r="H572" i="2" s="1"/>
  <c r="D571" i="4"/>
  <c r="H158" i="2" s="1"/>
  <c r="D574" i="4"/>
  <c r="H148" i="2" s="1"/>
  <c r="D591" i="4"/>
  <c r="H293" i="2" s="1"/>
  <c r="D580" i="4"/>
  <c r="H177" i="2" s="1"/>
  <c r="D573" i="4"/>
  <c r="H69" i="2" s="1"/>
  <c r="D637" i="4"/>
  <c r="H446" i="2" s="1"/>
  <c r="D633" i="4"/>
  <c r="H492" i="2" s="1"/>
  <c r="D640" i="4"/>
  <c r="H454" i="2" s="1"/>
  <c r="D625" i="4"/>
  <c r="H452" i="2" s="1"/>
  <c r="D651" i="4"/>
  <c r="H428" i="2" s="1"/>
  <c r="D54" i="10"/>
  <c r="D96" i="10"/>
  <c r="D7" i="10"/>
  <c r="D8" i="10"/>
  <c r="D23" i="10"/>
  <c r="D132" i="10"/>
  <c r="D35" i="9"/>
  <c r="D129" i="10"/>
  <c r="D122" i="10"/>
  <c r="D99" i="10"/>
  <c r="D53" i="10"/>
  <c r="D16" i="4"/>
  <c r="H176" i="2" s="1"/>
  <c r="D51" i="4"/>
  <c r="H156" i="2" s="1"/>
  <c r="D28" i="4"/>
  <c r="H376" i="2" s="1"/>
  <c r="D85" i="4"/>
  <c r="H444" i="2" s="1"/>
  <c r="D40" i="4"/>
  <c r="H453" i="2" s="1"/>
  <c r="D17" i="4"/>
  <c r="H160" i="2" s="1"/>
  <c r="D80" i="4"/>
  <c r="H364" i="2" s="1"/>
  <c r="D39" i="4"/>
  <c r="H630" i="2" s="1"/>
  <c r="D175" i="4"/>
  <c r="H388" i="2" s="1"/>
  <c r="H24" i="9" s="1"/>
  <c r="D102" i="4"/>
  <c r="H25" i="2" s="1"/>
  <c r="D154" i="4"/>
  <c r="H65" i="2" s="1"/>
  <c r="H5" i="9" s="1"/>
  <c r="D89" i="4"/>
  <c r="H462" i="2" s="1"/>
  <c r="D144" i="4"/>
  <c r="H602" i="2" s="1"/>
  <c r="D96" i="4"/>
  <c r="H635" i="2" s="1"/>
  <c r="D149" i="4"/>
  <c r="H643" i="2" s="1"/>
  <c r="D58" i="4"/>
  <c r="H95" i="2" s="1"/>
  <c r="D108" i="4"/>
  <c r="H171" i="2" s="1"/>
  <c r="D160" i="4"/>
  <c r="H154" i="2" s="1"/>
  <c r="H4" i="9" s="1"/>
  <c r="D249" i="4"/>
  <c r="H105" i="2" s="1"/>
  <c r="H26" i="10" s="1"/>
  <c r="D187" i="4"/>
  <c r="H554" i="2" s="1"/>
  <c r="H27" i="9" s="1"/>
  <c r="D237" i="4"/>
  <c r="H54" i="2" s="1"/>
  <c r="H12" i="10" s="1"/>
  <c r="D194" i="4"/>
  <c r="H611" i="2" s="1"/>
  <c r="H45" i="9" s="1"/>
  <c r="D257" i="4"/>
  <c r="H197" i="2" s="1"/>
  <c r="H49" i="10" s="1"/>
  <c r="D206" i="4"/>
  <c r="H608" i="2" s="1"/>
  <c r="H54" i="9" s="1"/>
  <c r="D253" i="4"/>
  <c r="H110" i="2" s="1"/>
  <c r="H35" i="10" s="1"/>
  <c r="D213" i="4"/>
  <c r="H586" i="2" s="1"/>
  <c r="H44" i="6" s="1"/>
  <c r="D322" i="4"/>
  <c r="H435" i="2" s="1"/>
  <c r="H113" i="10" s="1"/>
  <c r="D274" i="4"/>
  <c r="H255" i="2" s="1"/>
  <c r="H53" i="10" s="1"/>
  <c r="D324" i="4"/>
  <c r="H485" i="2" s="1"/>
  <c r="H117" i="10" s="1"/>
  <c r="D276" i="4"/>
  <c r="H262" i="2" s="1"/>
  <c r="H48" i="10" s="1"/>
  <c r="D326" i="4"/>
  <c r="H555" i="2" s="1"/>
  <c r="H130" i="10" s="1"/>
  <c r="D370" i="4"/>
  <c r="H81" i="2" s="1"/>
  <c r="D303" i="4"/>
  <c r="H347" i="2" s="1"/>
  <c r="H93" i="10" s="1"/>
  <c r="D260" i="4"/>
  <c r="H186" i="2" s="1"/>
  <c r="H46" i="10" s="1"/>
  <c r="D310" i="4"/>
  <c r="H408" i="2" s="1"/>
  <c r="H69" i="10" s="1"/>
  <c r="D368" i="4"/>
  <c r="H84" i="2" s="1"/>
  <c r="D347" i="4"/>
  <c r="H573" i="2" s="1"/>
  <c r="H121" i="10" s="1"/>
  <c r="D397" i="4"/>
  <c r="H640" i="2" s="1"/>
  <c r="D389" i="4"/>
  <c r="H266" i="2" s="1"/>
  <c r="D376" i="4"/>
  <c r="H232" i="2" s="1"/>
  <c r="D46" i="10"/>
  <c r="D101" i="10"/>
  <c r="D43" i="10"/>
  <c r="D469" i="4"/>
  <c r="H296" i="2" s="1"/>
  <c r="D422" i="4"/>
  <c r="H68" i="2" s="1"/>
  <c r="D418" i="4"/>
  <c r="H37" i="2" s="1"/>
  <c r="D489" i="4"/>
  <c r="H264" i="2" s="1"/>
  <c r="D512" i="4"/>
  <c r="H438" i="2" s="1"/>
  <c r="D492" i="4"/>
  <c r="H426" i="2" s="1"/>
  <c r="D497" i="4"/>
  <c r="H377" i="2" s="1"/>
  <c r="D478" i="4"/>
  <c r="H406" i="2" s="1"/>
  <c r="D549" i="4"/>
  <c r="H456" i="2" s="1"/>
  <c r="D417" i="4"/>
  <c r="H77" i="2" s="1"/>
  <c r="D529" i="4"/>
  <c r="H565" i="2" s="1"/>
  <c r="D498" i="4"/>
  <c r="H335" i="2" s="1"/>
  <c r="D586" i="4"/>
  <c r="H193" i="2" s="1"/>
  <c r="D555" i="4"/>
  <c r="H526" i="2" s="1"/>
  <c r="D568" i="4"/>
  <c r="H61" i="2" s="1"/>
  <c r="D581" i="4"/>
  <c r="H309" i="2" s="1"/>
  <c r="D584" i="4"/>
  <c r="H239" i="2" s="1"/>
  <c r="D597" i="4"/>
  <c r="H447" i="2" s="1"/>
  <c r="D589" i="4"/>
  <c r="H380" i="2" s="1"/>
  <c r="D583" i="4"/>
  <c r="H195" i="2" s="1"/>
  <c r="D644" i="4"/>
  <c r="H477" i="2" s="1"/>
  <c r="D596" i="4"/>
  <c r="H327" i="2" s="1"/>
  <c r="D592" i="4"/>
  <c r="H320" i="2" s="1"/>
  <c r="D635" i="4"/>
  <c r="H427" i="2" s="1"/>
  <c r="D647" i="4"/>
  <c r="H480" i="2" s="1"/>
  <c r="D18" i="9"/>
  <c r="D60" i="10"/>
  <c r="D28" i="10"/>
  <c r="D5" i="9"/>
  <c r="D4" i="10"/>
  <c r="D98" i="10"/>
  <c r="D34" i="9"/>
  <c r="D54" i="9"/>
  <c r="D136" i="10"/>
  <c r="D59" i="10"/>
  <c r="D135" i="10"/>
  <c r="D108" i="10"/>
  <c r="D113" i="10"/>
  <c r="O23" i="3"/>
  <c r="V23" i="3"/>
  <c r="W23" i="3" s="1"/>
  <c r="D92" i="10"/>
  <c r="D139" i="10"/>
  <c r="D85" i="10"/>
  <c r="D111" i="10"/>
  <c r="D45" i="9"/>
  <c r="D109" i="10"/>
  <c r="D49" i="9"/>
  <c r="D87" i="10"/>
  <c r="D21" i="4"/>
  <c r="H205" i="2" s="1"/>
  <c r="D66" i="4"/>
  <c r="H460" i="2" s="1"/>
  <c r="D33" i="4"/>
  <c r="H424" i="2" s="1"/>
  <c r="D110" i="4"/>
  <c r="H165" i="2" s="1"/>
  <c r="D45" i="4"/>
  <c r="H594" i="2" s="1"/>
  <c r="D22" i="4"/>
  <c r="H201" i="2" s="1"/>
  <c r="D105" i="4"/>
  <c r="H99" i="2" s="1"/>
  <c r="D44" i="4"/>
  <c r="H585" i="2" s="1"/>
  <c r="D200" i="4"/>
  <c r="H595" i="2" s="1"/>
  <c r="H46" i="9" s="1"/>
  <c r="D107" i="4"/>
  <c r="H167" i="2" s="1"/>
  <c r="D172" i="4"/>
  <c r="H412" i="2" s="1"/>
  <c r="H20" i="9" s="1"/>
  <c r="D94" i="4"/>
  <c r="H596" i="2" s="1"/>
  <c r="D167" i="4"/>
  <c r="H319" i="2" s="1"/>
  <c r="H18" i="9" s="1"/>
  <c r="D101" i="4"/>
  <c r="H23" i="2" s="1"/>
  <c r="D152" i="4"/>
  <c r="H639" i="2" s="1"/>
  <c r="D63" i="4"/>
  <c r="H150" i="2" s="1"/>
  <c r="D113" i="4"/>
  <c r="H182" i="2" s="1"/>
  <c r="D163" i="4"/>
  <c r="H185" i="2" s="1"/>
  <c r="H9" i="9" s="1"/>
  <c r="D252" i="4"/>
  <c r="H149" i="2" s="1"/>
  <c r="H36" i="10" s="1"/>
  <c r="D192" i="4"/>
  <c r="H564" i="2" s="1"/>
  <c r="H50" i="9" s="1"/>
  <c r="D243" i="4"/>
  <c r="H125" i="2" s="1"/>
  <c r="H29" i="10" s="1"/>
  <c r="D199" i="4"/>
  <c r="H593" i="2" s="1"/>
  <c r="H49" i="9" s="1"/>
  <c r="D282" i="4"/>
  <c r="H226" i="2" s="1"/>
  <c r="H57" i="10" s="1"/>
  <c r="D211" i="4"/>
  <c r="H629" i="2" s="1"/>
  <c r="H54" i="6" s="1"/>
  <c r="D168" i="4"/>
  <c r="H416" i="2" s="1"/>
  <c r="H17" i="9" s="1"/>
  <c r="D218" i="4"/>
  <c r="H651" i="2" s="1"/>
  <c r="H62" i="6" s="1"/>
  <c r="D327" i="4"/>
  <c r="H464" i="2" s="1"/>
  <c r="H100" i="10" s="1"/>
  <c r="D279" i="4"/>
  <c r="H236" i="2" s="1"/>
  <c r="H45" i="10" s="1"/>
  <c r="D341" i="4"/>
  <c r="H579" i="2" s="1"/>
  <c r="H126" i="10" s="1"/>
  <c r="D281" i="4"/>
  <c r="H222" i="2" s="1"/>
  <c r="H61" i="10" s="1"/>
  <c r="D332" i="4"/>
  <c r="H539" i="2" s="1"/>
  <c r="H120" i="10" s="1"/>
  <c r="D258" i="4"/>
  <c r="H187" i="2" s="1"/>
  <c r="H38" i="10" s="1"/>
  <c r="D308" i="4"/>
  <c r="H478" i="2" s="1"/>
  <c r="H105" i="10" s="1"/>
  <c r="D265" i="4"/>
  <c r="H214" i="2" s="1"/>
  <c r="H43" i="10" s="1"/>
  <c r="D315" i="4"/>
  <c r="H423" i="2" s="1"/>
  <c r="H98" i="10" s="1"/>
  <c r="D373" i="4"/>
  <c r="H116" i="2" s="1"/>
  <c r="D352" i="4"/>
  <c r="H603" i="2" s="1"/>
  <c r="H135" i="10" s="1"/>
  <c r="D344" i="4"/>
  <c r="H547" i="2" s="1"/>
  <c r="H119" i="10" s="1"/>
  <c r="D394" i="4"/>
  <c r="H361" i="2" s="1"/>
  <c r="D381" i="4"/>
  <c r="H269" i="2" s="1"/>
  <c r="D88" i="10"/>
  <c r="D52" i="10"/>
  <c r="D404" i="4"/>
  <c r="H32" i="2" s="1"/>
  <c r="D473" i="4"/>
  <c r="H254" i="2" s="1"/>
  <c r="D459" i="4"/>
  <c r="H218" i="2" s="1"/>
  <c r="D559" i="4"/>
  <c r="H395" i="2" s="1"/>
  <c r="D562" i="4"/>
  <c r="H509" i="2" s="1"/>
  <c r="D495" i="4"/>
  <c r="H430" i="2" s="1"/>
  <c r="D502" i="4"/>
  <c r="H267" i="2" s="1"/>
  <c r="D488" i="4"/>
  <c r="H362" i="2" s="1"/>
  <c r="D434" i="4"/>
  <c r="H90" i="2" s="1"/>
  <c r="D427" i="4"/>
  <c r="H114" i="2" s="1"/>
  <c r="D410" i="4"/>
  <c r="H36" i="2" s="1"/>
  <c r="D532" i="4"/>
  <c r="H552" i="2" s="1"/>
  <c r="D601" i="4"/>
  <c r="H348" i="2" s="1"/>
  <c r="D565" i="4"/>
  <c r="H67" i="2" s="1"/>
  <c r="D578" i="4"/>
  <c r="H209" i="2" s="1"/>
  <c r="D617" i="4"/>
  <c r="H306" i="2" s="1"/>
  <c r="D517" i="4"/>
  <c r="H311" i="2" s="1"/>
  <c r="D500" i="4"/>
  <c r="H368" i="2" s="1"/>
  <c r="D621" i="4"/>
  <c r="H372" i="2" s="1"/>
  <c r="D590" i="4"/>
  <c r="H257" i="2" s="1"/>
  <c r="D600" i="4"/>
  <c r="H313" i="2" s="1"/>
  <c r="D606" i="4"/>
  <c r="H330" i="2" s="1"/>
  <c r="D602" i="4"/>
  <c r="H331" i="2" s="1"/>
  <c r="D641" i="4"/>
  <c r="H369" i="2" s="1"/>
  <c r="D650" i="4"/>
  <c r="H570" i="2" s="1"/>
  <c r="D78" i="10"/>
  <c r="D81" i="10"/>
  <c r="D27" i="10"/>
  <c r="D14" i="10"/>
  <c r="D11" i="10"/>
  <c r="D2" i="9"/>
  <c r="D97" i="10"/>
  <c r="D83" i="10"/>
  <c r="D128" i="10"/>
  <c r="D116" i="10"/>
  <c r="D133" i="10"/>
  <c r="D121" i="10"/>
  <c r="D123" i="10"/>
  <c r="D118" i="10"/>
  <c r="D119" i="10"/>
  <c r="D46" i="9"/>
  <c r="D44" i="9"/>
  <c r="D52" i="9"/>
  <c r="D47" i="9"/>
  <c r="D120" i="10"/>
  <c r="D31" i="9"/>
  <c r="D125" i="10"/>
  <c r="D30" i="9"/>
  <c r="D90" i="10"/>
  <c r="D21" i="9"/>
  <c r="D112" i="10"/>
  <c r="D51" i="10"/>
  <c r="D82" i="10"/>
  <c r="D71" i="10"/>
  <c r="D42" i="10"/>
  <c r="D26" i="4"/>
  <c r="H235" i="2" s="1"/>
  <c r="D75" i="4"/>
  <c r="H249" i="2" s="1"/>
  <c r="D38" i="4"/>
  <c r="H420" i="2" s="1"/>
  <c r="D135" i="4"/>
  <c r="H504" i="2" s="1"/>
  <c r="D54" i="4"/>
  <c r="D27" i="4"/>
  <c r="H350" i="2" s="1"/>
  <c r="D130" i="4"/>
  <c r="H486" i="2" s="1"/>
  <c r="D48" i="4"/>
  <c r="H569" i="2" s="1"/>
  <c r="D225" i="4"/>
  <c r="D112" i="4"/>
  <c r="H241" i="2" s="1"/>
  <c r="D146" i="4"/>
  <c r="H619" i="2" s="1"/>
  <c r="D99" i="4"/>
  <c r="H638" i="2" s="1"/>
  <c r="D142" i="4"/>
  <c r="H531" i="2" s="1"/>
  <c r="D106" i="4"/>
  <c r="H153" i="2" s="1"/>
  <c r="D157" i="4"/>
  <c r="D68" i="4"/>
  <c r="H184" i="2" s="1"/>
  <c r="D118" i="4"/>
  <c r="H252" i="2" s="1"/>
  <c r="D164" i="4"/>
  <c r="H224" i="2" s="1"/>
  <c r="H12" i="9" s="1"/>
  <c r="D262" i="4"/>
  <c r="H198" i="2" s="1"/>
  <c r="H44" i="10" s="1"/>
  <c r="D197" i="4"/>
  <c r="H577" i="2" s="1"/>
  <c r="H47" i="9" s="1"/>
  <c r="D244" i="4"/>
  <c r="H82" i="2" s="1"/>
  <c r="H28" i="10" s="1"/>
  <c r="D204" i="4"/>
  <c r="H632" i="2" s="1"/>
  <c r="H51" i="9" s="1"/>
  <c r="D307" i="4"/>
  <c r="H391" i="2" s="1"/>
  <c r="H90" i="10" s="1"/>
  <c r="D216" i="4"/>
  <c r="H633" i="2" s="1"/>
  <c r="H50" i="6" s="1"/>
  <c r="D173" i="4"/>
  <c r="H503" i="2" s="1"/>
  <c r="H22" i="9" s="1"/>
  <c r="D223" i="4"/>
  <c r="H5" i="2" s="1"/>
  <c r="H5" i="10" s="1"/>
  <c r="D331" i="4"/>
  <c r="H568" i="2" s="1"/>
  <c r="H112" i="10" s="1"/>
  <c r="D284" i="4"/>
  <c r="H288" i="2" s="1"/>
  <c r="H73" i="10" s="1"/>
  <c r="D342" i="4"/>
  <c r="H378" i="2" s="1"/>
  <c r="H103" i="10" s="1"/>
  <c r="D286" i="4"/>
  <c r="H474" i="2" s="1"/>
  <c r="H101" i="10" s="1"/>
  <c r="D335" i="4"/>
  <c r="H527" i="2" s="1"/>
  <c r="H97" i="10" s="1"/>
  <c r="D263" i="4"/>
  <c r="H219" i="2" s="1"/>
  <c r="H63" i="10" s="1"/>
  <c r="D313" i="4"/>
  <c r="H370" i="2" s="1"/>
  <c r="H83" i="10" s="1"/>
  <c r="D270" i="4"/>
  <c r="H192" i="2" s="1"/>
  <c r="H55" i="10" s="1"/>
  <c r="D320" i="4"/>
  <c r="H410" i="2" s="1"/>
  <c r="H95" i="10" s="1"/>
  <c r="D378" i="4"/>
  <c r="H212" i="2" s="1"/>
  <c r="D357" i="4"/>
  <c r="H605" i="2" s="1"/>
  <c r="H111" i="10" s="1"/>
  <c r="D349" i="4"/>
  <c r="H610" i="2" s="1"/>
  <c r="H131" i="10" s="1"/>
  <c r="D399" i="4"/>
  <c r="H631" i="2" s="1"/>
  <c r="D386" i="4"/>
  <c r="H342" i="2" s="1"/>
  <c r="D17" i="9"/>
  <c r="D406" i="4"/>
  <c r="H34" i="2" s="1"/>
  <c r="D412" i="4"/>
  <c r="H74" i="2" s="1"/>
  <c r="D413" i="4"/>
  <c r="H42" i="2" s="1"/>
  <c r="D426" i="4"/>
  <c r="H85" i="2" s="1"/>
  <c r="D579" i="4"/>
  <c r="H173" i="2" s="1"/>
  <c r="D499" i="4"/>
  <c r="H292" i="2" s="1"/>
  <c r="D505" i="4"/>
  <c r="H440" i="2" s="1"/>
  <c r="D522" i="4"/>
  <c r="H500" i="2" s="1"/>
  <c r="D444" i="4"/>
  <c r="H138" i="2" s="1"/>
  <c r="D437" i="4"/>
  <c r="H112" i="2" s="1"/>
  <c r="D420" i="4"/>
  <c r="H91" i="2" s="1"/>
  <c r="D506" i="4"/>
  <c r="H415" i="2" s="1"/>
  <c r="D607" i="4"/>
  <c r="H258" i="2" s="1"/>
  <c r="D575" i="4"/>
  <c r="H127" i="2" s="1"/>
  <c r="D611" i="4"/>
  <c r="H397" i="2" s="1"/>
  <c r="D504" i="4"/>
  <c r="H371" i="2" s="1"/>
  <c r="D527" i="4"/>
  <c r="H434" i="2" s="1"/>
  <c r="D510" i="4"/>
  <c r="H122" i="2" s="1"/>
  <c r="D503" i="4"/>
  <c r="H465" i="2" s="1"/>
  <c r="D627" i="4"/>
  <c r="H463" i="2" s="1"/>
  <c r="D610" i="4"/>
  <c r="H439" i="2" s="1"/>
  <c r="D616" i="4"/>
  <c r="H429" i="2" s="1"/>
  <c r="D612" i="4"/>
  <c r="H390" i="2" s="1"/>
  <c r="D648" i="4"/>
  <c r="H520" i="2" s="1"/>
  <c r="D646" i="4"/>
  <c r="H386" i="2" s="1"/>
  <c r="D44" i="10"/>
  <c r="D26" i="10"/>
  <c r="D67" i="10"/>
  <c r="D12" i="10"/>
  <c r="D23" i="9" l="1"/>
  <c r="D7" i="9"/>
  <c r="D10" i="9"/>
  <c r="D25" i="9"/>
  <c r="D9" i="9"/>
  <c r="D33" i="9"/>
  <c r="D11" i="9"/>
  <c r="D29" i="9"/>
  <c r="D3" i="9"/>
  <c r="D53" i="9"/>
  <c r="D27" i="9"/>
  <c r="D37" i="9"/>
  <c r="D15" i="9"/>
  <c r="D14" i="9"/>
  <c r="D28" i="9"/>
  <c r="D13" i="9"/>
  <c r="F17" i="9" s="1"/>
  <c r="D51" i="9"/>
  <c r="D48" i="9"/>
  <c r="D26" i="9"/>
  <c r="D38" i="9"/>
  <c r="D40" i="9"/>
  <c r="D16" i="9"/>
  <c r="H68" i="16"/>
  <c r="H221" i="17"/>
  <c r="H219" i="17"/>
  <c r="H66" i="16"/>
  <c r="H50" i="16"/>
  <c r="H201" i="17"/>
  <c r="H100" i="17"/>
  <c r="H14" i="16"/>
  <c r="H51" i="13"/>
  <c r="H28" i="7"/>
  <c r="H10" i="17"/>
  <c r="H10" i="15"/>
  <c r="H29" i="17"/>
  <c r="H28" i="15"/>
  <c r="H34" i="17"/>
  <c r="H67" i="15"/>
  <c r="H53" i="17"/>
  <c r="H40" i="15"/>
  <c r="H26" i="17"/>
  <c r="H23" i="15"/>
  <c r="H103" i="12"/>
  <c r="H55" i="8"/>
  <c r="H57" i="12"/>
  <c r="H38" i="6"/>
  <c r="H54" i="16"/>
  <c r="H205" i="17"/>
  <c r="H24" i="16"/>
  <c r="H144" i="17"/>
  <c r="H40" i="16"/>
  <c r="H186" i="17"/>
  <c r="H35" i="11"/>
  <c r="H74" i="13"/>
  <c r="H99" i="12"/>
  <c r="H51" i="8"/>
  <c r="H11" i="12"/>
  <c r="H6" i="8"/>
  <c r="H23" i="16"/>
  <c r="H141" i="17"/>
  <c r="H129" i="17"/>
  <c r="H112" i="15"/>
  <c r="H7" i="15"/>
  <c r="H6" i="17"/>
  <c r="H41" i="11"/>
  <c r="H83" i="13"/>
  <c r="H93" i="13"/>
  <c r="H49" i="7"/>
  <c r="H25" i="12"/>
  <c r="H17" i="6"/>
  <c r="H19" i="16"/>
  <c r="H114" i="17"/>
  <c r="H104" i="15"/>
  <c r="H97" i="17"/>
  <c r="H16" i="17"/>
  <c r="H21" i="15"/>
  <c r="H7" i="11"/>
  <c r="H9" i="13"/>
  <c r="H77" i="13"/>
  <c r="H42" i="7"/>
  <c r="H40" i="13"/>
  <c r="H21" i="7"/>
  <c r="H2" i="16"/>
  <c r="H39" i="17"/>
  <c r="H91" i="17"/>
  <c r="H79" i="15"/>
  <c r="H20" i="17"/>
  <c r="H14" i="15"/>
  <c r="H39" i="11"/>
  <c r="H80" i="13"/>
  <c r="H61" i="13"/>
  <c r="H35" i="7"/>
  <c r="H16" i="12"/>
  <c r="H11" i="6"/>
  <c r="H203" i="17"/>
  <c r="H52" i="16"/>
  <c r="H158" i="17"/>
  <c r="H135" i="15"/>
  <c r="H95" i="17"/>
  <c r="H83" i="15"/>
  <c r="H20" i="11"/>
  <c r="H38" i="13"/>
  <c r="H57" i="13"/>
  <c r="H32" i="7"/>
  <c r="H46" i="16"/>
  <c r="H195" i="17"/>
  <c r="H165" i="17"/>
  <c r="H137" i="15"/>
  <c r="H81" i="15"/>
  <c r="H92" i="17"/>
  <c r="H86" i="12"/>
  <c r="H44" i="8"/>
  <c r="H44" i="13"/>
  <c r="H24" i="7"/>
  <c r="H17" i="13"/>
  <c r="H6" i="7"/>
  <c r="H91" i="16"/>
  <c r="H251" i="17"/>
  <c r="H142" i="17"/>
  <c r="H130" i="15"/>
  <c r="H23" i="17"/>
  <c r="H19" i="15"/>
  <c r="H54" i="13"/>
  <c r="H31" i="7"/>
  <c r="H101" i="12"/>
  <c r="H53" i="8"/>
  <c r="H94" i="12"/>
  <c r="H60" i="6"/>
  <c r="H21" i="16"/>
  <c r="H137" i="17"/>
  <c r="H153" i="15"/>
  <c r="H214" i="17"/>
  <c r="H30" i="17"/>
  <c r="H29" i="15"/>
  <c r="H43" i="12"/>
  <c r="H19" i="8"/>
  <c r="H58" i="12"/>
  <c r="H25" i="8"/>
  <c r="H215" i="17"/>
  <c r="H63" i="16"/>
  <c r="H174" i="17"/>
  <c r="H36" i="16"/>
  <c r="H176" i="17"/>
  <c r="H136" i="15"/>
  <c r="H38" i="11"/>
  <c r="H79" i="13"/>
  <c r="H53" i="13"/>
  <c r="H30" i="7"/>
  <c r="H19" i="13"/>
  <c r="H8" i="7"/>
  <c r="H69" i="12"/>
  <c r="H31" i="8"/>
  <c r="H43" i="13"/>
  <c r="H23" i="7"/>
  <c r="H39" i="16"/>
  <c r="H185" i="17"/>
  <c r="H143" i="15"/>
  <c r="H181" i="17"/>
  <c r="H234" i="17"/>
  <c r="H156" i="15"/>
  <c r="H6" i="12"/>
  <c r="H3" i="8"/>
  <c r="H35" i="12"/>
  <c r="H24" i="6"/>
  <c r="H81" i="16"/>
  <c r="H237" i="17"/>
  <c r="H21" i="17"/>
  <c r="H18" i="15"/>
  <c r="H14" i="17"/>
  <c r="H15" i="15"/>
  <c r="H98" i="12"/>
  <c r="H50" i="8"/>
  <c r="H60" i="12"/>
  <c r="H36" i="6"/>
  <c r="H48" i="16"/>
  <c r="H199" i="17"/>
  <c r="H8" i="15"/>
  <c r="H4" i="17"/>
  <c r="H9" i="17"/>
  <c r="H9" i="15"/>
  <c r="H91" i="12"/>
  <c r="H46" i="8"/>
  <c r="H45" i="12"/>
  <c r="H28" i="6"/>
  <c r="H11" i="16"/>
  <c r="H82" i="17"/>
  <c r="H121" i="17"/>
  <c r="H31" i="15"/>
  <c r="H71" i="15"/>
  <c r="H75" i="17"/>
  <c r="H63" i="13"/>
  <c r="H29" i="11"/>
  <c r="H51" i="12"/>
  <c r="H24" i="8"/>
  <c r="H53" i="12"/>
  <c r="H33" i="6"/>
  <c r="H125" i="15"/>
  <c r="H148" i="17"/>
  <c r="H72" i="15"/>
  <c r="H84" i="17"/>
  <c r="H22" i="17"/>
  <c r="H20" i="15"/>
  <c r="H65" i="13"/>
  <c r="H31" i="11"/>
  <c r="H62" i="12"/>
  <c r="H27" i="8"/>
  <c r="H61" i="12"/>
  <c r="H37" i="6"/>
  <c r="H189" i="17"/>
  <c r="H42" i="16"/>
  <c r="H127" i="17"/>
  <c r="H109" i="15"/>
  <c r="H62" i="17"/>
  <c r="H58" i="15"/>
  <c r="H73" i="13"/>
  <c r="H40" i="7"/>
  <c r="H68" i="13"/>
  <c r="H37" i="7"/>
  <c r="H29" i="16"/>
  <c r="H166" i="17"/>
  <c r="H63" i="15"/>
  <c r="H136" i="17"/>
  <c r="H40" i="17"/>
  <c r="H43" i="15"/>
  <c r="H27" i="12"/>
  <c r="H19" i="6"/>
  <c r="H192" i="17"/>
  <c r="H45" i="16"/>
  <c r="H160" i="17"/>
  <c r="H133" i="15"/>
  <c r="H5" i="16"/>
  <c r="H57" i="17"/>
  <c r="H66" i="12"/>
  <c r="H30" i="8"/>
  <c r="H34" i="13"/>
  <c r="H17" i="7"/>
  <c r="H52" i="12"/>
  <c r="H29" i="6"/>
  <c r="H62" i="16"/>
  <c r="H213" i="17"/>
  <c r="H9" i="16"/>
  <c r="H70" i="17"/>
  <c r="H238" i="17"/>
  <c r="H158" i="15"/>
  <c r="H45" i="11"/>
  <c r="H91" i="13"/>
  <c r="H5" i="12"/>
  <c r="H5" i="6"/>
  <c r="H39" i="12"/>
  <c r="H17" i="8"/>
  <c r="H40" i="12"/>
  <c r="H22" i="6"/>
  <c r="H57" i="16"/>
  <c r="H208" i="17"/>
  <c r="H15" i="17"/>
  <c r="H13" i="15"/>
  <c r="H64" i="17"/>
  <c r="H59" i="15"/>
  <c r="H81" i="12"/>
  <c r="H51" i="6"/>
  <c r="H88" i="16"/>
  <c r="H246" i="17"/>
  <c r="H112" i="17"/>
  <c r="H17" i="16"/>
  <c r="H148" i="15"/>
  <c r="H187" i="17"/>
  <c r="H151" i="17"/>
  <c r="H124" i="15"/>
  <c r="H10" i="11"/>
  <c r="H14" i="13"/>
  <c r="H58" i="13"/>
  <c r="H33" i="7"/>
  <c r="H69" i="13"/>
  <c r="H38" i="7"/>
  <c r="H30" i="16"/>
  <c r="H167" i="17"/>
  <c r="H80" i="17"/>
  <c r="H10" i="16"/>
  <c r="H145" i="17"/>
  <c r="H122" i="15"/>
  <c r="H90" i="13"/>
  <c r="H47" i="7"/>
  <c r="H20" i="13"/>
  <c r="H9" i="7"/>
  <c r="H191" i="17"/>
  <c r="H44" i="16"/>
  <c r="H175" i="17"/>
  <c r="H152" i="15"/>
  <c r="H48" i="17"/>
  <c r="H47" i="15"/>
  <c r="H2" i="11"/>
  <c r="H2" i="13"/>
  <c r="H42" i="13"/>
  <c r="H22" i="7"/>
  <c r="H184" i="17"/>
  <c r="H154" i="15"/>
  <c r="H163" i="17"/>
  <c r="H141" i="15"/>
  <c r="H36" i="17"/>
  <c r="H36" i="15"/>
  <c r="H94" i="13"/>
  <c r="H50" i="7"/>
  <c r="H87" i="12"/>
  <c r="H55" i="6"/>
  <c r="H31" i="16"/>
  <c r="H168" i="17"/>
  <c r="H250" i="17"/>
  <c r="H161" i="15"/>
  <c r="H55" i="15"/>
  <c r="H58" i="17"/>
  <c r="H31" i="12"/>
  <c r="H20" i="6"/>
  <c r="H236" i="17"/>
  <c r="H80" i="16"/>
  <c r="H34" i="16"/>
  <c r="H172" i="17"/>
  <c r="H37" i="17"/>
  <c r="H35" i="15"/>
  <c r="H8" i="13"/>
  <c r="H6" i="11"/>
  <c r="H46" i="12"/>
  <c r="H20" i="8"/>
  <c r="H68" i="12"/>
  <c r="H40" i="6"/>
  <c r="H226" i="17"/>
  <c r="H72" i="16"/>
  <c r="H130" i="17"/>
  <c r="H115" i="15"/>
  <c r="H55" i="17"/>
  <c r="H53" i="15"/>
  <c r="H44" i="11"/>
  <c r="H87" i="13"/>
  <c r="H59" i="13"/>
  <c r="H34" i="7"/>
  <c r="H90" i="12"/>
  <c r="H45" i="8"/>
  <c r="H230" i="17"/>
  <c r="H75" i="16"/>
  <c r="H159" i="17"/>
  <c r="H138" i="15"/>
  <c r="H31" i="17"/>
  <c r="H37" i="15"/>
  <c r="H30" i="12"/>
  <c r="H12" i="8"/>
  <c r="H63" i="12"/>
  <c r="H39" i="6"/>
  <c r="H110" i="17"/>
  <c r="H97" i="15"/>
  <c r="H27" i="11"/>
  <c r="H60" i="13"/>
  <c r="H35" i="13"/>
  <c r="H18" i="7"/>
  <c r="H180" i="17"/>
  <c r="H144" i="15"/>
  <c r="H76" i="17"/>
  <c r="H89" i="15"/>
  <c r="H32" i="12"/>
  <c r="H13" i="8"/>
  <c r="H15" i="16"/>
  <c r="H101" i="17"/>
  <c r="H79" i="17"/>
  <c r="H68" i="15"/>
  <c r="H56" i="12"/>
  <c r="H34" i="6"/>
  <c r="H83" i="16"/>
  <c r="H240" i="17"/>
  <c r="H12" i="16"/>
  <c r="H83" i="17"/>
  <c r="H56" i="15"/>
  <c r="H60" i="17"/>
  <c r="H7" i="8"/>
  <c r="H12" i="12"/>
  <c r="H13" i="12"/>
  <c r="H42" i="6"/>
  <c r="H233" i="17"/>
  <c r="H78" i="16"/>
  <c r="H49" i="17"/>
  <c r="H3" i="16"/>
  <c r="H138" i="17"/>
  <c r="H120" i="15"/>
  <c r="H16" i="13"/>
  <c r="H12" i="11"/>
  <c r="H74" i="12"/>
  <c r="H35" i="8"/>
  <c r="H23" i="12"/>
  <c r="H16" i="6"/>
  <c r="H13" i="16"/>
  <c r="H94" i="17"/>
  <c r="H106" i="17"/>
  <c r="H92" i="15"/>
  <c r="H16" i="15"/>
  <c r="H17" i="17"/>
  <c r="H76" i="12"/>
  <c r="H37" i="8"/>
  <c r="H26" i="12"/>
  <c r="H18" i="6"/>
  <c r="H149" i="17"/>
  <c r="H129" i="15"/>
  <c r="H54" i="15"/>
  <c r="H56" i="17"/>
  <c r="H102" i="15"/>
  <c r="H123" i="17"/>
  <c r="H21" i="13"/>
  <c r="H13" i="11"/>
  <c r="H64" i="12"/>
  <c r="H28" i="8"/>
  <c r="H88" i="12"/>
  <c r="H56" i="6"/>
  <c r="H182" i="17"/>
  <c r="H38" i="16"/>
  <c r="H132" i="17"/>
  <c r="H113" i="15"/>
  <c r="H18" i="11"/>
  <c r="H33" i="13"/>
  <c r="H82" i="13"/>
  <c r="H43" i="7"/>
  <c r="H87" i="16"/>
  <c r="H245" i="17"/>
  <c r="H235" i="17"/>
  <c r="H79" i="16"/>
  <c r="H19" i="17"/>
  <c r="H26" i="15"/>
  <c r="H95" i="12"/>
  <c r="H47" i="8"/>
  <c r="H17" i="12"/>
  <c r="H10" i="6"/>
  <c r="H134" i="17"/>
  <c r="H117" i="15"/>
  <c r="H35" i="17"/>
  <c r="H32" i="15"/>
  <c r="H24" i="17"/>
  <c r="H25" i="15"/>
  <c r="H14" i="11"/>
  <c r="H23" i="13"/>
  <c r="H6" i="13"/>
  <c r="H4" i="11"/>
  <c r="H27" i="13"/>
  <c r="H13" i="7"/>
  <c r="H69" i="16"/>
  <c r="H222" i="17"/>
  <c r="H111" i="15"/>
  <c r="H135" i="17"/>
  <c r="H114" i="15"/>
  <c r="H126" i="17"/>
  <c r="H104" i="12"/>
  <c r="H52" i="6"/>
  <c r="H33" i="17"/>
  <c r="H39" i="15"/>
  <c r="H17" i="11"/>
  <c r="H31" i="13"/>
  <c r="H85" i="13"/>
  <c r="H44" i="7"/>
  <c r="H74" i="16"/>
  <c r="H229" i="17"/>
  <c r="H89" i="16"/>
  <c r="H247" i="17"/>
  <c r="H20" i="16"/>
  <c r="H120" i="17"/>
  <c r="H194" i="17"/>
  <c r="H140" i="15"/>
  <c r="H42" i="11"/>
  <c r="H84" i="13"/>
  <c r="H73" i="12"/>
  <c r="H34" i="8"/>
  <c r="H216" i="17"/>
  <c r="H64" i="16"/>
  <c r="H103" i="15"/>
  <c r="H122" i="17"/>
  <c r="H50" i="17"/>
  <c r="H50" i="15"/>
  <c r="H27" i="17"/>
  <c r="H30" i="15"/>
  <c r="H41" i="12"/>
  <c r="H26" i="6"/>
  <c r="H27" i="16"/>
  <c r="H156" i="17"/>
  <c r="H8" i="16"/>
  <c r="H69" i="17"/>
  <c r="H116" i="17"/>
  <c r="H98" i="15"/>
  <c r="H7" i="12"/>
  <c r="H4" i="8"/>
  <c r="H2" i="7"/>
  <c r="H4" i="13"/>
  <c r="H84" i="16"/>
  <c r="H242" i="17"/>
  <c r="H241" i="17"/>
  <c r="H159" i="15"/>
  <c r="H88" i="17"/>
  <c r="H76" i="15"/>
  <c r="H11" i="11"/>
  <c r="H15" i="13"/>
  <c r="H67" i="12"/>
  <c r="H41" i="6"/>
  <c r="H35" i="16"/>
  <c r="H173" i="17"/>
  <c r="H85" i="15"/>
  <c r="H249" i="17"/>
  <c r="H45" i="17"/>
  <c r="H42" i="15"/>
  <c r="H102" i="12"/>
  <c r="H54" i="8"/>
  <c r="H76" i="13"/>
  <c r="H41" i="7"/>
  <c r="H36" i="13"/>
  <c r="H19" i="7"/>
  <c r="H77" i="16"/>
  <c r="H232" i="17"/>
  <c r="H198" i="17"/>
  <c r="H160" i="15"/>
  <c r="H65" i="17"/>
  <c r="H60" i="15"/>
  <c r="H90" i="17"/>
  <c r="H82" i="15"/>
  <c r="H24" i="11"/>
  <c r="H50" i="13"/>
  <c r="H97" i="12"/>
  <c r="H49" i="8"/>
  <c r="H66" i="13"/>
  <c r="H36" i="7"/>
  <c r="H30" i="13"/>
  <c r="H15" i="7"/>
  <c r="H127" i="15"/>
  <c r="H146" i="17"/>
  <c r="H80" i="15"/>
  <c r="H93" i="17"/>
  <c r="H8" i="17"/>
  <c r="H6" i="15"/>
  <c r="H71" i="13"/>
  <c r="H33" i="11"/>
  <c r="H47" i="13"/>
  <c r="H27" i="7"/>
  <c r="H42" i="12"/>
  <c r="H18" i="8"/>
  <c r="H119" i="15"/>
  <c r="H164" i="17"/>
  <c r="H57" i="15"/>
  <c r="H61" i="17"/>
  <c r="H77" i="15"/>
  <c r="H87" i="17"/>
  <c r="H37" i="11"/>
  <c r="H78" i="13"/>
  <c r="H36" i="12"/>
  <c r="H15" i="8"/>
  <c r="H19" i="12"/>
  <c r="H13" i="6"/>
  <c r="H150" i="17"/>
  <c r="H25" i="16"/>
  <c r="H193" i="17"/>
  <c r="H150" i="15"/>
  <c r="H43" i="17"/>
  <c r="H45" i="15"/>
  <c r="H3" i="13"/>
  <c r="H3" i="11"/>
  <c r="H50" i="12"/>
  <c r="H23" i="8"/>
  <c r="H71" i="12"/>
  <c r="H43" i="6"/>
  <c r="H110" i="15"/>
  <c r="H117" i="17"/>
  <c r="H41" i="15"/>
  <c r="H44" i="17"/>
  <c r="H13" i="17"/>
  <c r="H12" i="15"/>
  <c r="H36" i="11"/>
  <c r="H75" i="13"/>
  <c r="H10" i="12"/>
  <c r="H5" i="8"/>
  <c r="H8" i="12"/>
  <c r="H6" i="6"/>
  <c r="H29" i="12"/>
  <c r="H11" i="8"/>
  <c r="H85" i="16"/>
  <c r="H243" i="17"/>
  <c r="H133" i="17"/>
  <c r="H116" i="15"/>
  <c r="H196" i="17"/>
  <c r="H149" i="15"/>
  <c r="H22" i="12"/>
  <c r="H8" i="8"/>
  <c r="H18" i="12"/>
  <c r="H12" i="6"/>
  <c r="H197" i="17"/>
  <c r="H47" i="16"/>
  <c r="H132" i="15"/>
  <c r="H143" i="17"/>
  <c r="H71" i="17"/>
  <c r="H61" i="15"/>
  <c r="H32" i="11"/>
  <c r="H67" i="13"/>
  <c r="H80" i="12"/>
  <c r="H41" i="8"/>
  <c r="H13" i="13"/>
  <c r="H5" i="7"/>
  <c r="H211" i="17"/>
  <c r="H60" i="16"/>
  <c r="H170" i="17"/>
  <c r="H146" i="15"/>
  <c r="H72" i="17"/>
  <c r="H62" i="15"/>
  <c r="H48" i="7"/>
  <c r="H92" i="13"/>
  <c r="H85" i="12"/>
  <c r="H43" i="8"/>
  <c r="H9" i="12"/>
  <c r="H7" i="6"/>
  <c r="H239" i="17"/>
  <c r="H82" i="16"/>
  <c r="H177" i="17"/>
  <c r="H145" i="15"/>
  <c r="H86" i="17"/>
  <c r="H75" i="15"/>
  <c r="H88" i="13"/>
  <c r="H45" i="7"/>
  <c r="H47" i="12"/>
  <c r="H21" i="8"/>
  <c r="H6" i="16"/>
  <c r="H66" i="17"/>
  <c r="H105" i="15"/>
  <c r="H109" i="17"/>
  <c r="H7" i="17"/>
  <c r="H5" i="15"/>
  <c r="H40" i="11"/>
  <c r="H81" i="13"/>
  <c r="H48" i="12"/>
  <c r="H22" i="8"/>
  <c r="H21" i="12"/>
  <c r="H14" i="6"/>
  <c r="H151" i="15"/>
  <c r="H223" i="17"/>
  <c r="H59" i="17"/>
  <c r="H44" i="15"/>
  <c r="H3" i="15"/>
  <c r="H3" i="17"/>
  <c r="H22" i="13"/>
  <c r="H10" i="7"/>
  <c r="H106" i="15"/>
  <c r="H124" i="17"/>
  <c r="H46" i="15"/>
  <c r="H46" i="17"/>
  <c r="H32" i="17"/>
  <c r="H48" i="15"/>
  <c r="H15" i="11"/>
  <c r="H24" i="13"/>
  <c r="H28" i="11"/>
  <c r="H62" i="13"/>
  <c r="H5" i="13"/>
  <c r="H3" i="7"/>
  <c r="H86" i="16"/>
  <c r="H244" i="17"/>
  <c r="H142" i="15"/>
  <c r="H178" i="17"/>
  <c r="H51" i="17"/>
  <c r="H49" i="15"/>
  <c r="H12" i="17"/>
  <c r="H11" i="15"/>
  <c r="H96" i="12"/>
  <c r="H48" i="8"/>
  <c r="H82" i="12"/>
  <c r="H48" i="6"/>
  <c r="H47" i="17"/>
  <c r="H33" i="15"/>
  <c r="H103" i="17"/>
  <c r="H88" i="15"/>
  <c r="H54" i="12"/>
  <c r="H31" i="6"/>
  <c r="H212" i="17"/>
  <c r="H61" i="16"/>
  <c r="H84" i="12"/>
  <c r="H42" i="8"/>
  <c r="H217" i="17"/>
  <c r="H65" i="16"/>
  <c r="H18" i="16"/>
  <c r="H113" i="17"/>
  <c r="H128" i="17"/>
  <c r="H107" i="15"/>
  <c r="H9" i="8"/>
  <c r="H24" i="12"/>
  <c r="H33" i="12"/>
  <c r="H23" i="6"/>
  <c r="H90" i="16"/>
  <c r="H248" i="17"/>
  <c r="H171" i="17"/>
  <c r="H33" i="16"/>
  <c r="H108" i="15"/>
  <c r="H125" i="17"/>
  <c r="H25" i="11"/>
  <c r="H55" i="13"/>
  <c r="H10" i="13"/>
  <c r="H8" i="11"/>
  <c r="H25" i="13"/>
  <c r="H11" i="7"/>
  <c r="H92" i="12"/>
  <c r="H61" i="6"/>
  <c r="H188" i="17"/>
  <c r="H41" i="16"/>
  <c r="H16" i="16"/>
  <c r="H111" i="17"/>
  <c r="H102" i="17"/>
  <c r="H90" i="15"/>
  <c r="H30" i="11"/>
  <c r="H64" i="13"/>
  <c r="H70" i="13"/>
  <c r="H39" i="7"/>
  <c r="H15" i="12"/>
  <c r="H9" i="6"/>
  <c r="H73" i="16"/>
  <c r="H228" i="17"/>
  <c r="H155" i="15"/>
  <c r="H218" i="17"/>
  <c r="H139" i="15"/>
  <c r="H131" i="17"/>
  <c r="H9" i="11"/>
  <c r="H11" i="13"/>
  <c r="H44" i="12"/>
  <c r="H27" i="6"/>
  <c r="H200" i="17"/>
  <c r="H49" i="16"/>
  <c r="H154" i="17"/>
  <c r="H131" i="15"/>
  <c r="H77" i="17"/>
  <c r="H66" i="15"/>
  <c r="H38" i="12"/>
  <c r="H25" i="6"/>
  <c r="H55" i="16"/>
  <c r="H206" i="17"/>
  <c r="H162" i="17"/>
  <c r="H121" i="15"/>
  <c r="H68" i="17"/>
  <c r="H73" i="15"/>
  <c r="H11" i="17"/>
  <c r="H24" i="15"/>
  <c r="H37" i="13"/>
  <c r="H19" i="11"/>
  <c r="H39" i="13"/>
  <c r="H20" i="7"/>
  <c r="H76" i="16"/>
  <c r="H231" i="17"/>
  <c r="H227" i="17"/>
  <c r="H157" i="15"/>
  <c r="H107" i="17"/>
  <c r="H96" i="15"/>
  <c r="H115" i="17"/>
  <c r="H99" i="15"/>
  <c r="H78" i="12"/>
  <c r="H39" i="8"/>
  <c r="H4" i="12"/>
  <c r="H3" i="6"/>
  <c r="H147" i="15"/>
  <c r="H183" i="17"/>
  <c r="H41" i="17"/>
  <c r="H51" i="15"/>
  <c r="H78" i="17"/>
  <c r="H64" i="15"/>
  <c r="H56" i="13"/>
  <c r="H26" i="11"/>
  <c r="H37" i="12"/>
  <c r="H16" i="8"/>
  <c r="H14" i="12"/>
  <c r="H8" i="6"/>
  <c r="H28" i="16"/>
  <c r="H157" i="17"/>
  <c r="H161" i="17"/>
  <c r="H134" i="15"/>
  <c r="H63" i="17"/>
  <c r="H74" i="15"/>
  <c r="H34" i="12"/>
  <c r="H14" i="8"/>
  <c r="H5" i="17"/>
  <c r="H4" i="15"/>
  <c r="H209" i="17"/>
  <c r="H58" i="16"/>
  <c r="H140" i="17"/>
  <c r="H22" i="16"/>
  <c r="H202" i="17"/>
  <c r="H51" i="16"/>
  <c r="H28" i="12"/>
  <c r="H10" i="8"/>
  <c r="H104" i="17"/>
  <c r="H95" i="15"/>
  <c r="H70" i="16"/>
  <c r="H224" i="17"/>
  <c r="H99" i="17"/>
  <c r="H86" i="15"/>
  <c r="H108" i="17"/>
  <c r="H94" i="15"/>
  <c r="H22" i="15"/>
  <c r="H25" i="17"/>
  <c r="H21" i="11"/>
  <c r="H41" i="13"/>
  <c r="H89" i="13"/>
  <c r="H46" i="7"/>
  <c r="H75" i="12"/>
  <c r="H36" i="8"/>
  <c r="H56" i="16"/>
  <c r="H207" i="17"/>
  <c r="H7" i="16"/>
  <c r="H67" i="17"/>
  <c r="H98" i="17"/>
  <c r="H87" i="15"/>
  <c r="H49" i="13"/>
  <c r="H23" i="11"/>
  <c r="H26" i="13"/>
  <c r="H12" i="7"/>
  <c r="H83" i="12"/>
  <c r="H53" i="6"/>
  <c r="H179" i="17"/>
  <c r="H37" i="16"/>
  <c r="H81" i="17"/>
  <c r="H69" i="15"/>
  <c r="H65" i="15"/>
  <c r="H73" i="17"/>
  <c r="H34" i="11"/>
  <c r="H72" i="13"/>
  <c r="H100" i="12"/>
  <c r="H52" i="8"/>
  <c r="H52" i="13"/>
  <c r="H29" i="7"/>
  <c r="H155" i="17"/>
  <c r="H26" i="16"/>
  <c r="H118" i="17"/>
  <c r="H100" i="15"/>
  <c r="H34" i="15"/>
  <c r="H38" i="17"/>
  <c r="H86" i="13"/>
  <c r="H43" i="11"/>
  <c r="H70" i="12"/>
  <c r="H32" i="8"/>
  <c r="H55" i="12"/>
  <c r="H32" i="6"/>
  <c r="H53" i="16"/>
  <c r="H204" i="17"/>
  <c r="H4" i="16"/>
  <c r="H54" i="17"/>
  <c r="H119" i="17"/>
  <c r="H101" i="15"/>
  <c r="H22" i="11"/>
  <c r="H48" i="13"/>
  <c r="H79" i="12"/>
  <c r="H40" i="8"/>
  <c r="H32" i="13"/>
  <c r="H16" i="7"/>
  <c r="H225" i="17"/>
  <c r="H71" i="16"/>
  <c r="H139" i="17"/>
  <c r="H118" i="15"/>
  <c r="H96" i="17"/>
  <c r="H84" i="15"/>
  <c r="H16" i="11"/>
  <c r="H28" i="13"/>
  <c r="H65" i="12"/>
  <c r="H29" i="8"/>
  <c r="H18" i="13"/>
  <c r="H7" i="7"/>
  <c r="H59" i="16"/>
  <c r="H210" i="17"/>
  <c r="H128" i="15"/>
  <c r="H153" i="17"/>
  <c r="H38" i="15"/>
  <c r="H42" i="17"/>
  <c r="H77" i="12"/>
  <c r="H38" i="8"/>
  <c r="H20" i="12"/>
  <c r="H15" i="6"/>
  <c r="H169" i="17"/>
  <c r="H32" i="16"/>
  <c r="H152" i="17"/>
  <c r="H126" i="15"/>
  <c r="H78" i="15"/>
  <c r="H89" i="17"/>
  <c r="H72" i="12"/>
  <c r="H33" i="8"/>
  <c r="H46" i="13"/>
  <c r="H26" i="7"/>
  <c r="H89" i="12"/>
  <c r="H58" i="6"/>
  <c r="H220" i="17"/>
  <c r="H67" i="16"/>
  <c r="H147" i="17"/>
  <c r="H123" i="15"/>
  <c r="H70" i="15"/>
  <c r="H74" i="17"/>
  <c r="H28" i="17"/>
  <c r="H27" i="15"/>
  <c r="H93" i="12"/>
  <c r="H59" i="6"/>
  <c r="H43" i="16"/>
  <c r="H190" i="17"/>
  <c r="H105" i="17"/>
  <c r="H93" i="15"/>
  <c r="H85" i="17"/>
  <c r="H91" i="15"/>
  <c r="H59" i="12"/>
  <c r="H26" i="8"/>
  <c r="H14" i="7"/>
  <c r="H29" i="13"/>
  <c r="H49" i="12"/>
  <c r="H30" i="6"/>
  <c r="D60" i="13"/>
  <c r="D90" i="13"/>
  <c r="D43" i="13"/>
  <c r="D61" i="13"/>
  <c r="D78" i="12"/>
  <c r="D32" i="13"/>
  <c r="D39" i="13"/>
  <c r="D22" i="13"/>
  <c r="D83" i="13"/>
  <c r="D56" i="13"/>
  <c r="D70" i="13"/>
  <c r="D67" i="13"/>
  <c r="D65" i="13"/>
  <c r="D31" i="13"/>
  <c r="D48" i="13"/>
  <c r="D94" i="13"/>
  <c r="D10" i="13"/>
  <c r="D9" i="13"/>
  <c r="D28" i="13"/>
  <c r="D53" i="13"/>
  <c r="D20" i="13"/>
  <c r="D41" i="13"/>
  <c r="D79" i="13"/>
  <c r="D74" i="13"/>
  <c r="D47" i="13"/>
  <c r="D93" i="13"/>
  <c r="D24" i="13"/>
  <c r="D7" i="13"/>
  <c r="D3" i="13"/>
  <c r="D80" i="13"/>
  <c r="D27" i="13"/>
  <c r="D78" i="13"/>
  <c r="D4" i="13"/>
  <c r="D46" i="13"/>
  <c r="D11" i="13"/>
  <c r="D40" i="13"/>
  <c r="D30" i="13"/>
  <c r="D86" i="13"/>
  <c r="D37" i="13"/>
  <c r="D68" i="13"/>
  <c r="D26" i="13"/>
  <c r="D85" i="13"/>
  <c r="D6" i="13"/>
  <c r="D71" i="13"/>
  <c r="D12" i="13"/>
  <c r="D45" i="13"/>
  <c r="D75" i="13"/>
  <c r="D88" i="13"/>
  <c r="D8" i="13"/>
  <c r="D42" i="13"/>
  <c r="D77" i="13"/>
  <c r="D25" i="13"/>
  <c r="D36" i="13"/>
  <c r="D21" i="13"/>
  <c r="D62" i="13"/>
  <c r="D34" i="13"/>
  <c r="D58" i="13"/>
  <c r="D84" i="13"/>
  <c r="D55" i="13"/>
  <c r="D16" i="13"/>
  <c r="D35" i="13"/>
  <c r="D59" i="13"/>
  <c r="D15" i="13"/>
  <c r="D52" i="13"/>
  <c r="D13" i="13"/>
  <c r="D44" i="13"/>
  <c r="D87" i="13"/>
  <c r="D18" i="13"/>
  <c r="D89" i="13"/>
  <c r="D76" i="13"/>
  <c r="D14" i="13"/>
  <c r="D2" i="13"/>
  <c r="D5" i="13"/>
  <c r="D19" i="13"/>
  <c r="D54" i="13"/>
  <c r="D73" i="13"/>
  <c r="D91" i="13"/>
  <c r="D29" i="13"/>
  <c r="D63" i="13"/>
  <c r="D69" i="13"/>
  <c r="D66" i="13"/>
  <c r="D51" i="13"/>
  <c r="D64" i="13"/>
  <c r="D23" i="13"/>
  <c r="D33" i="13"/>
  <c r="D57" i="13"/>
  <c r="D82" i="13"/>
  <c r="D72" i="13"/>
  <c r="D92" i="13"/>
  <c r="D50" i="13"/>
  <c r="D81" i="13"/>
  <c r="D38" i="13"/>
  <c r="D49" i="13"/>
  <c r="D17" i="13"/>
  <c r="D70" i="12"/>
  <c r="D36" i="12"/>
  <c r="D66" i="12"/>
  <c r="D89" i="12"/>
  <c r="D85" i="12"/>
  <c r="D79" i="12"/>
  <c r="D65" i="12"/>
  <c r="D69" i="12"/>
  <c r="D48" i="12"/>
  <c r="D14" i="12"/>
  <c r="D33" i="12"/>
  <c r="D41" i="12"/>
  <c r="D86" i="12"/>
  <c r="D95" i="12"/>
  <c r="D53" i="12"/>
  <c r="D64" i="12"/>
  <c r="D19" i="12"/>
  <c r="D73" i="12"/>
  <c r="D32" i="12"/>
  <c r="D28" i="12"/>
  <c r="D67" i="12"/>
  <c r="D71" i="12"/>
  <c r="D62" i="12"/>
  <c r="D94" i="12"/>
  <c r="D88" i="12"/>
  <c r="D40" i="12"/>
  <c r="D80" i="12"/>
  <c r="D87" i="12"/>
  <c r="D75" i="12"/>
  <c r="D24" i="12"/>
  <c r="D99" i="12"/>
  <c r="D72" i="12"/>
  <c r="D30" i="12"/>
  <c r="D81" i="12"/>
  <c r="D102" i="12"/>
  <c r="D61" i="12"/>
  <c r="D97" i="12"/>
  <c r="D34" i="12"/>
  <c r="D59" i="12"/>
  <c r="D44" i="12"/>
  <c r="D8" i="12"/>
  <c r="D93" i="12"/>
  <c r="D104" i="12"/>
  <c r="D74" i="12"/>
  <c r="D22" i="12"/>
  <c r="D63" i="12"/>
  <c r="D20" i="12"/>
  <c r="D21" i="12"/>
  <c r="D27" i="12"/>
  <c r="D50" i="12"/>
  <c r="D52" i="12"/>
  <c r="D26" i="12"/>
  <c r="D58" i="12"/>
  <c r="D91" i="12"/>
  <c r="D68" i="12"/>
  <c r="D83" i="12"/>
  <c r="D16" i="12"/>
  <c r="D38" i="12"/>
  <c r="D82" i="12"/>
  <c r="D55" i="12"/>
  <c r="D37" i="12"/>
  <c r="D15" i="12"/>
  <c r="D51" i="12"/>
  <c r="D49" i="12"/>
  <c r="D35" i="12"/>
  <c r="D12" i="12"/>
  <c r="D39" i="12"/>
  <c r="D47" i="12"/>
  <c r="D92" i="12"/>
  <c r="D18" i="12"/>
  <c r="D3" i="12"/>
  <c r="D98" i="12"/>
  <c r="D25" i="12"/>
  <c r="D96" i="12"/>
  <c r="D23" i="12"/>
  <c r="D42" i="12"/>
  <c r="D45" i="12"/>
  <c r="D60" i="12"/>
  <c r="D6" i="12"/>
  <c r="D31" i="12"/>
  <c r="D46" i="12"/>
  <c r="D101" i="12"/>
  <c r="D56" i="12"/>
  <c r="D5" i="12"/>
  <c r="D4" i="12"/>
  <c r="D103" i="12"/>
  <c r="D77" i="12"/>
  <c r="D2" i="12"/>
  <c r="D13" i="12"/>
  <c r="D17" i="12"/>
  <c r="D100" i="12"/>
  <c r="D43" i="12"/>
  <c r="D54" i="12"/>
  <c r="D76" i="12"/>
  <c r="D29" i="12"/>
  <c r="D10" i="12"/>
  <c r="D90" i="12"/>
  <c r="D9" i="12"/>
  <c r="D57" i="12"/>
  <c r="D7" i="12"/>
  <c r="D11" i="12"/>
  <c r="D84" i="12"/>
  <c r="F100" i="10"/>
  <c r="F85" i="10"/>
  <c r="F45" i="10"/>
  <c r="F20" i="10"/>
  <c r="F66" i="10"/>
  <c r="F3" i="10"/>
  <c r="F117" i="10"/>
  <c r="F118" i="10"/>
  <c r="F5" i="10"/>
  <c r="F24" i="10"/>
  <c r="F78" i="10"/>
  <c r="F87" i="10"/>
  <c r="F124" i="10"/>
  <c r="F77" i="10"/>
  <c r="F57" i="10"/>
  <c r="F18" i="10"/>
  <c r="F34" i="10"/>
  <c r="F114" i="10"/>
  <c r="F81" i="10"/>
  <c r="F28" i="10"/>
  <c r="F68" i="10"/>
  <c r="F38" i="10"/>
  <c r="F10" i="10"/>
  <c r="F135" i="10"/>
  <c r="F6" i="10"/>
  <c r="F72" i="10"/>
  <c r="F14" i="10"/>
  <c r="F122" i="10"/>
  <c r="F121" i="10"/>
  <c r="F138" i="10"/>
  <c r="F48" i="10"/>
  <c r="F129" i="10"/>
  <c r="F33" i="10"/>
  <c r="F120" i="10"/>
  <c r="F50" i="10"/>
  <c r="F88" i="10"/>
  <c r="F125" i="10"/>
  <c r="F49" i="10"/>
  <c r="F112" i="10"/>
  <c r="F52" i="10"/>
  <c r="F11" i="10"/>
  <c r="F65" i="10"/>
  <c r="F82" i="10"/>
  <c r="F119" i="10"/>
  <c r="F64" i="10"/>
  <c r="F108" i="10"/>
  <c r="F127" i="10"/>
  <c r="F139" i="10"/>
  <c r="F116" i="10"/>
  <c r="F73" i="10"/>
  <c r="F90" i="10"/>
  <c r="F105" i="10"/>
  <c r="F23" i="10"/>
  <c r="F101" i="10"/>
  <c r="F99" i="10"/>
  <c r="F27" i="10"/>
  <c r="F41" i="10"/>
  <c r="F58" i="10"/>
  <c r="F115" i="10"/>
  <c r="F71" i="10"/>
  <c r="F40" i="10"/>
  <c r="F86" i="10"/>
  <c r="F111" i="10"/>
  <c r="F25" i="10"/>
  <c r="F103" i="10"/>
  <c r="F128" i="10"/>
  <c r="F32" i="10"/>
  <c r="F79" i="10"/>
  <c r="F93" i="10"/>
  <c r="F8" i="10"/>
  <c r="F137" i="10"/>
  <c r="F98" i="10"/>
  <c r="F97" i="10"/>
  <c r="F62" i="10"/>
  <c r="F96" i="10"/>
  <c r="F94" i="10"/>
  <c r="F53" i="10"/>
  <c r="F107" i="10"/>
  <c r="F46" i="10"/>
  <c r="F61" i="10"/>
  <c r="F7" i="10"/>
  <c r="F36" i="10"/>
  <c r="F84" i="10"/>
  <c r="F37" i="10"/>
  <c r="F106" i="10"/>
  <c r="F92" i="10"/>
  <c r="F136" i="10"/>
  <c r="F39" i="10"/>
  <c r="F16" i="10"/>
  <c r="F13" i="10"/>
  <c r="F35" i="10"/>
  <c r="F83" i="10"/>
  <c r="F15" i="10"/>
  <c r="F9" i="10"/>
  <c r="F63" i="10"/>
  <c r="F42" i="10"/>
  <c r="F60" i="10"/>
  <c r="F22" i="10"/>
  <c r="F21" i="10"/>
  <c r="F110" i="10"/>
  <c r="F4" i="10"/>
  <c r="F132" i="10"/>
  <c r="F19" i="10"/>
  <c r="F17" i="10"/>
  <c r="F123" i="10"/>
  <c r="F134" i="10"/>
  <c r="F74" i="10"/>
  <c r="F26" i="10"/>
  <c r="F67" i="10"/>
  <c r="F56" i="10"/>
  <c r="F30" i="10"/>
  <c r="F109" i="10"/>
  <c r="F51" i="10"/>
  <c r="F89" i="10"/>
  <c r="F31" i="10"/>
  <c r="F76" i="10"/>
  <c r="F75" i="10"/>
  <c r="F104" i="10"/>
  <c r="F47" i="10"/>
  <c r="F59" i="10"/>
  <c r="F2" i="10"/>
  <c r="F43" i="10"/>
  <c r="F102" i="10"/>
  <c r="F95" i="10"/>
  <c r="F29" i="10"/>
  <c r="F12" i="10"/>
  <c r="F91" i="10"/>
  <c r="F113" i="10"/>
  <c r="F133" i="10"/>
  <c r="F69" i="10"/>
  <c r="F126" i="10"/>
  <c r="F80" i="10"/>
  <c r="F55" i="10"/>
  <c r="F70" i="10"/>
  <c r="F44" i="10"/>
  <c r="F130" i="10"/>
  <c r="F131" i="10"/>
  <c r="F54" i="10"/>
  <c r="D42" i="8"/>
  <c r="D21" i="8"/>
  <c r="D3" i="11"/>
  <c r="D34" i="8"/>
  <c r="D49" i="7"/>
  <c r="D206" i="17"/>
  <c r="D41" i="17"/>
  <c r="D219" i="17"/>
  <c r="D145" i="17"/>
  <c r="D88" i="17"/>
  <c r="D117" i="15"/>
  <c r="D103" i="15"/>
  <c r="D36" i="17"/>
  <c r="D43" i="7"/>
  <c r="D89" i="16"/>
  <c r="D12" i="8"/>
  <c r="D40" i="11"/>
  <c r="D33" i="11"/>
  <c r="D6" i="7"/>
  <c r="D40" i="17"/>
  <c r="D126" i="15"/>
  <c r="D37" i="7"/>
  <c r="D36" i="7"/>
  <c r="D46" i="8"/>
  <c r="D44" i="7"/>
  <c r="D3" i="7"/>
  <c r="D34" i="7"/>
  <c r="D87" i="17"/>
  <c r="D250" i="17"/>
  <c r="D31" i="17"/>
  <c r="D34" i="11"/>
  <c r="D24" i="11"/>
  <c r="D4" i="8"/>
  <c r="D48" i="7"/>
  <c r="D44" i="8"/>
  <c r="D29" i="8"/>
  <c r="D39" i="7"/>
  <c r="D40" i="6"/>
  <c r="D193" i="17"/>
  <c r="D231" i="17"/>
  <c r="D135" i="17"/>
  <c r="D151" i="17"/>
  <c r="D44" i="15"/>
  <c r="D8" i="16"/>
  <c r="D40" i="15"/>
  <c r="D200" i="17"/>
  <c r="D10" i="8"/>
  <c r="D94" i="17"/>
  <c r="D20" i="16"/>
  <c r="G17" i="3"/>
  <c r="H14" i="2"/>
  <c r="D21" i="6"/>
  <c r="D216" i="17"/>
  <c r="D185" i="17"/>
  <c r="D22" i="11"/>
  <c r="D76" i="16"/>
  <c r="D203" i="17"/>
  <c r="D240" i="17"/>
  <c r="D27" i="11"/>
  <c r="D25" i="15"/>
  <c r="D74" i="15"/>
  <c r="D21" i="15"/>
  <c r="D4" i="11"/>
  <c r="D22" i="8"/>
  <c r="D65" i="17"/>
  <c r="D112" i="17"/>
  <c r="D158" i="17"/>
  <c r="D142" i="15"/>
  <c r="D110" i="17"/>
  <c r="D31" i="11"/>
  <c r="D32" i="11"/>
  <c r="D21" i="11"/>
  <c r="D53" i="17"/>
  <c r="D7" i="17"/>
  <c r="D186" i="17"/>
  <c r="D210" i="17"/>
  <c r="D129" i="15"/>
  <c r="D245" i="17"/>
  <c r="D33" i="8"/>
  <c r="D86" i="16"/>
  <c r="D175" i="17"/>
  <c r="D33" i="6"/>
  <c r="D5" i="15"/>
  <c r="D131" i="17"/>
  <c r="D6" i="6"/>
  <c r="D68" i="15"/>
  <c r="D109" i="15"/>
  <c r="D97" i="17"/>
  <c r="D66" i="17"/>
  <c r="D96" i="15"/>
  <c r="D29" i="15"/>
  <c r="D58" i="17"/>
  <c r="D81" i="16"/>
  <c r="D37" i="6"/>
  <c r="D52" i="8"/>
  <c r="D22" i="6"/>
  <c r="D233" i="17"/>
  <c r="D19" i="6"/>
  <c r="D26" i="7"/>
  <c r="D34" i="6"/>
  <c r="D103" i="17"/>
  <c r="D75" i="16"/>
  <c r="D222" i="17"/>
  <c r="D156" i="15"/>
  <c r="D25" i="11"/>
  <c r="D152" i="17"/>
  <c r="D113" i="17"/>
  <c r="D152" i="15"/>
  <c r="D134" i="15"/>
  <c r="D29" i="17"/>
  <c r="D8" i="8"/>
  <c r="D26" i="15"/>
  <c r="D50" i="16"/>
  <c r="D56" i="6"/>
  <c r="D161" i="15"/>
  <c r="D29" i="7"/>
  <c r="D118" i="17"/>
  <c r="D86" i="15"/>
  <c r="D125" i="15"/>
  <c r="D13" i="17"/>
  <c r="D25" i="17"/>
  <c r="D43" i="15"/>
  <c r="D220" i="17"/>
  <c r="D90" i="16"/>
  <c r="D15" i="15"/>
  <c r="D161" i="17"/>
  <c r="D95" i="17"/>
  <c r="D4" i="15"/>
  <c r="D13" i="6"/>
  <c r="D19" i="17"/>
  <c r="D37" i="11"/>
  <c r="D201" i="17"/>
  <c r="D81" i="15"/>
  <c r="D9" i="16"/>
  <c r="D226" i="17"/>
  <c r="D53" i="15"/>
  <c r="D102" i="15"/>
  <c r="D248" i="17"/>
  <c r="D115" i="17"/>
  <c r="D94" i="15"/>
  <c r="D11" i="15"/>
  <c r="D2" i="6"/>
  <c r="D28" i="6"/>
  <c r="D22" i="7"/>
  <c r="D61" i="6"/>
  <c r="D39" i="8"/>
  <c r="D147" i="15"/>
  <c r="D12" i="7"/>
  <c r="D14" i="16"/>
  <c r="D23" i="8"/>
  <c r="D25" i="6"/>
  <c r="D45" i="16"/>
  <c r="D2" i="11"/>
  <c r="D7" i="8"/>
  <c r="D92" i="17"/>
  <c r="D56" i="16"/>
  <c r="D158" i="15"/>
  <c r="D244" i="17"/>
  <c r="D14" i="6"/>
  <c r="D120" i="15"/>
  <c r="D8" i="11"/>
  <c r="D5" i="11"/>
  <c r="D91" i="17"/>
  <c r="D49" i="15"/>
  <c r="D32" i="15"/>
  <c r="D7" i="7"/>
  <c r="D78" i="16"/>
  <c r="D145" i="15"/>
  <c r="D227" i="17"/>
  <c r="D48" i="6"/>
  <c r="D157" i="15"/>
  <c r="D23" i="11"/>
  <c r="D118" i="15"/>
  <c r="D122" i="15"/>
  <c r="D70" i="17"/>
  <c r="D79" i="16"/>
  <c r="D69" i="17"/>
  <c r="D45" i="7"/>
  <c r="D249" i="17"/>
  <c r="D132" i="15"/>
  <c r="D50" i="17"/>
  <c r="D5" i="16"/>
  <c r="D26" i="17"/>
  <c r="D10" i="16"/>
  <c r="D14" i="7"/>
  <c r="D20" i="6"/>
  <c r="D189" i="17"/>
  <c r="D42" i="6"/>
  <c r="D32" i="16"/>
  <c r="D105" i="15"/>
  <c r="D24" i="16"/>
  <c r="D10" i="6"/>
  <c r="D25" i="8"/>
  <c r="D138" i="17"/>
  <c r="D42" i="7"/>
  <c r="D54" i="8"/>
  <c r="D162" i="17"/>
  <c r="G26" i="3"/>
  <c r="G42" i="3" s="1"/>
  <c r="H11" i="2"/>
  <c r="D5" i="8"/>
  <c r="D5" i="6"/>
  <c r="D46" i="17"/>
  <c r="G14" i="3"/>
  <c r="H10" i="2"/>
  <c r="D28" i="17"/>
  <c r="D25" i="16"/>
  <c r="D32" i="7"/>
  <c r="D35" i="11"/>
  <c r="D37" i="16"/>
  <c r="D181" i="17"/>
  <c r="D20" i="8"/>
  <c r="D44" i="17"/>
  <c r="D89" i="17"/>
  <c r="D55" i="17"/>
  <c r="D179" i="17"/>
  <c r="D123" i="17"/>
  <c r="D108" i="17"/>
  <c r="D52" i="6"/>
  <c r="D40" i="7"/>
  <c r="D91" i="15"/>
  <c r="D20" i="15"/>
  <c r="D100" i="17"/>
  <c r="D25" i="7"/>
  <c r="D24" i="6"/>
  <c r="D43" i="16"/>
  <c r="D192" i="17"/>
  <c r="D8" i="7"/>
  <c r="D2" i="16"/>
  <c r="D22" i="17"/>
  <c r="D28" i="7"/>
  <c r="D96" i="17"/>
  <c r="D64" i="15"/>
  <c r="D58" i="15"/>
  <c r="D153" i="15"/>
  <c r="D12" i="16"/>
  <c r="D3" i="15"/>
  <c r="D4" i="17"/>
  <c r="D39" i="15"/>
  <c r="D24" i="8"/>
  <c r="D213" i="17"/>
  <c r="D101" i="17"/>
  <c r="D143" i="15"/>
  <c r="D10" i="17"/>
  <c r="D24" i="17"/>
  <c r="D16" i="7"/>
  <c r="D146" i="15"/>
  <c r="D155" i="15"/>
  <c r="D43" i="11"/>
  <c r="D38" i="7"/>
  <c r="D35" i="7"/>
  <c r="D88" i="15"/>
  <c r="D131" i="15"/>
  <c r="D16" i="11"/>
  <c r="D15" i="8"/>
  <c r="D235" i="17"/>
  <c r="D46" i="16"/>
  <c r="D36" i="6"/>
  <c r="D150" i="15"/>
  <c r="D139" i="17"/>
  <c r="D30" i="16"/>
  <c r="D110" i="15"/>
  <c r="D43" i="6"/>
  <c r="D29" i="16"/>
  <c r="D38" i="17"/>
  <c r="D80" i="17"/>
  <c r="D111" i="15"/>
  <c r="D169" i="17"/>
  <c r="D109" i="17"/>
  <c r="D108" i="15"/>
  <c r="D41" i="11"/>
  <c r="D113" i="15"/>
  <c r="D29" i="6"/>
  <c r="D57" i="17"/>
  <c r="D34" i="15"/>
  <c r="D72" i="15"/>
  <c r="D60" i="16"/>
  <c r="D114" i="15"/>
  <c r="D73" i="15"/>
  <c r="D71" i="15"/>
  <c r="D67" i="15"/>
  <c r="D83" i="16"/>
  <c r="D173" i="17"/>
  <c r="D150" i="17"/>
  <c r="D29" i="11"/>
  <c r="D128" i="15"/>
  <c r="D242" i="17"/>
  <c r="D64" i="17"/>
  <c r="D46" i="15"/>
  <c r="D74" i="17"/>
  <c r="D27" i="15"/>
  <c r="D41" i="16"/>
  <c r="D28" i="11"/>
  <c r="D72" i="16"/>
  <c r="D41" i="8"/>
  <c r="D49" i="8"/>
  <c r="D42" i="17"/>
  <c r="D54" i="16"/>
  <c r="D4" i="7"/>
  <c r="D2" i="8"/>
  <c r="D8" i="6"/>
  <c r="D10" i="11"/>
  <c r="D39" i="17"/>
  <c r="D19" i="8"/>
  <c r="D31" i="6"/>
  <c r="D130" i="15"/>
  <c r="D37" i="8"/>
  <c r="D49" i="17"/>
  <c r="G8" i="3"/>
  <c r="H7" i="2"/>
  <c r="D199" i="17"/>
  <c r="D45" i="15"/>
  <c r="D55" i="16"/>
  <c r="D178" i="17"/>
  <c r="D160" i="15"/>
  <c r="D112" i="15"/>
  <c r="D57" i="6"/>
  <c r="D39" i="11"/>
  <c r="D196" i="17"/>
  <c r="D99" i="17"/>
  <c r="D107" i="17"/>
  <c r="D7" i="15"/>
  <c r="D155" i="17"/>
  <c r="D122" i="17"/>
  <c r="D136" i="17"/>
  <c r="D197" i="17"/>
  <c r="D170" i="17"/>
  <c r="D218" i="17"/>
  <c r="D154" i="17"/>
  <c r="D123" i="15"/>
  <c r="D2" i="7"/>
  <c r="D6" i="15"/>
  <c r="D13" i="15"/>
  <c r="D83" i="17"/>
  <c r="D64" i="16"/>
  <c r="D195" i="17"/>
  <c r="D9" i="6"/>
  <c r="D149" i="15"/>
  <c r="D55" i="8"/>
  <c r="D147" i="17"/>
  <c r="D11" i="17"/>
  <c r="D21" i="17"/>
  <c r="D19" i="16"/>
  <c r="D9" i="11"/>
  <c r="D60" i="15"/>
  <c r="D36" i="16"/>
  <c r="D141" i="15"/>
  <c r="D93" i="15"/>
  <c r="D198" i="17"/>
  <c r="D98" i="15"/>
  <c r="D22" i="16"/>
  <c r="D125" i="17"/>
  <c r="D154" i="15"/>
  <c r="D50" i="15"/>
  <c r="D23" i="15"/>
  <c r="D82" i="15"/>
  <c r="D62" i="16"/>
  <c r="D84" i="17"/>
  <c r="D126" i="17"/>
  <c r="D2" i="17"/>
  <c r="D35" i="17"/>
  <c r="D21" i="7"/>
  <c r="D68" i="17"/>
  <c r="D15" i="11"/>
  <c r="D3" i="8"/>
  <c r="D140" i="15"/>
  <c r="D33" i="15"/>
  <c r="D56" i="15"/>
  <c r="D32" i="8"/>
  <c r="D73" i="16"/>
  <c r="D12" i="17"/>
  <c r="D89" i="15"/>
  <c r="D10" i="7"/>
  <c r="D11" i="7"/>
  <c r="D188" i="17"/>
  <c r="D35" i="16"/>
  <c r="D39" i="6"/>
  <c r="D63" i="15"/>
  <c r="D205" i="17"/>
  <c r="D4" i="16"/>
  <c r="D134" i="17"/>
  <c r="D88" i="16"/>
  <c r="D59" i="6"/>
  <c r="D116" i="15"/>
  <c r="D30" i="15"/>
  <c r="D9" i="15"/>
  <c r="D101" i="15"/>
  <c r="D137" i="17"/>
  <c r="D3" i="17"/>
  <c r="D18" i="6"/>
  <c r="D52" i="16"/>
  <c r="D79" i="17"/>
  <c r="D36" i="15"/>
  <c r="D41" i="6"/>
  <c r="D59" i="17"/>
  <c r="G5" i="3"/>
  <c r="H64" i="2"/>
  <c r="D63" i="17"/>
  <c r="D159" i="17"/>
  <c r="D84" i="15"/>
  <c r="D92" i="15"/>
  <c r="D23" i="16"/>
  <c r="D11" i="8"/>
  <c r="D159" i="15"/>
  <c r="D80" i="16"/>
  <c r="D177" i="17"/>
  <c r="D48" i="8"/>
  <c r="D13" i="16"/>
  <c r="D30" i="7"/>
  <c r="D62" i="15"/>
  <c r="D16" i="8"/>
  <c r="D24" i="7"/>
  <c r="D236" i="17"/>
  <c r="D26" i="11"/>
  <c r="D211" i="17"/>
  <c r="D47" i="8"/>
  <c r="D114" i="17"/>
  <c r="D27" i="8"/>
  <c r="D26" i="8"/>
  <c r="D60" i="6"/>
  <c r="D163" i="17"/>
  <c r="D129" i="17"/>
  <c r="D105" i="17"/>
  <c r="D91" i="16"/>
  <c r="D40" i="8"/>
  <c r="D184" i="17"/>
  <c r="D12" i="11"/>
  <c r="D18" i="15"/>
  <c r="D90" i="17"/>
  <c r="D6" i="11"/>
  <c r="D136" i="15"/>
  <c r="D31" i="7"/>
  <c r="D247" i="17"/>
  <c r="D17" i="7"/>
  <c r="D13" i="7"/>
  <c r="H256" i="2"/>
  <c r="H161" i="2"/>
  <c r="D19" i="7"/>
  <c r="D52" i="17"/>
  <c r="D171" i="17"/>
  <c r="D60" i="17"/>
  <c r="D38" i="16"/>
  <c r="D69" i="15"/>
  <c r="D46" i="7"/>
  <c r="D65" i="16"/>
  <c r="D47" i="16"/>
  <c r="D76" i="17"/>
  <c r="D52" i="15"/>
  <c r="D33" i="16"/>
  <c r="D148" i="17"/>
  <c r="D228" i="17"/>
  <c r="D70" i="15"/>
  <c r="D127" i="17"/>
  <c r="D30" i="8"/>
  <c r="D10" i="15"/>
  <c r="D31" i="8"/>
  <c r="D16" i="6"/>
  <c r="D15" i="7"/>
  <c r="D166" i="17"/>
  <c r="D9" i="17"/>
  <c r="D47" i="15"/>
  <c r="D133" i="17"/>
  <c r="D183" i="17"/>
  <c r="D121" i="15"/>
  <c r="D57" i="15"/>
  <c r="D111" i="17"/>
  <c r="D119" i="17"/>
  <c r="D120" i="17"/>
  <c r="D87" i="15"/>
  <c r="D15" i="6"/>
  <c r="D44" i="6"/>
  <c r="D46" i="6"/>
  <c r="D45" i="6"/>
  <c r="D49" i="6"/>
  <c r="D63" i="6"/>
  <c r="D54" i="6"/>
  <c r="D144" i="15"/>
  <c r="D44" i="11"/>
  <c r="D40" i="16"/>
  <c r="D51" i="17"/>
  <c r="D32" i="6"/>
  <c r="D128" i="17"/>
  <c r="D148" i="15"/>
  <c r="D33" i="17"/>
  <c r="D48" i="16"/>
  <c r="D15" i="17"/>
  <c r="D51" i="8"/>
  <c r="D58" i="16"/>
  <c r="D214" i="17"/>
  <c r="D221" i="17"/>
  <c r="D149" i="17"/>
  <c r="D47" i="7"/>
  <c r="D27" i="7"/>
  <c r="D130" i="17"/>
  <c r="D28" i="8"/>
  <c r="D36" i="11"/>
  <c r="D11" i="16"/>
  <c r="D72" i="17"/>
  <c r="D204" i="17"/>
  <c r="D180" i="17"/>
  <c r="D164" i="17"/>
  <c r="D61" i="16"/>
  <c r="D23" i="17"/>
  <c r="D56" i="17"/>
  <c r="D17" i="16"/>
  <c r="D135" i="15"/>
  <c r="D207" i="17"/>
  <c r="D143" i="17"/>
  <c r="D237" i="17"/>
  <c r="D38" i="6"/>
  <c r="D251" i="17"/>
  <c r="D190" i="17"/>
  <c r="D5" i="7"/>
  <c r="D24" i="15"/>
  <c r="D75" i="17"/>
  <c r="D4" i="6"/>
  <c r="D176" i="17"/>
  <c r="D20" i="17"/>
  <c r="D11" i="11"/>
  <c r="D47" i="17"/>
  <c r="D48" i="15"/>
  <c r="G2" i="3"/>
  <c r="H9" i="2"/>
  <c r="D20" i="7"/>
  <c r="D85" i="15"/>
  <c r="D182" i="17"/>
  <c r="D81" i="17"/>
  <c r="D67" i="16"/>
  <c r="D217" i="17"/>
  <c r="D14" i="17"/>
  <c r="D43" i="8"/>
  <c r="D33" i="7"/>
  <c r="D35" i="8"/>
  <c r="D6" i="8"/>
  <c r="D61" i="17"/>
  <c r="D48" i="17"/>
  <c r="D27" i="16"/>
  <c r="H26" i="2"/>
  <c r="H4" i="6" s="1"/>
  <c r="H29" i="2"/>
  <c r="D35" i="15"/>
  <c r="D215" i="17"/>
  <c r="D83" i="15"/>
  <c r="D28" i="15"/>
  <c r="D7" i="16"/>
  <c r="D42" i="15"/>
  <c r="D208" i="17"/>
  <c r="D18" i="7"/>
  <c r="D57" i="16"/>
  <c r="D102" i="17"/>
  <c r="D85" i="16"/>
  <c r="D194" i="17"/>
  <c r="D26" i="16"/>
  <c r="D3" i="6"/>
  <c r="D69" i="16"/>
  <c r="D17" i="17"/>
  <c r="D243" i="17"/>
  <c r="D16" i="17"/>
  <c r="D17" i="8"/>
  <c r="D16" i="15"/>
  <c r="D63" i="16"/>
  <c r="D241" i="17"/>
  <c r="D232" i="17"/>
  <c r="D77" i="16"/>
  <c r="D141" i="17"/>
  <c r="D38" i="11"/>
  <c r="D47" i="6"/>
  <c r="D84" i="16"/>
  <c r="D157" i="17"/>
  <c r="D209" i="17"/>
  <c r="D239" i="17"/>
  <c r="D20" i="11"/>
  <c r="D53" i="8"/>
  <c r="D28" i="16"/>
  <c r="D82" i="16"/>
  <c r="D34" i="16"/>
  <c r="D62" i="6"/>
  <c r="D8" i="15"/>
  <c r="D17" i="6"/>
  <c r="D37" i="15"/>
  <c r="D66" i="16"/>
  <c r="D167" i="17"/>
  <c r="D165" i="17"/>
  <c r="D212" i="17"/>
  <c r="D119" i="15"/>
  <c r="D151" i="15"/>
  <c r="D42" i="11"/>
  <c r="D99" i="15"/>
  <c r="D9" i="7"/>
  <c r="D53" i="16"/>
  <c r="D18" i="11"/>
  <c r="D17" i="15"/>
  <c r="D76" i="15"/>
  <c r="D116" i="17"/>
  <c r="D59" i="16"/>
  <c r="D132" i="17"/>
  <c r="D95" i="15"/>
  <c r="D133" i="15"/>
  <c r="D19" i="15"/>
  <c r="D54" i="15"/>
  <c r="D13" i="11"/>
  <c r="D44" i="16"/>
  <c r="D31" i="16"/>
  <c r="D34" i="17"/>
  <c r="D12" i="6"/>
  <c r="D14" i="15"/>
  <c r="D6" i="16"/>
  <c r="D70" i="16"/>
  <c r="D49" i="16"/>
  <c r="D32" i="17"/>
  <c r="D15" i="16"/>
  <c r="D225" i="17"/>
  <c r="D115" i="15"/>
  <c r="D51" i="16"/>
  <c r="D45" i="8"/>
  <c r="D142" i="17"/>
  <c r="D85" i="17"/>
  <c r="D7" i="11"/>
  <c r="D71" i="16"/>
  <c r="D121" i="17"/>
  <c r="D30" i="6"/>
  <c r="D246" i="17"/>
  <c r="D41" i="7"/>
  <c r="D12" i="15"/>
  <c r="D22" i="15"/>
  <c r="D80" i="15"/>
  <c r="D156" i="17"/>
  <c r="D78" i="15"/>
  <c r="D23" i="6"/>
  <c r="D65" i="15"/>
  <c r="D153" i="17"/>
  <c r="D50" i="6"/>
  <c r="D3" i="16"/>
  <c r="D27" i="17"/>
  <c r="D61" i="15"/>
  <c r="D37" i="17"/>
  <c r="D18" i="16"/>
  <c r="D78" i="17"/>
  <c r="D26" i="6"/>
  <c r="D14" i="8"/>
  <c r="D124" i="15"/>
  <c r="D140" i="17"/>
  <c r="D6" i="17"/>
  <c r="D43" i="17"/>
  <c r="D127" i="15"/>
  <c r="D138" i="15"/>
  <c r="D18" i="17"/>
  <c r="D238" i="17"/>
  <c r="G11" i="3"/>
  <c r="H102" i="2"/>
  <c r="D106" i="15"/>
  <c r="D38" i="8"/>
  <c r="D106" i="17"/>
  <c r="D58" i="6"/>
  <c r="D16" i="16"/>
  <c r="D82" i="17"/>
  <c r="D11" i="6"/>
  <c r="D21" i="16"/>
  <c r="D9" i="8"/>
  <c r="D8" i="17"/>
  <c r="D17" i="11"/>
  <c r="D18" i="8"/>
  <c r="D13" i="8"/>
  <c r="D39" i="16"/>
  <c r="D50" i="8"/>
  <c r="D51" i="6"/>
  <c r="D23" i="7"/>
  <c r="D117" i="17"/>
  <c r="D90" i="15"/>
  <c r="D68" i="16"/>
  <c r="D137" i="15"/>
  <c r="D30" i="11"/>
  <c r="D172" i="17"/>
  <c r="D146" i="17"/>
  <c r="D174" i="17"/>
  <c r="D107" i="15"/>
  <c r="D97" i="15"/>
  <c r="D144" i="17"/>
  <c r="D223" i="17"/>
  <c r="D50" i="7"/>
  <c r="D77" i="17"/>
  <c r="D19" i="11"/>
  <c r="D14" i="11"/>
  <c r="D55" i="6"/>
  <c r="D87" i="16"/>
  <c r="D104" i="17"/>
  <c r="D160" i="17"/>
  <c r="D66" i="15"/>
  <c r="D36" i="8"/>
  <c r="D86" i="17"/>
  <c r="D191" i="17"/>
  <c r="D42" i="16"/>
  <c r="D168" i="17"/>
  <c r="D104" i="15"/>
  <c r="D30" i="17"/>
  <c r="D224" i="17"/>
  <c r="D75" i="15"/>
  <c r="D139" i="15"/>
  <c r="D2" i="15"/>
  <c r="D79" i="15"/>
  <c r="D55" i="15"/>
  <c r="D187" i="17"/>
  <c r="D229" i="17"/>
  <c r="D230" i="17"/>
  <c r="D27" i="6"/>
  <c r="D202" i="17"/>
  <c r="D53" i="6"/>
  <c r="D54" i="17"/>
  <c r="D234" i="17"/>
  <c r="D73" i="17"/>
  <c r="D74" i="16"/>
  <c r="D59" i="15"/>
  <c r="D41" i="15"/>
  <c r="D77" i="15"/>
  <c r="D93" i="17"/>
  <c r="D31" i="15"/>
  <c r="D98" i="17"/>
  <c r="D67" i="17"/>
  <c r="D45" i="17"/>
  <c r="D71" i="17"/>
  <c r="D38" i="15"/>
  <c r="D45" i="11"/>
  <c r="D7" i="6"/>
  <c r="D51" i="15"/>
  <c r="D5" i="17"/>
  <c r="D100" i="15"/>
  <c r="D62" i="17"/>
  <c r="D124" i="17"/>
  <c r="D35" i="6"/>
  <c r="F44" i="9" l="1"/>
  <c r="F32" i="9"/>
  <c r="F47" i="9"/>
  <c r="F48" i="9"/>
  <c r="F21" i="9"/>
  <c r="F20" i="9"/>
  <c r="F14" i="9"/>
  <c r="F52" i="9"/>
  <c r="F29" i="9"/>
  <c r="F10" i="9"/>
  <c r="F9" i="9"/>
  <c r="F19" i="9"/>
  <c r="F4" i="9"/>
  <c r="F8" i="9"/>
  <c r="F41" i="9"/>
  <c r="F26" i="9"/>
  <c r="F37" i="9"/>
  <c r="F28" i="9"/>
  <c r="F46" i="9"/>
  <c r="F50" i="9"/>
  <c r="F30" i="9"/>
  <c r="F22" i="9"/>
  <c r="F5" i="9"/>
  <c r="F54" i="9"/>
  <c r="F11" i="9"/>
  <c r="F49" i="9"/>
  <c r="F7" i="9"/>
  <c r="F18" i="9"/>
  <c r="F16" i="9"/>
  <c r="F3" i="9"/>
  <c r="F23" i="9"/>
  <c r="F53" i="9"/>
  <c r="F39" i="9"/>
  <c r="F33" i="9"/>
  <c r="F42" i="9"/>
  <c r="F34" i="9"/>
  <c r="F2" i="9"/>
  <c r="F51" i="9"/>
  <c r="F43" i="9"/>
  <c r="F27" i="9"/>
  <c r="F40" i="9"/>
  <c r="F45" i="9"/>
  <c r="F15" i="9"/>
  <c r="F38" i="9"/>
  <c r="F31" i="9"/>
  <c r="F36" i="9"/>
  <c r="F13" i="9"/>
  <c r="F12" i="9"/>
  <c r="F24" i="9"/>
  <c r="F35" i="9"/>
  <c r="F25" i="9"/>
  <c r="F6" i="9"/>
  <c r="H6" i="9"/>
  <c r="G48" i="9" s="1"/>
  <c r="F591" i="2" s="1"/>
  <c r="H2" i="12"/>
  <c r="H2" i="8"/>
  <c r="H2" i="17"/>
  <c r="H2" i="15"/>
  <c r="H52" i="17"/>
  <c r="H52" i="15"/>
  <c r="H12" i="13"/>
  <c r="H4" i="7"/>
  <c r="H7" i="13"/>
  <c r="H5" i="11"/>
  <c r="G17" i="11" s="1"/>
  <c r="H45" i="13"/>
  <c r="H25" i="7"/>
  <c r="H2" i="10"/>
  <c r="G67" i="10" s="1"/>
  <c r="F277" i="2" s="1"/>
  <c r="H18" i="17"/>
  <c r="H17" i="15"/>
  <c r="H3" i="12"/>
  <c r="H2" i="6"/>
  <c r="F31" i="13"/>
  <c r="F28" i="13"/>
  <c r="F22" i="13"/>
  <c r="F57" i="13"/>
  <c r="F76" i="13"/>
  <c r="F39" i="13"/>
  <c r="F86" i="13"/>
  <c r="F33" i="13"/>
  <c r="F89" i="13"/>
  <c r="F77" i="13"/>
  <c r="F3" i="13"/>
  <c r="F9" i="13"/>
  <c r="F64" i="13"/>
  <c r="F18" i="13"/>
  <c r="F42" i="13"/>
  <c r="F7" i="13"/>
  <c r="F10" i="13"/>
  <c r="F43" i="13"/>
  <c r="F87" i="13"/>
  <c r="F8" i="13"/>
  <c r="F24" i="13"/>
  <c r="F94" i="13"/>
  <c r="F54" i="13"/>
  <c r="F23" i="13"/>
  <c r="F88" i="13"/>
  <c r="F40" i="13"/>
  <c r="F48" i="13"/>
  <c r="F19" i="13"/>
  <c r="F16" i="13"/>
  <c r="F75" i="13"/>
  <c r="F61" i="13"/>
  <c r="F5" i="13"/>
  <c r="F55" i="13"/>
  <c r="F68" i="13"/>
  <c r="F20" i="13"/>
  <c r="F58" i="13"/>
  <c r="F44" i="13"/>
  <c r="F62" i="13"/>
  <c r="F21" i="13"/>
  <c r="F36" i="13"/>
  <c r="F92" i="13"/>
  <c r="F72" i="13"/>
  <c r="F45" i="13"/>
  <c r="F34" i="13"/>
  <c r="F71" i="13"/>
  <c r="F6" i="13"/>
  <c r="F85" i="13"/>
  <c r="F91" i="13"/>
  <c r="F73" i="13"/>
  <c r="F11" i="13"/>
  <c r="F12" i="13"/>
  <c r="F4" i="13"/>
  <c r="F78" i="13"/>
  <c r="F56" i="13"/>
  <c r="F59" i="13"/>
  <c r="F35" i="13"/>
  <c r="F65" i="13"/>
  <c r="F46" i="13"/>
  <c r="F47" i="13"/>
  <c r="F74" i="13"/>
  <c r="F27" i="13"/>
  <c r="F25" i="13"/>
  <c r="F49" i="13"/>
  <c r="F32" i="13"/>
  <c r="F67" i="13"/>
  <c r="F70" i="13"/>
  <c r="F79" i="13"/>
  <c r="F26" i="13"/>
  <c r="F93" i="13"/>
  <c r="F38" i="13"/>
  <c r="F81" i="13"/>
  <c r="F50" i="13"/>
  <c r="F17" i="13"/>
  <c r="F80" i="13"/>
  <c r="F60" i="13"/>
  <c r="F69" i="13"/>
  <c r="F63" i="13"/>
  <c r="F29" i="13"/>
  <c r="F51" i="13"/>
  <c r="F41" i="13"/>
  <c r="F66" i="13"/>
  <c r="F13" i="13"/>
  <c r="F52" i="13"/>
  <c r="F15" i="13"/>
  <c r="F90" i="13"/>
  <c r="F83" i="13"/>
  <c r="F82" i="13"/>
  <c r="F14" i="13"/>
  <c r="F84" i="13"/>
  <c r="F37" i="13"/>
  <c r="F53" i="13"/>
  <c r="F30" i="13"/>
  <c r="F2" i="13"/>
  <c r="F33" i="12"/>
  <c r="F23" i="12"/>
  <c r="F43" i="12"/>
  <c r="F60" i="12"/>
  <c r="F51" i="12"/>
  <c r="F34" i="12"/>
  <c r="F100" i="12"/>
  <c r="F45" i="12"/>
  <c r="F15" i="12"/>
  <c r="F97" i="12"/>
  <c r="F14" i="12"/>
  <c r="F17" i="12"/>
  <c r="F55" i="12"/>
  <c r="F37" i="12"/>
  <c r="F61" i="12"/>
  <c r="F96" i="12"/>
  <c r="F13" i="12"/>
  <c r="F82" i="12"/>
  <c r="F21" i="12"/>
  <c r="F102" i="12"/>
  <c r="F66" i="12"/>
  <c r="F77" i="12"/>
  <c r="F20" i="12"/>
  <c r="F94" i="12"/>
  <c r="F81" i="12"/>
  <c r="F74" i="12"/>
  <c r="F25" i="12"/>
  <c r="F11" i="12"/>
  <c r="F104" i="12"/>
  <c r="F24" i="12"/>
  <c r="F64" i="12"/>
  <c r="F10" i="12"/>
  <c r="F29" i="12"/>
  <c r="F48" i="12"/>
  <c r="F16" i="12"/>
  <c r="F4" i="12"/>
  <c r="F101" i="12"/>
  <c r="F19" i="12"/>
  <c r="F79" i="12"/>
  <c r="F31" i="12"/>
  <c r="F6" i="12"/>
  <c r="F83" i="12"/>
  <c r="F9" i="12"/>
  <c r="F99" i="12"/>
  <c r="F92" i="12"/>
  <c r="F32" i="12"/>
  <c r="F90" i="12"/>
  <c r="F39" i="12"/>
  <c r="F12" i="12"/>
  <c r="F98" i="12"/>
  <c r="F38" i="12"/>
  <c r="F73" i="12"/>
  <c r="F57" i="12"/>
  <c r="F8" i="12"/>
  <c r="F46" i="12"/>
  <c r="F26" i="12"/>
  <c r="F52" i="12"/>
  <c r="F84" i="12"/>
  <c r="F22" i="12"/>
  <c r="F72" i="12"/>
  <c r="F56" i="12"/>
  <c r="F75" i="12"/>
  <c r="F47" i="12"/>
  <c r="F59" i="12"/>
  <c r="F65" i="12"/>
  <c r="F30" i="12"/>
  <c r="F7" i="12"/>
  <c r="F18" i="12"/>
  <c r="F91" i="12"/>
  <c r="F58" i="12"/>
  <c r="F80" i="12"/>
  <c r="F78" i="12"/>
  <c r="F28" i="12"/>
  <c r="F5" i="12"/>
  <c r="F68" i="12"/>
  <c r="F87" i="12"/>
  <c r="F44" i="12"/>
  <c r="F95" i="12"/>
  <c r="F69" i="12"/>
  <c r="F70" i="12"/>
  <c r="F3" i="12"/>
  <c r="F93" i="12"/>
  <c r="F53" i="12"/>
  <c r="F85" i="12"/>
  <c r="F89" i="12"/>
  <c r="F42" i="12"/>
  <c r="F67" i="12"/>
  <c r="F50" i="12"/>
  <c r="F40" i="12"/>
  <c r="F63" i="12"/>
  <c r="F76" i="12"/>
  <c r="F88" i="12"/>
  <c r="F35" i="12"/>
  <c r="F27" i="12"/>
  <c r="F86" i="12"/>
  <c r="F103" i="12"/>
  <c r="F54" i="12"/>
  <c r="F62" i="12"/>
  <c r="F49" i="12"/>
  <c r="F71" i="12"/>
  <c r="F41" i="12"/>
  <c r="F36" i="12"/>
  <c r="F2" i="12"/>
  <c r="F9" i="11"/>
  <c r="F7" i="11"/>
  <c r="F44" i="11"/>
  <c r="F42" i="11"/>
  <c r="F14" i="11"/>
  <c r="F8" i="11"/>
  <c r="F4" i="11"/>
  <c r="F36" i="11"/>
  <c r="F28" i="11"/>
  <c r="F2" i="11"/>
  <c r="F31" i="11"/>
  <c r="F24" i="11"/>
  <c r="F19" i="11"/>
  <c r="F27" i="11"/>
  <c r="F45" i="11"/>
  <c r="F12" i="11"/>
  <c r="F5" i="11"/>
  <c r="F35" i="11"/>
  <c r="F38" i="11"/>
  <c r="F16" i="11"/>
  <c r="F26" i="11"/>
  <c r="F37" i="11"/>
  <c r="F40" i="11"/>
  <c r="F3" i="11"/>
  <c r="F33" i="11"/>
  <c r="F41" i="11"/>
  <c r="F20" i="11"/>
  <c r="F30" i="11"/>
  <c r="F6" i="11"/>
  <c r="F22" i="11"/>
  <c r="F43" i="11"/>
  <c r="F34" i="11"/>
  <c r="F17" i="11"/>
  <c r="F39" i="11"/>
  <c r="F11" i="11"/>
  <c r="F21" i="11"/>
  <c r="F23" i="11"/>
  <c r="F13" i="11"/>
  <c r="F15" i="11"/>
  <c r="F29" i="11"/>
  <c r="F10" i="11"/>
  <c r="F25" i="11"/>
  <c r="F18" i="11"/>
  <c r="F32" i="11"/>
  <c r="F18" i="8"/>
  <c r="F3" i="8"/>
  <c r="F26" i="8"/>
  <c r="F54" i="8"/>
  <c r="F31" i="8"/>
  <c r="F7" i="8"/>
  <c r="F16" i="8"/>
  <c r="F27" i="8"/>
  <c r="F4" i="8"/>
  <c r="F36" i="8"/>
  <c r="F6" i="8"/>
  <c r="F13" i="8"/>
  <c r="F55" i="8"/>
  <c r="F9" i="8"/>
  <c r="F22" i="8"/>
  <c r="F19" i="8"/>
  <c r="F15" i="8"/>
  <c r="F11" i="8"/>
  <c r="F49" i="8"/>
  <c r="F10" i="8"/>
  <c r="F48" i="8"/>
  <c r="F38" i="8"/>
  <c r="F47" i="8"/>
  <c r="F24" i="8"/>
  <c r="F37" i="8"/>
  <c r="F2" i="8"/>
  <c r="F50" i="8"/>
  <c r="F8" i="8"/>
  <c r="F20" i="8"/>
  <c r="F35" i="8"/>
  <c r="F53" i="8"/>
  <c r="F21" i="8"/>
  <c r="F14" i="8"/>
  <c r="F33" i="8"/>
  <c r="F25" i="8"/>
  <c r="F5" i="8"/>
  <c r="F40" i="8"/>
  <c r="F44" i="8"/>
  <c r="F29" i="8"/>
  <c r="F46" i="8"/>
  <c r="F34" i="8"/>
  <c r="F51" i="8"/>
  <c r="F30" i="8"/>
  <c r="F43" i="8"/>
  <c r="F39" i="8"/>
  <c r="F32" i="8"/>
  <c r="F45" i="8"/>
  <c r="F28" i="8"/>
  <c r="F17" i="8"/>
  <c r="F42" i="8"/>
  <c r="F12" i="8"/>
  <c r="F41" i="8"/>
  <c r="F52" i="8"/>
  <c r="F23" i="8"/>
  <c r="F12" i="7"/>
  <c r="F15" i="7"/>
  <c r="F26" i="7"/>
  <c r="F16" i="7"/>
  <c r="F20" i="7"/>
  <c r="F29" i="7"/>
  <c r="F22" i="7"/>
  <c r="F4" i="7"/>
  <c r="F21" i="7"/>
  <c r="F6" i="7"/>
  <c r="F50" i="7"/>
  <c r="F35" i="7"/>
  <c r="F41" i="7"/>
  <c r="F45" i="7"/>
  <c r="F23" i="7"/>
  <c r="F46" i="7"/>
  <c r="F34" i="7"/>
  <c r="F40" i="7"/>
  <c r="F7" i="7"/>
  <c r="F27" i="7"/>
  <c r="F28" i="7"/>
  <c r="F32" i="7"/>
  <c r="F2" i="7"/>
  <c r="F47" i="7"/>
  <c r="F3" i="7"/>
  <c r="F48" i="7"/>
  <c r="F33" i="7"/>
  <c r="F37" i="7"/>
  <c r="F17" i="7"/>
  <c r="F49" i="7"/>
  <c r="F25" i="7"/>
  <c r="F9" i="7"/>
  <c r="F38" i="7"/>
  <c r="F36" i="7"/>
  <c r="F39" i="7"/>
  <c r="F43" i="7"/>
  <c r="F13" i="7"/>
  <c r="F24" i="7"/>
  <c r="F14" i="7"/>
  <c r="F31" i="7"/>
  <c r="F8" i="7"/>
  <c r="F10" i="7"/>
  <c r="F42" i="7"/>
  <c r="F30" i="7"/>
  <c r="F44" i="7"/>
  <c r="F18" i="7"/>
  <c r="F5" i="7"/>
  <c r="F11" i="7"/>
  <c r="F19" i="7"/>
  <c r="F19" i="6"/>
  <c r="F26" i="6"/>
  <c r="F31" i="6"/>
  <c r="F9" i="6"/>
  <c r="F59" i="6"/>
  <c r="F23" i="6"/>
  <c r="F10" i="6"/>
  <c r="F32" i="6"/>
  <c r="F56" i="6"/>
  <c r="F8" i="6"/>
  <c r="F42" i="6"/>
  <c r="F48" i="6"/>
  <c r="F60" i="6"/>
  <c r="F29" i="6"/>
  <c r="F37" i="6"/>
  <c r="F51" i="6"/>
  <c r="F43" i="6"/>
  <c r="F7" i="6"/>
  <c r="F28" i="6"/>
  <c r="F11" i="6"/>
  <c r="F41" i="6"/>
  <c r="F16" i="6"/>
  <c r="F27" i="6"/>
  <c r="F2" i="6"/>
  <c r="F40" i="6"/>
  <c r="F61" i="6"/>
  <c r="F4" i="6"/>
  <c r="F55" i="6"/>
  <c r="F35" i="6"/>
  <c r="F38" i="6"/>
  <c r="F58" i="6"/>
  <c r="F33" i="6"/>
  <c r="F46" i="6"/>
  <c r="F34" i="6"/>
  <c r="F49" i="6"/>
  <c r="F53" i="6"/>
  <c r="F52" i="6"/>
  <c r="F12" i="6"/>
  <c r="F20" i="6"/>
  <c r="F47" i="6"/>
  <c r="F25" i="6"/>
  <c r="F57" i="6"/>
  <c r="F36" i="6"/>
  <c r="F18" i="6"/>
  <c r="F44" i="6"/>
  <c r="F45" i="6"/>
  <c r="F54" i="6"/>
  <c r="F63" i="6"/>
  <c r="F22" i="6"/>
  <c r="F6" i="6"/>
  <c r="F24" i="6"/>
  <c r="F50" i="6"/>
  <c r="F62" i="6"/>
  <c r="F21" i="6"/>
  <c r="F13" i="6"/>
  <c r="F39" i="6"/>
  <c r="F3" i="6"/>
  <c r="F14" i="6"/>
  <c r="F5" i="6"/>
  <c r="F17" i="6"/>
  <c r="F30" i="6"/>
  <c r="F15" i="6"/>
  <c r="F14" i="15"/>
  <c r="F6" i="15"/>
  <c r="F9" i="15"/>
  <c r="F134" i="15"/>
  <c r="F74" i="15"/>
  <c r="F73" i="15"/>
  <c r="F136" i="15"/>
  <c r="F69" i="15"/>
  <c r="F57" i="15"/>
  <c r="F97" i="15"/>
  <c r="F61" i="15"/>
  <c r="F7" i="15"/>
  <c r="F83" i="15"/>
  <c r="F105" i="15"/>
  <c r="F103" i="15"/>
  <c r="F104" i="15"/>
  <c r="F49" i="15"/>
  <c r="F72" i="15"/>
  <c r="F122" i="15"/>
  <c r="F155" i="15"/>
  <c r="F4" i="15"/>
  <c r="F28" i="15"/>
  <c r="F140" i="15"/>
  <c r="F93" i="15"/>
  <c r="F8" i="15"/>
  <c r="F68" i="15"/>
  <c r="F42" i="15"/>
  <c r="F82" i="15"/>
  <c r="F37" i="15"/>
  <c r="F44" i="15"/>
  <c r="F2" i="15"/>
  <c r="F17" i="15"/>
  <c r="F107" i="15"/>
  <c r="F144" i="15"/>
  <c r="F70" i="15"/>
  <c r="F106" i="15"/>
  <c r="F58" i="15"/>
  <c r="F99" i="15"/>
  <c r="F63" i="15"/>
  <c r="F11" i="15"/>
  <c r="F86" i="15"/>
  <c r="F152" i="15"/>
  <c r="F91" i="15"/>
  <c r="F90" i="15"/>
  <c r="F18" i="15"/>
  <c r="F65" i="15"/>
  <c r="F21" i="15"/>
  <c r="F126" i="15"/>
  <c r="F157" i="15"/>
  <c r="F135" i="15"/>
  <c r="F67" i="15"/>
  <c r="F159" i="15"/>
  <c r="F27" i="15"/>
  <c r="F50" i="15"/>
  <c r="F38" i="15"/>
  <c r="F147" i="15"/>
  <c r="F60" i="15"/>
  <c r="F153" i="15"/>
  <c r="F120" i="15"/>
  <c r="F130" i="15"/>
  <c r="F52" i="15"/>
  <c r="F59" i="15"/>
  <c r="F123" i="15"/>
  <c r="F132" i="15"/>
  <c r="F127" i="15"/>
  <c r="F79" i="15"/>
  <c r="F150" i="15"/>
  <c r="F29" i="15"/>
  <c r="F128" i="15"/>
  <c r="F40" i="15"/>
  <c r="F33" i="15"/>
  <c r="F75" i="15"/>
  <c r="F111" i="15"/>
  <c r="F31" i="15"/>
  <c r="F64" i="15"/>
  <c r="F118" i="15"/>
  <c r="F25" i="15"/>
  <c r="F160" i="15"/>
  <c r="F5" i="15"/>
  <c r="F88" i="15"/>
  <c r="F36" i="15"/>
  <c r="F109" i="15"/>
  <c r="F98" i="15"/>
  <c r="F84" i="15"/>
  <c r="F148" i="15"/>
  <c r="F46" i="15"/>
  <c r="F87" i="15"/>
  <c r="F139" i="15"/>
  <c r="F125" i="15"/>
  <c r="F137" i="15"/>
  <c r="F23" i="15"/>
  <c r="F85" i="15"/>
  <c r="F145" i="15"/>
  <c r="F149" i="15"/>
  <c r="F96" i="15"/>
  <c r="F119" i="15"/>
  <c r="F43" i="15"/>
  <c r="F121" i="15"/>
  <c r="F117" i="15"/>
  <c r="F110" i="15"/>
  <c r="F76" i="15"/>
  <c r="F20" i="15"/>
  <c r="F129" i="15"/>
  <c r="F112" i="15"/>
  <c r="F113" i="15"/>
  <c r="F10" i="15"/>
  <c r="F71" i="15"/>
  <c r="F156" i="15"/>
  <c r="F115" i="15"/>
  <c r="F30" i="15"/>
  <c r="F35" i="15"/>
  <c r="F161" i="15"/>
  <c r="F114" i="15"/>
  <c r="F39" i="15"/>
  <c r="F158" i="15"/>
  <c r="F15" i="15"/>
  <c r="F154" i="15"/>
  <c r="F24" i="15"/>
  <c r="F138" i="15"/>
  <c r="F66" i="15"/>
  <c r="F80" i="15"/>
  <c r="F54" i="15"/>
  <c r="F108" i="15"/>
  <c r="F19" i="15"/>
  <c r="F62" i="15"/>
  <c r="F32" i="15"/>
  <c r="F141" i="15"/>
  <c r="F13" i="15"/>
  <c r="F78" i="15"/>
  <c r="F51" i="15"/>
  <c r="F53" i="15"/>
  <c r="F77" i="15"/>
  <c r="F12" i="15"/>
  <c r="F26" i="15"/>
  <c r="F131" i="15"/>
  <c r="F47" i="15"/>
  <c r="F92" i="15"/>
  <c r="F102" i="15"/>
  <c r="F34" i="15"/>
  <c r="F116" i="15"/>
  <c r="F95" i="15"/>
  <c r="F81" i="15"/>
  <c r="F3" i="15"/>
  <c r="F143" i="15"/>
  <c r="F146" i="15"/>
  <c r="F94" i="15"/>
  <c r="F133" i="15"/>
  <c r="F48" i="15"/>
  <c r="F22" i="15"/>
  <c r="F41" i="15"/>
  <c r="F142" i="15"/>
  <c r="F101" i="15"/>
  <c r="F16" i="15"/>
  <c r="F55" i="15"/>
  <c r="F124" i="15"/>
  <c r="F89" i="15"/>
  <c r="F45" i="15"/>
  <c r="F151" i="15"/>
  <c r="F100" i="15"/>
  <c r="F56" i="15"/>
  <c r="F54" i="16"/>
  <c r="F41" i="16"/>
  <c r="F91" i="16"/>
  <c r="F61" i="16"/>
  <c r="F26" i="16"/>
  <c r="F14" i="16"/>
  <c r="F85" i="16"/>
  <c r="F9" i="16"/>
  <c r="F19" i="16"/>
  <c r="F87" i="16"/>
  <c r="F31" i="16"/>
  <c r="F34" i="16"/>
  <c r="F32" i="16"/>
  <c r="F10" i="16"/>
  <c r="F39" i="16"/>
  <c r="F58" i="16"/>
  <c r="F76" i="16"/>
  <c r="F25" i="16"/>
  <c r="F65" i="16"/>
  <c r="F23" i="16"/>
  <c r="F50" i="16"/>
  <c r="F42" i="16"/>
  <c r="F82" i="16"/>
  <c r="F70" i="16"/>
  <c r="F36" i="16"/>
  <c r="F43" i="16"/>
  <c r="F28" i="16"/>
  <c r="F37" i="16"/>
  <c r="F83" i="16"/>
  <c r="F6" i="16"/>
  <c r="F27" i="16"/>
  <c r="F22" i="16"/>
  <c r="F72" i="16"/>
  <c r="F2" i="16"/>
  <c r="F64" i="16"/>
  <c r="F11" i="16"/>
  <c r="F62" i="16"/>
  <c r="F71" i="16"/>
  <c r="F56" i="16"/>
  <c r="F24" i="16"/>
  <c r="F18" i="16"/>
  <c r="F55" i="16"/>
  <c r="F75" i="16"/>
  <c r="F4" i="16"/>
  <c r="F48" i="16"/>
  <c r="F68" i="16"/>
  <c r="F53" i="16"/>
  <c r="F57" i="16"/>
  <c r="F80" i="16"/>
  <c r="F63" i="16"/>
  <c r="F21" i="16"/>
  <c r="F77" i="16"/>
  <c r="F88" i="16"/>
  <c r="F16" i="16"/>
  <c r="F5" i="16"/>
  <c r="F89" i="16"/>
  <c r="F73" i="16"/>
  <c r="F20" i="16"/>
  <c r="F74" i="16"/>
  <c r="F69" i="16"/>
  <c r="F15" i="16"/>
  <c r="F60" i="16"/>
  <c r="F84" i="16"/>
  <c r="F47" i="16"/>
  <c r="F78" i="16"/>
  <c r="F30" i="16"/>
  <c r="F49" i="16"/>
  <c r="F13" i="16"/>
  <c r="F59" i="16"/>
  <c r="F35" i="16"/>
  <c r="F81" i="16"/>
  <c r="F29" i="16"/>
  <c r="F12" i="16"/>
  <c r="F17" i="16"/>
  <c r="F7" i="16"/>
  <c r="F52" i="16"/>
  <c r="F33" i="16"/>
  <c r="F67" i="16"/>
  <c r="F66" i="16"/>
  <c r="F3" i="16"/>
  <c r="F86" i="16"/>
  <c r="F51" i="16"/>
  <c r="F44" i="16"/>
  <c r="F46" i="16"/>
  <c r="F38" i="16"/>
  <c r="F8" i="16"/>
  <c r="F45" i="16"/>
  <c r="F90" i="16"/>
  <c r="F79" i="16"/>
  <c r="F40" i="16"/>
  <c r="F105" i="17"/>
  <c r="F217" i="17"/>
  <c r="F251" i="17"/>
  <c r="F151" i="17"/>
  <c r="F141" i="17"/>
  <c r="F76" i="17"/>
  <c r="G42" i="16"/>
  <c r="F240" i="2" s="1"/>
  <c r="F93" i="17"/>
  <c r="G52" i="16"/>
  <c r="F318" i="2" s="1"/>
  <c r="G78" i="16"/>
  <c r="F467" i="2" s="1"/>
  <c r="F191" i="17"/>
  <c r="F160" i="17"/>
  <c r="G15" i="16"/>
  <c r="F309" i="2" s="1"/>
  <c r="F223" i="17"/>
  <c r="G66" i="16"/>
  <c r="F390" i="2" s="1"/>
  <c r="G46" i="16"/>
  <c r="F399" i="2" s="1"/>
  <c r="F182" i="17"/>
  <c r="F119" i="17"/>
  <c r="G82" i="16"/>
  <c r="F367" i="2" s="1"/>
  <c r="F90" i="17"/>
  <c r="G23" i="16"/>
  <c r="F380" i="2" s="1"/>
  <c r="F125" i="17"/>
  <c r="G58" i="16"/>
  <c r="F397" i="2" s="1"/>
  <c r="G2" i="16"/>
  <c r="F13" i="2" s="1"/>
  <c r="G62" i="16"/>
  <c r="F283" i="2" s="1"/>
  <c r="F181" i="17"/>
  <c r="G79" i="16"/>
  <c r="F159" i="2" s="1"/>
  <c r="G31" i="16"/>
  <c r="F374" i="2" s="1"/>
  <c r="F245" i="17"/>
  <c r="F110" i="17"/>
  <c r="G41" i="16"/>
  <c r="F446" i="2" s="1"/>
  <c r="F55" i="17"/>
  <c r="G28" i="16"/>
  <c r="F302" i="2" s="1"/>
  <c r="F58" i="17"/>
  <c r="F97" i="17"/>
  <c r="F185" i="17"/>
  <c r="F70" i="17"/>
  <c r="G63" i="16"/>
  <c r="F519" i="2" s="1"/>
  <c r="G45" i="16"/>
  <c r="F353" i="2" s="1"/>
  <c r="G32" i="16"/>
  <c r="F300" i="2" s="1"/>
  <c r="F154" i="17"/>
  <c r="G74" i="16"/>
  <c r="F427" i="2" s="1"/>
  <c r="F100" i="17"/>
  <c r="F32" i="17"/>
  <c r="F209" i="17"/>
  <c r="F72" i="17"/>
  <c r="F163" i="17"/>
  <c r="F114" i="17"/>
  <c r="F205" i="17"/>
  <c r="F78" i="17"/>
  <c r="F27" i="17"/>
  <c r="F153" i="17"/>
  <c r="F156" i="17"/>
  <c r="F222" i="17"/>
  <c r="F246" i="17"/>
  <c r="F103" i="17"/>
  <c r="F121" i="17"/>
  <c r="F85" i="17"/>
  <c r="F142" i="17"/>
  <c r="F225" i="17"/>
  <c r="F66" i="17"/>
  <c r="F132" i="17"/>
  <c r="F210" i="17"/>
  <c r="F186" i="17"/>
  <c r="F7" i="17"/>
  <c r="F165" i="17"/>
  <c r="F167" i="17"/>
  <c r="F65" i="17"/>
  <c r="F239" i="17"/>
  <c r="F157" i="17"/>
  <c r="F216" i="17"/>
  <c r="F94" i="17"/>
  <c r="F82" i="17"/>
  <c r="F8" i="17"/>
  <c r="F15" i="17"/>
  <c r="F232" i="17"/>
  <c r="F214" i="17"/>
  <c r="F241" i="17"/>
  <c r="F33" i="17"/>
  <c r="F88" i="17"/>
  <c r="F122" i="17"/>
  <c r="F208" i="17"/>
  <c r="F45" i="17"/>
  <c r="F67" i="17"/>
  <c r="F98" i="17"/>
  <c r="F73" i="17"/>
  <c r="F87" i="17"/>
  <c r="F54" i="17"/>
  <c r="F230" i="17"/>
  <c r="F47" i="17"/>
  <c r="F20" i="17"/>
  <c r="F237" i="17"/>
  <c r="F143" i="17"/>
  <c r="F207" i="17"/>
  <c r="F56" i="17"/>
  <c r="F23" i="17"/>
  <c r="F164" i="17"/>
  <c r="F174" i="17"/>
  <c r="F180" i="17"/>
  <c r="F204" i="17"/>
  <c r="F146" i="17"/>
  <c r="F149" i="17"/>
  <c r="F221" i="17"/>
  <c r="F145" i="17"/>
  <c r="F159" i="17"/>
  <c r="F63" i="17"/>
  <c r="F206" i="17"/>
  <c r="F175" i="17"/>
  <c r="F53" i="17"/>
  <c r="F203" i="17"/>
  <c r="F120" i="17"/>
  <c r="F111" i="17"/>
  <c r="F183" i="17"/>
  <c r="F9" i="17"/>
  <c r="F166" i="17"/>
  <c r="F127" i="17"/>
  <c r="F228" i="17"/>
  <c r="F148" i="17"/>
  <c r="F171" i="17"/>
  <c r="F52" i="17"/>
  <c r="F34" i="17"/>
  <c r="F247" i="17"/>
  <c r="F116" i="17"/>
  <c r="F211" i="17"/>
  <c r="F236" i="17"/>
  <c r="F177" i="17"/>
  <c r="F4" i="17"/>
  <c r="F112" i="17"/>
  <c r="F215" i="17"/>
  <c r="F61" i="17"/>
  <c r="F14" i="17"/>
  <c r="F35" i="17"/>
  <c r="F2" i="17"/>
  <c r="F75" i="17"/>
  <c r="F190" i="17"/>
  <c r="F198" i="17"/>
  <c r="F21" i="17"/>
  <c r="F11" i="17"/>
  <c r="F147" i="17"/>
  <c r="F130" i="17"/>
  <c r="F227" i="17"/>
  <c r="F49" i="17"/>
  <c r="F39" i="17"/>
  <c r="F74" i="17"/>
  <c r="F64" i="17"/>
  <c r="F242" i="17"/>
  <c r="F173" i="17"/>
  <c r="F57" i="17"/>
  <c r="F129" i="17"/>
  <c r="F44" i="17"/>
  <c r="F135" i="17"/>
  <c r="F219" i="17"/>
  <c r="F24" i="17"/>
  <c r="F240" i="17"/>
  <c r="F137" i="17"/>
  <c r="F22" i="17"/>
  <c r="F134" i="17"/>
  <c r="F89" i="17"/>
  <c r="F12" i="17"/>
  <c r="F28" i="17"/>
  <c r="F46" i="17"/>
  <c r="F26" i="17"/>
  <c r="F50" i="17"/>
  <c r="F83" i="17"/>
  <c r="F36" i="17"/>
  <c r="F6" i="17"/>
  <c r="F140" i="17"/>
  <c r="F189" i="17"/>
  <c r="F131" i="17"/>
  <c r="F199" i="17"/>
  <c r="F41" i="17"/>
  <c r="F42" i="17"/>
  <c r="F10" i="17"/>
  <c r="F197" i="17"/>
  <c r="F136" i="17"/>
  <c r="F226" i="17"/>
  <c r="F101" i="17"/>
  <c r="F200" i="17"/>
  <c r="F107" i="17"/>
  <c r="F99" i="17"/>
  <c r="F213" i="17"/>
  <c r="F38" i="17"/>
  <c r="F139" i="17"/>
  <c r="F196" i="17"/>
  <c r="F128" i="17"/>
  <c r="F18" i="17"/>
  <c r="F17" i="17"/>
  <c r="F162" i="17"/>
  <c r="F138" i="17"/>
  <c r="F31" i="17"/>
  <c r="F91" i="17"/>
  <c r="F96" i="17"/>
  <c r="F220" i="17"/>
  <c r="F179" i="17"/>
  <c r="F250" i="17"/>
  <c r="F29" i="17"/>
  <c r="F113" i="17"/>
  <c r="F152" i="17"/>
  <c r="F115" i="17"/>
  <c r="F233" i="17"/>
  <c r="F158" i="17"/>
  <c r="F124" i="17"/>
  <c r="F62" i="17"/>
  <c r="F5" i="17"/>
  <c r="F95" i="17"/>
  <c r="F234" i="17"/>
  <c r="F25" i="17"/>
  <c r="F13" i="17"/>
  <c r="F229" i="17"/>
  <c r="F187" i="17"/>
  <c r="F40" i="17"/>
  <c r="F194" i="17"/>
  <c r="F224" i="17"/>
  <c r="F30" i="17"/>
  <c r="F86" i="17"/>
  <c r="F77" i="17"/>
  <c r="F144" i="17"/>
  <c r="F102" i="17"/>
  <c r="F117" i="17"/>
  <c r="F193" i="17"/>
  <c r="F51" i="17"/>
  <c r="F3" i="17"/>
  <c r="F249" i="17"/>
  <c r="F16" i="17"/>
  <c r="G51" i="8"/>
  <c r="G75" i="16"/>
  <c r="F431" i="2" s="1"/>
  <c r="F150" i="17"/>
  <c r="G47" i="16"/>
  <c r="F492" i="2" s="1"/>
  <c r="F108" i="17"/>
  <c r="G6" i="16"/>
  <c r="F51" i="2" s="1"/>
  <c r="G14" i="16"/>
  <c r="F173" i="2" s="1"/>
  <c r="F104" i="17"/>
  <c r="G5" i="16"/>
  <c r="F66" i="2" s="1"/>
  <c r="F155" i="17"/>
  <c r="F238" i="17"/>
  <c r="G22" i="16"/>
  <c r="F258" i="2" s="1"/>
  <c r="G27" i="16"/>
  <c r="F320" i="2" s="1"/>
  <c r="G19" i="16"/>
  <c r="F177" i="2" s="1"/>
  <c r="G81" i="16"/>
  <c r="F447" i="2" s="1"/>
  <c r="G33" i="16"/>
  <c r="F193" i="2" s="1"/>
  <c r="F69" i="17"/>
  <c r="F201" i="17"/>
  <c r="G21" i="16"/>
  <c r="F297" i="2" s="1"/>
  <c r="G24" i="16"/>
  <c r="F348" i="2" s="1"/>
  <c r="G25" i="16"/>
  <c r="F346" i="2" s="1"/>
  <c r="G3" i="16"/>
  <c r="F39" i="2" s="1"/>
  <c r="G37" i="16"/>
  <c r="F195" i="2" s="1"/>
  <c r="G80" i="16"/>
  <c r="F411" i="2" s="1"/>
  <c r="G20" i="16"/>
  <c r="F127" i="2" s="1"/>
  <c r="F37" i="17"/>
  <c r="G48" i="16"/>
  <c r="F293" i="2" s="1"/>
  <c r="F212" i="17"/>
  <c r="F60" i="17"/>
  <c r="F184" i="17"/>
  <c r="F59" i="17"/>
  <c r="F79" i="17"/>
  <c r="F218" i="17"/>
  <c r="F178" i="17"/>
  <c r="F109" i="17"/>
  <c r="G39" i="16"/>
  <c r="F257" i="2" s="1"/>
  <c r="F244" i="17"/>
  <c r="G72" i="16"/>
  <c r="F476" i="2" s="1"/>
  <c r="F118" i="17"/>
  <c r="G89" i="16"/>
  <c r="F429" i="2" s="1"/>
  <c r="F188" i="17"/>
  <c r="F202" i="17"/>
  <c r="G50" i="16"/>
  <c r="F439" i="2" s="1"/>
  <c r="G23" i="3"/>
  <c r="F133" i="17"/>
  <c r="G11" i="16"/>
  <c r="F73" i="2" s="1"/>
  <c r="F126" i="17"/>
  <c r="F195" i="17"/>
  <c r="G73" i="16"/>
  <c r="F407" i="2" s="1"/>
  <c r="G90" i="16"/>
  <c r="F477" i="2" s="1"/>
  <c r="G76" i="16"/>
  <c r="F482" i="2" s="1"/>
  <c r="G8" i="16"/>
  <c r="F61" i="2" s="1"/>
  <c r="G7" i="16"/>
  <c r="F67" i="2" s="1"/>
  <c r="G4" i="16"/>
  <c r="F78" i="2" s="1"/>
  <c r="G17" i="16"/>
  <c r="F239" i="2" s="1"/>
  <c r="F168" i="17"/>
  <c r="G40" i="16"/>
  <c r="F509" i="2" s="1"/>
  <c r="F172" i="17"/>
  <c r="F106" i="17"/>
  <c r="F243" i="17"/>
  <c r="G65" i="16"/>
  <c r="F331" i="2" s="1"/>
  <c r="G59" i="16"/>
  <c r="F275" i="2" s="1"/>
  <c r="F176" i="17"/>
  <c r="G44" i="16"/>
  <c r="F164" i="2" s="1"/>
  <c r="G69" i="16"/>
  <c r="F386" i="2" s="1"/>
  <c r="F170" i="17"/>
  <c r="G13" i="16"/>
  <c r="F117" i="2" s="1"/>
  <c r="F192" i="17"/>
  <c r="G87" i="16"/>
  <c r="F441" i="2" s="1"/>
  <c r="G29" i="16"/>
  <c r="F401" i="2" s="1"/>
  <c r="G16" i="16"/>
  <c r="F111" i="2" s="1"/>
  <c r="G61" i="16"/>
  <c r="F327" i="2" s="1"/>
  <c r="G54" i="16"/>
  <c r="F313" i="2" s="1"/>
  <c r="G34" i="16"/>
  <c r="F268" i="2" s="1"/>
  <c r="F248" i="17"/>
  <c r="G9" i="16"/>
  <c r="F75" i="2" s="1"/>
  <c r="F19" i="17"/>
  <c r="F161" i="17"/>
  <c r="G35" i="16"/>
  <c r="F384" i="2" s="1"/>
  <c r="F231" i="17"/>
  <c r="G64" i="16"/>
  <c r="F570" i="2" s="1"/>
  <c r="G57" i="16"/>
  <c r="F372" i="2" s="1"/>
  <c r="G56" i="16"/>
  <c r="F330" i="2" s="1"/>
  <c r="F71" i="17"/>
  <c r="G71" i="16"/>
  <c r="F303" i="2" s="1"/>
  <c r="G51" i="16"/>
  <c r="F306" i="2" s="1"/>
  <c r="F48" i="17"/>
  <c r="F81" i="17"/>
  <c r="G26" i="16"/>
  <c r="F69" i="2" s="1"/>
  <c r="G38" i="16"/>
  <c r="F312" i="2" s="1"/>
  <c r="F84" i="17"/>
  <c r="F169" i="17"/>
  <c r="F235" i="17"/>
  <c r="G68" i="16"/>
  <c r="F520" i="2" s="1"/>
  <c r="F123" i="17"/>
  <c r="G53" i="16"/>
  <c r="F422" i="2" s="1"/>
  <c r="G83" i="16"/>
  <c r="F452" i="2" s="1"/>
  <c r="G88" i="16"/>
  <c r="F480" i="2" s="1"/>
  <c r="G85" i="16"/>
  <c r="F369" i="2" s="1"/>
  <c r="G70" i="16"/>
  <c r="F463" i="2" s="1"/>
  <c r="G10" i="16"/>
  <c r="F148" i="2" s="1"/>
  <c r="G86" i="16"/>
  <c r="F295" i="2" s="1"/>
  <c r="G67" i="16"/>
  <c r="F469" i="2" s="1"/>
  <c r="G18" i="16"/>
  <c r="F209" i="2" s="1"/>
  <c r="F43" i="17"/>
  <c r="G49" i="16"/>
  <c r="F301" i="2" s="1"/>
  <c r="G55" i="16"/>
  <c r="F521" i="2" s="1"/>
  <c r="G77" i="16"/>
  <c r="F402" i="2" s="1"/>
  <c r="F68" i="17"/>
  <c r="G30" i="16"/>
  <c r="F428" i="2" s="1"/>
  <c r="F80" i="17"/>
  <c r="G60" i="16"/>
  <c r="F355" i="2" s="1"/>
  <c r="G84" i="16"/>
  <c r="F454" i="2" s="1"/>
  <c r="F92" i="17"/>
  <c r="G91" i="16"/>
  <c r="F352" i="2" s="1"/>
  <c r="G43" i="16"/>
  <c r="F274" i="2" s="1"/>
  <c r="G36" i="16"/>
  <c r="F190" i="2" s="1"/>
  <c r="G12" i="16"/>
  <c r="F158" i="2" s="1"/>
  <c r="G25" i="9" l="1"/>
  <c r="F517" i="2" s="1"/>
  <c r="G21" i="9"/>
  <c r="F419" i="2" s="1"/>
  <c r="G26" i="9"/>
  <c r="F516" i="2" s="1"/>
  <c r="G37" i="9"/>
  <c r="F562" i="2" s="1"/>
  <c r="G4" i="9"/>
  <c r="F154" i="2" s="1"/>
  <c r="G22" i="9"/>
  <c r="F503" i="2" s="1"/>
  <c r="G49" i="9"/>
  <c r="F593" i="2" s="1"/>
  <c r="G68" i="10"/>
  <c r="F238" i="2" s="1"/>
  <c r="G16" i="10"/>
  <c r="F92" i="2" s="1"/>
  <c r="G39" i="9"/>
  <c r="F558" i="2" s="1"/>
  <c r="G10" i="9"/>
  <c r="F151" i="2" s="1"/>
  <c r="G137" i="10"/>
  <c r="F613" i="2" s="1"/>
  <c r="G47" i="9"/>
  <c r="F577" i="2" s="1"/>
  <c r="G46" i="9"/>
  <c r="F595" i="2" s="1"/>
  <c r="G56" i="10"/>
  <c r="F272" i="2" s="1"/>
  <c r="G42" i="9"/>
  <c r="F541" i="2" s="1"/>
  <c r="G121" i="10"/>
  <c r="F573" i="2" s="1"/>
  <c r="G113" i="10"/>
  <c r="F435" i="2" s="1"/>
  <c r="G40" i="10"/>
  <c r="F210" i="2" s="1"/>
  <c r="G109" i="10"/>
  <c r="F449" i="2" s="1"/>
  <c r="G52" i="9"/>
  <c r="F614" i="2" s="1"/>
  <c r="G23" i="10"/>
  <c r="F58" i="2" s="1"/>
  <c r="G13" i="10"/>
  <c r="F50" i="2" s="1"/>
  <c r="G20" i="9"/>
  <c r="F412" i="2" s="1"/>
  <c r="G19" i="9"/>
  <c r="F515" i="2" s="1"/>
  <c r="G29" i="9"/>
  <c r="F533" i="2" s="1"/>
  <c r="G40" i="9"/>
  <c r="F584" i="2" s="1"/>
  <c r="G36" i="9"/>
  <c r="F532" i="2" s="1"/>
  <c r="G125" i="10"/>
  <c r="F590" i="2" s="1"/>
  <c r="G116" i="10"/>
  <c r="F535" i="2" s="1"/>
  <c r="G53" i="10"/>
  <c r="F255" i="2" s="1"/>
  <c r="G77" i="10"/>
  <c r="F298" i="2" s="1"/>
  <c r="G27" i="10"/>
  <c r="F136" i="2" s="1"/>
  <c r="G81" i="10"/>
  <c r="F392" i="2" s="1"/>
  <c r="G133" i="10"/>
  <c r="F599" i="2" s="1"/>
  <c r="G61" i="10"/>
  <c r="F222" i="2" s="1"/>
  <c r="G6" i="10"/>
  <c r="F3" i="2" s="1"/>
  <c r="G51" i="9"/>
  <c r="F632" i="2" s="1"/>
  <c r="G18" i="9"/>
  <c r="F319" i="2" s="1"/>
  <c r="G13" i="9"/>
  <c r="F253" i="2" s="1"/>
  <c r="G14" i="9"/>
  <c r="F284" i="2" s="1"/>
  <c r="G2" i="10"/>
  <c r="F14" i="2" s="1"/>
  <c r="E17" i="3" s="1"/>
  <c r="G83" i="10"/>
  <c r="F370" i="2" s="1"/>
  <c r="G58" i="10"/>
  <c r="F263" i="2" s="1"/>
  <c r="G107" i="10"/>
  <c r="F505" i="2" s="1"/>
  <c r="G49" i="10"/>
  <c r="F197" i="2" s="1"/>
  <c r="G101" i="10"/>
  <c r="F474" i="2" s="1"/>
  <c r="G103" i="10"/>
  <c r="F378" i="2" s="1"/>
  <c r="G120" i="10"/>
  <c r="F539" i="2" s="1"/>
  <c r="G132" i="10"/>
  <c r="F626" i="2" s="1"/>
  <c r="G62" i="10"/>
  <c r="F265" i="2" s="1"/>
  <c r="G11" i="9"/>
  <c r="F203" i="2" s="1"/>
  <c r="G30" i="9"/>
  <c r="F566" i="2" s="1"/>
  <c r="G38" i="9"/>
  <c r="F606" i="2" s="1"/>
  <c r="G17" i="9"/>
  <c r="F416" i="2" s="1"/>
  <c r="G114" i="10"/>
  <c r="F458" i="2" s="1"/>
  <c r="G59" i="10"/>
  <c r="F333" i="2" s="1"/>
  <c r="G74" i="10"/>
  <c r="F261" i="2" s="1"/>
  <c r="G104" i="10"/>
  <c r="F471" i="2" s="1"/>
  <c r="G118" i="10"/>
  <c r="F536" i="2" s="1"/>
  <c r="G115" i="10"/>
  <c r="F545" i="2" s="1"/>
  <c r="G82" i="10"/>
  <c r="F270" i="2" s="1"/>
  <c r="G28" i="10"/>
  <c r="F82" i="2" s="1"/>
  <c r="G57" i="10"/>
  <c r="F226" i="2" s="1"/>
  <c r="G98" i="10"/>
  <c r="F423" i="2" s="1"/>
  <c r="G106" i="10"/>
  <c r="F550" i="2" s="1"/>
  <c r="G27" i="9"/>
  <c r="F554" i="2" s="1"/>
  <c r="G8" i="9"/>
  <c r="F162" i="2" s="1"/>
  <c r="G16" i="9"/>
  <c r="F404" i="2" s="1"/>
  <c r="G54" i="9"/>
  <c r="F608" i="2" s="1"/>
  <c r="G100" i="10"/>
  <c r="F464" i="2" s="1"/>
  <c r="G117" i="10"/>
  <c r="F485" i="2" s="1"/>
  <c r="G122" i="10"/>
  <c r="F576" i="2" s="1"/>
  <c r="G127" i="10"/>
  <c r="F540" i="2" s="1"/>
  <c r="G66" i="10"/>
  <c r="F279" i="2" s="1"/>
  <c r="G108" i="10"/>
  <c r="F493" i="2" s="1"/>
  <c r="G3" i="10"/>
  <c r="F2" i="2" s="1"/>
  <c r="G89" i="10"/>
  <c r="F385" i="2" s="1"/>
  <c r="G73" i="10"/>
  <c r="F288" i="2" s="1"/>
  <c r="G130" i="10"/>
  <c r="F555" i="2" s="1"/>
  <c r="G24" i="10"/>
  <c r="F63" i="2" s="1"/>
  <c r="G17" i="10"/>
  <c r="F97" i="2" s="1"/>
  <c r="G84" i="10"/>
  <c r="F389" i="2" s="1"/>
  <c r="G34" i="10"/>
  <c r="F118" i="2" s="1"/>
  <c r="G25" i="10"/>
  <c r="F45" i="2" s="1"/>
  <c r="G47" i="10"/>
  <c r="F202" i="2" s="1"/>
  <c r="G71" i="10"/>
  <c r="F314" i="2" s="1"/>
  <c r="G94" i="10"/>
  <c r="F366" i="2" s="1"/>
  <c r="G41" i="10"/>
  <c r="F248" i="2" s="1"/>
  <c r="G7" i="9"/>
  <c r="F196" i="2" s="1"/>
  <c r="G28" i="9"/>
  <c r="F512" i="2" s="1"/>
  <c r="G53" i="9"/>
  <c r="F646" i="2" s="1"/>
  <c r="G5" i="9"/>
  <c r="F65" i="2" s="1"/>
  <c r="G33" i="9"/>
  <c r="F561" i="2" s="1"/>
  <c r="G22" i="10"/>
  <c r="F86" i="2" s="1"/>
  <c r="G36" i="10"/>
  <c r="F149" i="2" s="1"/>
  <c r="G12" i="10"/>
  <c r="F54" i="2" s="1"/>
  <c r="G20" i="10"/>
  <c r="F133" i="2" s="1"/>
  <c r="G97" i="10"/>
  <c r="F527" i="2" s="1"/>
  <c r="G9" i="10"/>
  <c r="F6" i="2" s="1"/>
  <c r="G102" i="10"/>
  <c r="F457" i="2" s="1"/>
  <c r="G75" i="10"/>
  <c r="F316" i="2" s="1"/>
  <c r="G52" i="10"/>
  <c r="F220" i="2" s="1"/>
  <c r="G19" i="10"/>
  <c r="F38" i="2" s="1"/>
  <c r="G11" i="10"/>
  <c r="F33" i="2" s="1"/>
  <c r="G79" i="10"/>
  <c r="F379" i="2" s="1"/>
  <c r="G85" i="10"/>
  <c r="F359" i="2" s="1"/>
  <c r="G111" i="10"/>
  <c r="F605" i="2" s="1"/>
  <c r="G72" i="10"/>
  <c r="F315" i="2" s="1"/>
  <c r="G64" i="10"/>
  <c r="F396" i="2" s="1"/>
  <c r="G76" i="10"/>
  <c r="F334" i="2" s="1"/>
  <c r="G21" i="10"/>
  <c r="F100" i="2" s="1"/>
  <c r="G32" i="9"/>
  <c r="F513" i="2" s="1"/>
  <c r="G44" i="9"/>
  <c r="F587" i="2" s="1"/>
  <c r="G31" i="9"/>
  <c r="F592" i="2" s="1"/>
  <c r="G34" i="9"/>
  <c r="F514" i="2" s="1"/>
  <c r="G50" i="9"/>
  <c r="F564" i="2" s="1"/>
  <c r="G126" i="10"/>
  <c r="F579" i="2" s="1"/>
  <c r="G51" i="10"/>
  <c r="F227" i="2" s="1"/>
  <c r="G99" i="10"/>
  <c r="F445" i="2" s="1"/>
  <c r="G38" i="10"/>
  <c r="F187" i="2" s="1"/>
  <c r="G46" i="10"/>
  <c r="F186" i="2" s="1"/>
  <c r="G78" i="10"/>
  <c r="F304" i="2" s="1"/>
  <c r="G128" i="10"/>
  <c r="F574" i="2" s="1"/>
  <c r="G70" i="10"/>
  <c r="F273" i="2" s="1"/>
  <c r="G129" i="10"/>
  <c r="F607" i="2" s="1"/>
  <c r="G95" i="10"/>
  <c r="F410" i="2" s="1"/>
  <c r="G37" i="10"/>
  <c r="F137" i="2" s="1"/>
  <c r="G4" i="10"/>
  <c r="F12" i="2" s="1"/>
  <c r="G86" i="10"/>
  <c r="F387" i="2" s="1"/>
  <c r="G3" i="9"/>
  <c r="F76" i="2" s="1"/>
  <c r="G23" i="9"/>
  <c r="F534" i="2" s="1"/>
  <c r="G45" i="9"/>
  <c r="F611" i="2" s="1"/>
  <c r="G9" i="9"/>
  <c r="F185" i="2" s="1"/>
  <c r="G41" i="9"/>
  <c r="F601" i="2" s="1"/>
  <c r="G24" i="9"/>
  <c r="F388" i="2" s="1"/>
  <c r="G55" i="10"/>
  <c r="F192" i="2" s="1"/>
  <c r="G29" i="10"/>
  <c r="F125" i="2" s="1"/>
  <c r="G35" i="10"/>
  <c r="F110" i="2" s="1"/>
  <c r="G131" i="10"/>
  <c r="F610" i="2" s="1"/>
  <c r="G138" i="10"/>
  <c r="F642" i="2" s="1"/>
  <c r="G60" i="10"/>
  <c r="F287" i="2" s="1"/>
  <c r="G91" i="10"/>
  <c r="F322" i="2" s="1"/>
  <c r="G112" i="10"/>
  <c r="F568" i="2" s="1"/>
  <c r="G18" i="10"/>
  <c r="F109" i="2" s="1"/>
  <c r="G50" i="10"/>
  <c r="F208" i="2" s="1"/>
  <c r="G96" i="10"/>
  <c r="F450" i="2" s="1"/>
  <c r="G31" i="10"/>
  <c r="F120" i="2" s="1"/>
  <c r="G2" i="9"/>
  <c r="F104" i="2" s="1"/>
  <c r="G43" i="9"/>
  <c r="F597" i="2" s="1"/>
  <c r="G12" i="9"/>
  <c r="F224" i="2" s="1"/>
  <c r="G15" i="9"/>
  <c r="F321" i="2" s="1"/>
  <c r="G6" i="9"/>
  <c r="F102" i="2" s="1"/>
  <c r="E11" i="3" s="1"/>
  <c r="G35" i="9"/>
  <c r="F546" i="2" s="1"/>
  <c r="G88" i="10"/>
  <c r="F336" i="2" s="1"/>
  <c r="G63" i="10"/>
  <c r="F219" i="2" s="1"/>
  <c r="G80" i="10"/>
  <c r="F341" i="2" s="1"/>
  <c r="G105" i="10"/>
  <c r="F478" i="2" s="1"/>
  <c r="G48" i="10"/>
  <c r="F262" i="2" s="1"/>
  <c r="G110" i="10"/>
  <c r="F494" i="2" s="1"/>
  <c r="G65" i="10"/>
  <c r="F234" i="2" s="1"/>
  <c r="G10" i="10"/>
  <c r="F44" i="2" s="1"/>
  <c r="G123" i="10"/>
  <c r="F600" i="2" s="1"/>
  <c r="G15" i="10"/>
  <c r="F31" i="2" s="1"/>
  <c r="G90" i="10"/>
  <c r="F391" i="2" s="1"/>
  <c r="G136" i="10"/>
  <c r="F604" i="2" s="1"/>
  <c r="G43" i="10"/>
  <c r="F214" i="2" s="1"/>
  <c r="G44" i="10"/>
  <c r="F198" i="2" s="1"/>
  <c r="G119" i="10"/>
  <c r="F547" i="2" s="1"/>
  <c r="G124" i="10"/>
  <c r="F612" i="2" s="1"/>
  <c r="G14" i="10"/>
  <c r="F24" i="2" s="1"/>
  <c r="G7" i="10"/>
  <c r="F17" i="2" s="1"/>
  <c r="G30" i="10"/>
  <c r="F130" i="2" s="1"/>
  <c r="G5" i="10"/>
  <c r="F5" i="2" s="1"/>
  <c r="G139" i="10"/>
  <c r="F622" i="2" s="1"/>
  <c r="G33" i="10"/>
  <c r="F79" i="2" s="1"/>
  <c r="G39" i="10"/>
  <c r="F157" i="2" s="1"/>
  <c r="G54" i="10"/>
  <c r="F289" i="2" s="1"/>
  <c r="G93" i="10"/>
  <c r="F347" i="2" s="1"/>
  <c r="G134" i="10"/>
  <c r="F636" i="2" s="1"/>
  <c r="G45" i="10"/>
  <c r="F236" i="2" s="1"/>
  <c r="G87" i="10"/>
  <c r="F394" i="2" s="1"/>
  <c r="G92" i="10"/>
  <c r="F403" i="2" s="1"/>
  <c r="G32" i="10"/>
  <c r="F70" i="2" s="1"/>
  <c r="G8" i="10"/>
  <c r="F20" i="2" s="1"/>
  <c r="G42" i="10"/>
  <c r="F179" i="2" s="1"/>
  <c r="G69" i="10"/>
  <c r="F408" i="2" s="1"/>
  <c r="G135" i="10"/>
  <c r="F603" i="2" s="1"/>
  <c r="G26" i="10"/>
  <c r="F105" i="2" s="1"/>
  <c r="G38" i="13"/>
  <c r="G13" i="13"/>
  <c r="G17" i="13"/>
  <c r="G16" i="13"/>
  <c r="G39" i="13"/>
  <c r="G43" i="13"/>
  <c r="G35" i="13"/>
  <c r="G6" i="13"/>
  <c r="G56" i="13"/>
  <c r="G57" i="13"/>
  <c r="G51" i="13"/>
  <c r="G34" i="13"/>
  <c r="G32" i="13"/>
  <c r="G58" i="13"/>
  <c r="G5" i="13"/>
  <c r="G81" i="13"/>
  <c r="G68" i="13"/>
  <c r="G92" i="13"/>
  <c r="G42" i="13"/>
  <c r="G10" i="13"/>
  <c r="G85" i="13"/>
  <c r="G80" i="13"/>
  <c r="G87" i="13"/>
  <c r="G67" i="13"/>
  <c r="G4" i="13"/>
  <c r="G41" i="13"/>
  <c r="G9" i="13"/>
  <c r="G91" i="13"/>
  <c r="G8" i="13"/>
  <c r="G50" i="13"/>
  <c r="G83" i="13"/>
  <c r="G76" i="13"/>
  <c r="G33" i="13"/>
  <c r="G59" i="13"/>
  <c r="G60" i="13"/>
  <c r="G75" i="13"/>
  <c r="G3" i="13"/>
  <c r="G31" i="13"/>
  <c r="G66" i="13"/>
  <c r="G26" i="13"/>
  <c r="G28" i="13"/>
  <c r="G44" i="13"/>
  <c r="G65" i="13"/>
  <c r="G19" i="13"/>
  <c r="G86" i="13"/>
  <c r="G49" i="13"/>
  <c r="G24" i="13"/>
  <c r="G52" i="13"/>
  <c r="G47" i="13"/>
  <c r="G46" i="13"/>
  <c r="G27" i="13"/>
  <c r="G22" i="13"/>
  <c r="G21" i="13"/>
  <c r="G14" i="13"/>
  <c r="G11" i="13"/>
  <c r="G72" i="13"/>
  <c r="G40" i="13"/>
  <c r="G37" i="13"/>
  <c r="G90" i="13"/>
  <c r="G30" i="13"/>
  <c r="G88" i="13"/>
  <c r="G70" i="13"/>
  <c r="G78" i="13"/>
  <c r="G2" i="13"/>
  <c r="G7" i="13"/>
  <c r="G25" i="13"/>
  <c r="G45" i="13"/>
  <c r="G61" i="13"/>
  <c r="G15" i="13"/>
  <c r="G69" i="13"/>
  <c r="G54" i="13"/>
  <c r="G79" i="13"/>
  <c r="G62" i="13"/>
  <c r="G64" i="13"/>
  <c r="G82" i="13"/>
  <c r="G20" i="13"/>
  <c r="G18" i="13"/>
  <c r="G93" i="13"/>
  <c r="G94" i="13"/>
  <c r="G55" i="13"/>
  <c r="G12" i="13"/>
  <c r="G53" i="13"/>
  <c r="G74" i="13"/>
  <c r="G48" i="13"/>
  <c r="G36" i="13"/>
  <c r="G84" i="13"/>
  <c r="G73" i="13"/>
  <c r="G23" i="13"/>
  <c r="G77" i="13"/>
  <c r="G29" i="13"/>
  <c r="G71" i="13"/>
  <c r="G63" i="13"/>
  <c r="G89" i="13"/>
  <c r="G59" i="12"/>
  <c r="G78" i="12"/>
  <c r="G88" i="12"/>
  <c r="G14" i="12"/>
  <c r="G67" i="12"/>
  <c r="G94" i="12"/>
  <c r="G46" i="12"/>
  <c r="G33" i="12"/>
  <c r="G31" i="12"/>
  <c r="G48" i="12"/>
  <c r="G57" i="12"/>
  <c r="G77" i="12"/>
  <c r="G56" i="12"/>
  <c r="G95" i="12"/>
  <c r="G4" i="12"/>
  <c r="G93" i="12"/>
  <c r="G36" i="12"/>
  <c r="G71" i="12"/>
  <c r="G85" i="12"/>
  <c r="G15" i="12"/>
  <c r="G98" i="12"/>
  <c r="G16" i="12"/>
  <c r="G34" i="12"/>
  <c r="G72" i="12"/>
  <c r="G61" i="12"/>
  <c r="G54" i="12"/>
  <c r="G5" i="12"/>
  <c r="G92" i="12"/>
  <c r="G73" i="12"/>
  <c r="G76" i="12"/>
  <c r="G74" i="12"/>
  <c r="G101" i="12"/>
  <c r="G29" i="12"/>
  <c r="G22" i="12"/>
  <c r="G30" i="12"/>
  <c r="G60" i="12"/>
  <c r="G40" i="12"/>
  <c r="G3" i="12"/>
  <c r="G26" i="12"/>
  <c r="G80" i="12"/>
  <c r="G90" i="12"/>
  <c r="G86" i="12"/>
  <c r="G79" i="12"/>
  <c r="G82" i="12"/>
  <c r="G87" i="12"/>
  <c r="G28" i="12"/>
  <c r="G65" i="12"/>
  <c r="G39" i="12"/>
  <c r="G50" i="12"/>
  <c r="G97" i="12"/>
  <c r="G64" i="12"/>
  <c r="G91" i="12"/>
  <c r="G23" i="12"/>
  <c r="G27" i="12"/>
  <c r="G35" i="12"/>
  <c r="G75" i="12"/>
  <c r="G12" i="12"/>
  <c r="G49" i="12"/>
  <c r="G25" i="12"/>
  <c r="G18" i="12"/>
  <c r="G83" i="12"/>
  <c r="G21" i="12"/>
  <c r="G58" i="12"/>
  <c r="G51" i="12"/>
  <c r="G42" i="12"/>
  <c r="G68" i="12"/>
  <c r="G47" i="12"/>
  <c r="G13" i="12"/>
  <c r="G38" i="12"/>
  <c r="G55" i="12"/>
  <c r="G103" i="12"/>
  <c r="G100" i="12"/>
  <c r="G41" i="12"/>
  <c r="G11" i="12"/>
  <c r="G44" i="12"/>
  <c r="G96" i="12"/>
  <c r="G63" i="12"/>
  <c r="G6" i="12"/>
  <c r="G52" i="12"/>
  <c r="G8" i="12"/>
  <c r="G69" i="12"/>
  <c r="G32" i="12"/>
  <c r="G10" i="12"/>
  <c r="G102" i="12"/>
  <c r="G37" i="12"/>
  <c r="G99" i="12"/>
  <c r="G19" i="12"/>
  <c r="G62" i="12"/>
  <c r="G84" i="12"/>
  <c r="G20" i="12"/>
  <c r="G7" i="12"/>
  <c r="G9" i="12"/>
  <c r="G53" i="12"/>
  <c r="G81" i="12"/>
  <c r="G66" i="12"/>
  <c r="G24" i="12"/>
  <c r="G104" i="12"/>
  <c r="G70" i="12"/>
  <c r="G17" i="12"/>
  <c r="G43" i="12"/>
  <c r="G89" i="12"/>
  <c r="G45" i="12"/>
  <c r="G2" i="12"/>
  <c r="G25" i="7"/>
  <c r="F256" i="2" s="1"/>
  <c r="G43" i="11"/>
  <c r="F644" i="2" s="1"/>
  <c r="G27" i="11"/>
  <c r="F342" i="2" s="1"/>
  <c r="G11" i="11"/>
  <c r="F103" i="2" s="1"/>
  <c r="G18" i="11"/>
  <c r="F113" i="2" s="1"/>
  <c r="G5" i="11"/>
  <c r="F10" i="2" s="1"/>
  <c r="E14" i="3" s="1"/>
  <c r="G35" i="11"/>
  <c r="F361" i="2" s="1"/>
  <c r="G6" i="11"/>
  <c r="F56" i="2" s="1"/>
  <c r="G24" i="11"/>
  <c r="F308" i="2" s="1"/>
  <c r="G20" i="11"/>
  <c r="F343" i="2" s="1"/>
  <c r="G13" i="11"/>
  <c r="F89" i="2" s="1"/>
  <c r="G41" i="11"/>
  <c r="F640" i="2" s="1"/>
  <c r="G29" i="11"/>
  <c r="G3" i="11"/>
  <c r="F16" i="2" s="1"/>
  <c r="G37" i="11"/>
  <c r="F425" i="2" s="1"/>
  <c r="G34" i="11"/>
  <c r="F266" i="2" s="1"/>
  <c r="G31" i="11"/>
  <c r="F538" i="2" s="1"/>
  <c r="G44" i="11"/>
  <c r="F575" i="2" s="1"/>
  <c r="G32" i="11"/>
  <c r="F498" i="2" s="1"/>
  <c r="G12" i="11"/>
  <c r="F71" i="2" s="1"/>
  <c r="G38" i="11"/>
  <c r="F525" i="2" s="1"/>
  <c r="G19" i="11"/>
  <c r="F145" i="2" s="1"/>
  <c r="G39" i="11"/>
  <c r="F559" i="2" s="1"/>
  <c r="G36" i="11"/>
  <c r="F497" i="2" s="1"/>
  <c r="G4" i="11"/>
  <c r="F18" i="2" s="1"/>
  <c r="G40" i="11"/>
  <c r="F627" i="2" s="1"/>
  <c r="G15" i="11"/>
  <c r="F80" i="2" s="1"/>
  <c r="G7" i="11"/>
  <c r="F49" i="2" s="1"/>
  <c r="G8" i="11"/>
  <c r="F81" i="2" s="1"/>
  <c r="G9" i="11"/>
  <c r="F83" i="2" s="1"/>
  <c r="G14" i="11"/>
  <c r="F47" i="2" s="1"/>
  <c r="G25" i="11"/>
  <c r="F232" i="2" s="1"/>
  <c r="G10" i="11"/>
  <c r="F84" i="2" s="1"/>
  <c r="G23" i="11"/>
  <c r="F269" i="2" s="1"/>
  <c r="G22" i="11"/>
  <c r="F323" i="2" s="1"/>
  <c r="G26" i="11"/>
  <c r="F409" i="2" s="1"/>
  <c r="G33" i="11"/>
  <c r="F507" i="2" s="1"/>
  <c r="G16" i="11"/>
  <c r="F101" i="2" s="1"/>
  <c r="G28" i="11"/>
  <c r="F484" i="2" s="1"/>
  <c r="G45" i="11"/>
  <c r="F647" i="2" s="1"/>
  <c r="G42" i="11"/>
  <c r="F631" i="2" s="1"/>
  <c r="G21" i="11"/>
  <c r="F212" i="2" s="1"/>
  <c r="G30" i="11"/>
  <c r="F360" i="2" s="1"/>
  <c r="G2" i="11"/>
  <c r="G48" i="8"/>
  <c r="F641" i="2" s="1"/>
  <c r="G47" i="8"/>
  <c r="F625" i="2" s="1"/>
  <c r="G10" i="8"/>
  <c r="F167" i="2" s="1"/>
  <c r="G22" i="8"/>
  <c r="F324" i="2" s="1"/>
  <c r="G52" i="8"/>
  <c r="F643" i="2" s="1"/>
  <c r="G50" i="8"/>
  <c r="F602" i="2" s="1"/>
  <c r="G42" i="8"/>
  <c r="F531" i="2" s="1"/>
  <c r="G34" i="8"/>
  <c r="F486" i="2" s="1"/>
  <c r="G9" i="8"/>
  <c r="F182" i="2" s="1"/>
  <c r="G38" i="8"/>
  <c r="F491" i="2" s="1"/>
  <c r="G6" i="8"/>
  <c r="F99" i="2" s="1"/>
  <c r="G29" i="8"/>
  <c r="F443" i="2" s="1"/>
  <c r="G20" i="8"/>
  <c r="F340" i="2" s="1"/>
  <c r="G8" i="8"/>
  <c r="F171" i="2" s="1"/>
  <c r="G35" i="8"/>
  <c r="F487" i="2" s="1"/>
  <c r="G5" i="8"/>
  <c r="F57" i="2" s="1"/>
  <c r="G43" i="8"/>
  <c r="F578" i="2" s="1"/>
  <c r="G55" i="8"/>
  <c r="F619" i="2" s="1"/>
  <c r="G12" i="8"/>
  <c r="F141" i="2" s="1"/>
  <c r="G46" i="8"/>
  <c r="F620" i="2" s="1"/>
  <c r="G7" i="8"/>
  <c r="F35" i="2" s="1"/>
  <c r="G19" i="8"/>
  <c r="F260" i="2" s="1"/>
  <c r="G11" i="8"/>
  <c r="F153" i="2" s="1"/>
  <c r="G3" i="8"/>
  <c r="F23" i="2" s="1"/>
  <c r="G23" i="8"/>
  <c r="F278" i="2" s="1"/>
  <c r="G21" i="8"/>
  <c r="F290" i="2" s="1"/>
  <c r="G13" i="8"/>
  <c r="F165" i="2" s="1"/>
  <c r="G18" i="8"/>
  <c r="F281" i="2" s="1"/>
  <c r="G26" i="8"/>
  <c r="F414" i="2" s="1"/>
  <c r="G28" i="8"/>
  <c r="F488" i="2" s="1"/>
  <c r="G4" i="8"/>
  <c r="F25" i="2" s="1"/>
  <c r="G33" i="8"/>
  <c r="F502" i="2" s="1"/>
  <c r="G36" i="8"/>
  <c r="F504" i="2" s="1"/>
  <c r="G54" i="8"/>
  <c r="F649" i="2" s="1"/>
  <c r="G15" i="8"/>
  <c r="F242" i="2" s="1"/>
  <c r="G41" i="8"/>
  <c r="F571" i="2" s="1"/>
  <c r="G27" i="8"/>
  <c r="F421" i="2" s="1"/>
  <c r="G17" i="8"/>
  <c r="F252" i="2" s="1"/>
  <c r="G16" i="8"/>
  <c r="F217" i="2" s="1"/>
  <c r="G24" i="8"/>
  <c r="F271" i="2" s="1"/>
  <c r="G30" i="8"/>
  <c r="F375" i="2" s="1"/>
  <c r="G45" i="8"/>
  <c r="F589" i="2" s="1"/>
  <c r="G49" i="8"/>
  <c r="F616" i="2" s="1"/>
  <c r="G37" i="8"/>
  <c r="F489" i="2" s="1"/>
  <c r="G44" i="8"/>
  <c r="F580" i="2" s="1"/>
  <c r="G31" i="8"/>
  <c r="F241" i="2" s="1"/>
  <c r="G25" i="8"/>
  <c r="F310" i="2" s="1"/>
  <c r="G39" i="8"/>
  <c r="F442" i="2" s="1"/>
  <c r="G53" i="8"/>
  <c r="F628" i="2" s="1"/>
  <c r="G32" i="8"/>
  <c r="F483" i="2" s="1"/>
  <c r="G40" i="8"/>
  <c r="F544" i="2" s="1"/>
  <c r="G14" i="8"/>
  <c r="F231" i="2" s="1"/>
  <c r="F639" i="2"/>
  <c r="G2" i="8"/>
  <c r="G22" i="7"/>
  <c r="F204" i="2" s="1"/>
  <c r="G44" i="7"/>
  <c r="F596" i="2" s="1"/>
  <c r="G19" i="7"/>
  <c r="F175" i="2" s="1"/>
  <c r="G5" i="7"/>
  <c r="F55" i="2" s="1"/>
  <c r="G47" i="7"/>
  <c r="F618" i="2" s="1"/>
  <c r="G17" i="7"/>
  <c r="F228" i="2" s="1"/>
  <c r="G37" i="7"/>
  <c r="F530" i="2" s="1"/>
  <c r="G2" i="7"/>
  <c r="F156" i="2" s="1"/>
  <c r="G4" i="7"/>
  <c r="F64" i="2" s="1"/>
  <c r="E5" i="3" s="1"/>
  <c r="G12" i="7"/>
  <c r="F150" i="2" s="1"/>
  <c r="G36" i="7"/>
  <c r="F481" i="2" s="1"/>
  <c r="G30" i="7"/>
  <c r="F349" i="2" s="1"/>
  <c r="G28" i="7"/>
  <c r="F460" i="2" s="1"/>
  <c r="G41" i="7"/>
  <c r="F543" i="2" s="1"/>
  <c r="G13" i="7"/>
  <c r="F152" i="2" s="1"/>
  <c r="G50" i="7"/>
  <c r="F648" i="2" s="1"/>
  <c r="G31" i="7"/>
  <c r="F351" i="2" s="1"/>
  <c r="G29" i="7"/>
  <c r="F364" i="2" s="1"/>
  <c r="G35" i="7"/>
  <c r="F365" i="2" s="1"/>
  <c r="G7" i="7"/>
  <c r="F131" i="2" s="1"/>
  <c r="G27" i="7"/>
  <c r="F276" i="2" s="1"/>
  <c r="G6" i="7"/>
  <c r="F40" i="2" s="1"/>
  <c r="G16" i="7"/>
  <c r="F119" i="2" s="1"/>
  <c r="G15" i="7"/>
  <c r="F170" i="2" s="1"/>
  <c r="G49" i="7"/>
  <c r="F635" i="2" s="1"/>
  <c r="G38" i="7"/>
  <c r="F444" i="2" s="1"/>
  <c r="G14" i="7"/>
  <c r="F174" i="2" s="1"/>
  <c r="G20" i="7"/>
  <c r="F213" i="2" s="1"/>
  <c r="G18" i="7"/>
  <c r="F184" i="2" s="1"/>
  <c r="G48" i="7"/>
  <c r="F634" i="2" s="1"/>
  <c r="G21" i="7"/>
  <c r="F215" i="2" s="1"/>
  <c r="G40" i="7"/>
  <c r="F549" i="2" s="1"/>
  <c r="G42" i="7"/>
  <c r="F499" i="2" s="1"/>
  <c r="G33" i="7"/>
  <c r="F462" i="2" s="1"/>
  <c r="G3" i="7"/>
  <c r="G11" i="7"/>
  <c r="F95" i="2" s="1"/>
  <c r="G34" i="7"/>
  <c r="F418" i="2" s="1"/>
  <c r="G43" i="7"/>
  <c r="F609" i="2" s="1"/>
  <c r="G45" i="7"/>
  <c r="F637" i="2" s="1"/>
  <c r="G10" i="7"/>
  <c r="F144" i="2" s="1"/>
  <c r="G24" i="7"/>
  <c r="F358" i="2" s="1"/>
  <c r="G8" i="7"/>
  <c r="F59" i="2" s="1"/>
  <c r="G39" i="7"/>
  <c r="F496" i="2" s="1"/>
  <c r="G26" i="7"/>
  <c r="F329" i="2" s="1"/>
  <c r="G46" i="7"/>
  <c r="F638" i="2" s="1"/>
  <c r="G23" i="7"/>
  <c r="F249" i="2" s="1"/>
  <c r="G32" i="7"/>
  <c r="F437" i="2" s="1"/>
  <c r="G9" i="7"/>
  <c r="F178" i="2" s="1"/>
  <c r="G2" i="6"/>
  <c r="I71" i="16"/>
  <c r="I5" i="16"/>
  <c r="I75" i="16"/>
  <c r="I8" i="16"/>
  <c r="I48" i="16"/>
  <c r="I65" i="16"/>
  <c r="I85" i="16"/>
  <c r="I78" i="16"/>
  <c r="I26" i="16"/>
  <c r="I72" i="16"/>
  <c r="I88" i="16"/>
  <c r="I27" i="16"/>
  <c r="I58" i="16"/>
  <c r="I12" i="16"/>
  <c r="I60" i="16"/>
  <c r="I6" i="16"/>
  <c r="I66" i="16"/>
  <c r="I31" i="16"/>
  <c r="I29" i="16"/>
  <c r="I81" i="16"/>
  <c r="I87" i="16"/>
  <c r="I91" i="16"/>
  <c r="I51" i="16"/>
  <c r="I77" i="16"/>
  <c r="I21" i="16"/>
  <c r="I14" i="16"/>
  <c r="I19" i="16"/>
  <c r="I24" i="16"/>
  <c r="I45" i="16"/>
  <c r="I52" i="16"/>
  <c r="I64" i="16"/>
  <c r="I68" i="16"/>
  <c r="I84" i="16"/>
  <c r="I86" i="16"/>
  <c r="I33" i="16"/>
  <c r="I34" i="16"/>
  <c r="I43" i="16"/>
  <c r="I62" i="16"/>
  <c r="I4" i="16"/>
  <c r="I63" i="16"/>
  <c r="I39" i="16"/>
  <c r="I7" i="16"/>
  <c r="I73" i="16"/>
  <c r="I2" i="16"/>
  <c r="I36" i="16"/>
  <c r="I59" i="16"/>
  <c r="I16" i="16"/>
  <c r="I57" i="16"/>
  <c r="I49" i="16"/>
  <c r="I56" i="16"/>
  <c r="I54" i="16"/>
  <c r="I35" i="16"/>
  <c r="I79" i="16"/>
  <c r="I41" i="16"/>
  <c r="I25" i="16"/>
  <c r="I44" i="16"/>
  <c r="I17" i="16"/>
  <c r="I13" i="16"/>
  <c r="I37" i="16"/>
  <c r="I67" i="16"/>
  <c r="I53" i="16"/>
  <c r="I76" i="16"/>
  <c r="I61" i="16"/>
  <c r="I3" i="16"/>
  <c r="I30" i="16"/>
  <c r="I28" i="16"/>
  <c r="I20" i="16"/>
  <c r="I47" i="16"/>
  <c r="I23" i="16"/>
  <c r="I46" i="16"/>
  <c r="I90" i="16"/>
  <c r="I9" i="16"/>
  <c r="I22" i="16"/>
  <c r="I70" i="16"/>
  <c r="I38" i="16"/>
  <c r="I32" i="16"/>
  <c r="I89" i="16"/>
  <c r="I80" i="16"/>
  <c r="I50" i="16"/>
  <c r="I11" i="16"/>
  <c r="I82" i="16"/>
  <c r="I74" i="16"/>
  <c r="I10" i="16"/>
  <c r="I18" i="16"/>
  <c r="I55" i="16"/>
  <c r="I83" i="16"/>
  <c r="I15" i="16"/>
  <c r="I69" i="16"/>
  <c r="I42" i="16"/>
  <c r="I40" i="16"/>
  <c r="G166" i="17"/>
  <c r="G103" i="15"/>
  <c r="F311" i="2" s="1"/>
  <c r="G103" i="17"/>
  <c r="G16" i="6"/>
  <c r="F143" i="2" s="1"/>
  <c r="G142" i="15"/>
  <c r="F518" i="2" s="1"/>
  <c r="G39" i="17"/>
  <c r="G30" i="17"/>
  <c r="G132" i="15"/>
  <c r="F537" i="2" s="1"/>
  <c r="G40" i="6"/>
  <c r="F473" i="2" s="1"/>
  <c r="G216" i="17"/>
  <c r="G19" i="6"/>
  <c r="F163" i="2" s="1"/>
  <c r="G86" i="17"/>
  <c r="G29" i="6"/>
  <c r="F363" i="2" s="1"/>
  <c r="G12" i="17"/>
  <c r="G241" i="17"/>
  <c r="G20" i="6"/>
  <c r="F168" i="2" s="1"/>
  <c r="G74" i="17"/>
  <c r="G129" i="17"/>
  <c r="G61" i="6"/>
  <c r="F630" i="2" s="1"/>
  <c r="G104" i="17"/>
  <c r="G94" i="17"/>
  <c r="G133" i="17"/>
  <c r="G189" i="17"/>
  <c r="G119" i="15"/>
  <c r="F291" i="2" s="1"/>
  <c r="G48" i="6"/>
  <c r="F557" i="2" s="1"/>
  <c r="G33" i="6"/>
  <c r="F332" i="2" s="1"/>
  <c r="G56" i="6"/>
  <c r="F617" i="2" s="1"/>
  <c r="G38" i="6"/>
  <c r="F420" i="2" s="1"/>
  <c r="G71" i="15"/>
  <c r="F207" i="2" s="1"/>
  <c r="G116" i="15"/>
  <c r="F362" i="2" s="1"/>
  <c r="G150" i="15"/>
  <c r="F398" i="2" s="1"/>
  <c r="G51" i="6"/>
  <c r="F594" i="2" s="1"/>
  <c r="G147" i="15"/>
  <c r="F490" i="2" s="1"/>
  <c r="G161" i="17"/>
  <c r="G39" i="6"/>
  <c r="F356" i="2" s="1"/>
  <c r="G201" i="17"/>
  <c r="G192" i="17"/>
  <c r="G5" i="17"/>
  <c r="F116" i="2"/>
  <c r="G246" i="17"/>
  <c r="G53" i="6"/>
  <c r="F585" i="2" s="1"/>
  <c r="G116" i="17"/>
  <c r="G65" i="15"/>
  <c r="F264" i="2" s="1"/>
  <c r="G121" i="17"/>
  <c r="G238" i="17"/>
  <c r="G26" i="17"/>
  <c r="G118" i="17"/>
  <c r="G63" i="15"/>
  <c r="F299" i="2" s="1"/>
  <c r="G37" i="6"/>
  <c r="F337" i="2" s="1"/>
  <c r="G223" i="17"/>
  <c r="G93" i="17"/>
  <c r="G163" i="17"/>
  <c r="G68" i="15"/>
  <c r="F406" i="2" s="1"/>
  <c r="G119" i="17"/>
  <c r="G32" i="6"/>
  <c r="F393" i="2" s="1"/>
  <c r="F553" i="2"/>
  <c r="G113" i="17"/>
  <c r="G209" i="17"/>
  <c r="G32" i="17"/>
  <c r="G18" i="6"/>
  <c r="F115" i="2" s="1"/>
  <c r="G28" i="6"/>
  <c r="F229" i="2" s="1"/>
  <c r="G24" i="6"/>
  <c r="F201" i="2" s="1"/>
  <c r="G12" i="6"/>
  <c r="F176" i="2" s="1"/>
  <c r="G176" i="17"/>
  <c r="G54" i="17"/>
  <c r="G248" i="17"/>
  <c r="G55" i="6"/>
  <c r="F623" i="2" s="1"/>
  <c r="G218" i="17"/>
  <c r="G114" i="17"/>
  <c r="G66" i="17"/>
  <c r="G126" i="17"/>
  <c r="G153" i="15"/>
  <c r="F436" i="2" s="1"/>
  <c r="G59" i="17"/>
  <c r="G52" i="6"/>
  <c r="F569" i="2" s="1"/>
  <c r="G30" i="6"/>
  <c r="F373" i="2" s="1"/>
  <c r="G21" i="15"/>
  <c r="F8" i="2" s="1"/>
  <c r="G136" i="15"/>
  <c r="F382" i="2" s="1"/>
  <c r="G76" i="17"/>
  <c r="G243" i="17"/>
  <c r="G13" i="17"/>
  <c r="G35" i="17"/>
  <c r="G104" i="15"/>
  <c r="F354" i="2" s="1"/>
  <c r="G182" i="17"/>
  <c r="G105" i="17"/>
  <c r="G152" i="15"/>
  <c r="F230" i="2" s="1"/>
  <c r="G154" i="17"/>
  <c r="G124" i="17"/>
  <c r="G158" i="17"/>
  <c r="G161" i="15"/>
  <c r="F528" i="2" s="1"/>
  <c r="G152" i="17"/>
  <c r="G91" i="17"/>
  <c r="G67" i="17"/>
  <c r="G37" i="15"/>
  <c r="F108" i="2" s="1"/>
  <c r="G29" i="15"/>
  <c r="F88" i="2" s="1"/>
  <c r="G85" i="15"/>
  <c r="F183" i="2" s="1"/>
  <c r="G34" i="17"/>
  <c r="G11" i="15"/>
  <c r="F21" i="2" s="1"/>
  <c r="G86" i="15"/>
  <c r="F415" i="2" s="1"/>
  <c r="G28" i="15"/>
  <c r="F91" i="2" s="1"/>
  <c r="G65" i="17"/>
  <c r="G125" i="17"/>
  <c r="G46" i="15"/>
  <c r="F169" i="2" s="1"/>
  <c r="G138" i="17"/>
  <c r="G70" i="15"/>
  <c r="F221" i="2" s="1"/>
  <c r="G55" i="15"/>
  <c r="F166" i="2" s="1"/>
  <c r="G147" i="17"/>
  <c r="G21" i="17"/>
  <c r="G28" i="17"/>
  <c r="G230" i="17"/>
  <c r="G16" i="15"/>
  <c r="F53" i="2" s="1"/>
  <c r="G164" i="17"/>
  <c r="G7" i="15"/>
  <c r="F37" i="2" s="1"/>
  <c r="G30" i="15"/>
  <c r="F32" i="2" s="1"/>
  <c r="G151" i="17"/>
  <c r="G22" i="6"/>
  <c r="F235" i="2" s="1"/>
  <c r="G188" i="17"/>
  <c r="G158" i="15"/>
  <c r="F468" i="2" s="1"/>
  <c r="G35" i="15"/>
  <c r="F140" i="2" s="1"/>
  <c r="G15" i="6"/>
  <c r="F124" i="2" s="1"/>
  <c r="G160" i="15"/>
  <c r="F560" i="2" s="1"/>
  <c r="G76" i="15"/>
  <c r="F405" i="2" s="1"/>
  <c r="G242" i="17"/>
  <c r="G72" i="17"/>
  <c r="G130" i="17"/>
  <c r="G15" i="15"/>
  <c r="F68" i="2" s="1"/>
  <c r="G236" i="17"/>
  <c r="G56" i="15"/>
  <c r="F250" i="2" s="1"/>
  <c r="G150" i="17"/>
  <c r="G51" i="17"/>
  <c r="G102" i="17"/>
  <c r="G58" i="6"/>
  <c r="F563" i="2" s="1"/>
  <c r="G38" i="15"/>
  <c r="F146" i="2" s="1"/>
  <c r="G174" i="17"/>
  <c r="G77" i="17"/>
  <c r="G41" i="17"/>
  <c r="G50" i="17"/>
  <c r="G180" i="17"/>
  <c r="G107" i="17"/>
  <c r="G122" i="17"/>
  <c r="G157" i="15"/>
  <c r="F556" i="2" s="1"/>
  <c r="G26" i="15"/>
  <c r="F94" i="2" s="1"/>
  <c r="G94" i="15"/>
  <c r="F465" i="2" s="1"/>
  <c r="G3" i="15"/>
  <c r="F19" i="2" s="1"/>
  <c r="G207" i="17"/>
  <c r="G49" i="17"/>
  <c r="G57" i="17"/>
  <c r="G129" i="15"/>
  <c r="F583" i="2" s="1"/>
  <c r="G184" i="17"/>
  <c r="G251" i="17"/>
  <c r="G18" i="15"/>
  <c r="F77" i="2" s="1"/>
  <c r="G232" i="17"/>
  <c r="G53" i="17"/>
  <c r="G213" i="17"/>
  <c r="G227" i="17"/>
  <c r="G52" i="15"/>
  <c r="F161" i="2" s="1"/>
  <c r="G98" i="17"/>
  <c r="G25" i="15"/>
  <c r="F96" i="2" s="1"/>
  <c r="G143" i="15"/>
  <c r="F552" i="2" s="1"/>
  <c r="G149" i="15"/>
  <c r="F526" i="2" s="1"/>
  <c r="G125" i="15"/>
  <c r="F523" i="2" s="1"/>
  <c r="G48" i="15"/>
  <c r="F180" i="2" s="1"/>
  <c r="G245" i="17"/>
  <c r="G148" i="15"/>
  <c r="F456" i="2" s="1"/>
  <c r="G191" i="17"/>
  <c r="G128" i="17"/>
  <c r="G19" i="15"/>
  <c r="F60" i="2" s="1"/>
  <c r="G82" i="17"/>
  <c r="G22" i="17"/>
  <c r="G134" i="15"/>
  <c r="F522" i="2" s="1"/>
  <c r="G6" i="15"/>
  <c r="F48" i="2" s="1"/>
  <c r="G24" i="17"/>
  <c r="G181" i="17"/>
  <c r="G8" i="15"/>
  <c r="F22" i="2" s="1"/>
  <c r="G72" i="15"/>
  <c r="F286" i="2" s="1"/>
  <c r="G88" i="17"/>
  <c r="G137" i="17"/>
  <c r="G13" i="15"/>
  <c r="F36" i="2" s="1"/>
  <c r="G27" i="17"/>
  <c r="G62" i="17"/>
  <c r="G198" i="17"/>
  <c r="G59" i="15"/>
  <c r="F218" i="2" s="1"/>
  <c r="G169" i="17"/>
  <c r="G146" i="17"/>
  <c r="G224" i="17"/>
  <c r="G47" i="17"/>
  <c r="G41" i="15"/>
  <c r="F155" i="2" s="1"/>
  <c r="G162" i="17"/>
  <c r="G43" i="17"/>
  <c r="G136" i="17"/>
  <c r="G26" i="6"/>
  <c r="F424" i="2" s="1"/>
  <c r="G98" i="15"/>
  <c r="F377" i="2" s="1"/>
  <c r="G40" i="17"/>
  <c r="G61" i="17"/>
  <c r="G4" i="15"/>
  <c r="F34" i="2" s="1"/>
  <c r="G63" i="17"/>
  <c r="G81" i="17"/>
  <c r="G42" i="15"/>
  <c r="F200" i="2" s="1"/>
  <c r="G155" i="17"/>
  <c r="G12" i="15"/>
  <c r="F62" i="2" s="1"/>
  <c r="G111" i="17"/>
  <c r="G99" i="15"/>
  <c r="F501" i="2" s="1"/>
  <c r="G118" i="15"/>
  <c r="F459" i="2" s="1"/>
  <c r="G210" i="17"/>
  <c r="G217" i="17"/>
  <c r="G160" i="17"/>
  <c r="G120" i="17"/>
  <c r="G110" i="17"/>
  <c r="G69" i="17"/>
  <c r="G106" i="17"/>
  <c r="G228" i="17"/>
  <c r="G140" i="15"/>
  <c r="F292" i="2" s="1"/>
  <c r="G132" i="17"/>
  <c r="G185" i="17"/>
  <c r="G67" i="15"/>
  <c r="F122" i="2" s="1"/>
  <c r="G155" i="15"/>
  <c r="F433" i="2" s="1"/>
  <c r="G77" i="15"/>
  <c r="F294" i="2" s="1"/>
  <c r="G38" i="17"/>
  <c r="G171" i="17"/>
  <c r="G84" i="15"/>
  <c r="F243" i="2" s="1"/>
  <c r="G60" i="17"/>
  <c r="G10" i="17"/>
  <c r="G79" i="17"/>
  <c r="G80" i="17"/>
  <c r="G115" i="15"/>
  <c r="F400" i="2" s="1"/>
  <c r="G64" i="15"/>
  <c r="F247" i="2" s="1"/>
  <c r="G121" i="15"/>
  <c r="F506" i="2" s="1"/>
  <c r="G43" i="6"/>
  <c r="F470" i="2" s="1"/>
  <c r="G92" i="17"/>
  <c r="G88" i="15"/>
  <c r="F440" i="2" s="1"/>
  <c r="G36" i="6"/>
  <c r="F453" i="2" s="1"/>
  <c r="G58" i="17"/>
  <c r="G83" i="15"/>
  <c r="F280" i="2" s="1"/>
  <c r="G109" i="15"/>
  <c r="F448" i="2" s="1"/>
  <c r="G7" i="17"/>
  <c r="G193" i="17"/>
  <c r="G143" i="17"/>
  <c r="G117" i="17"/>
  <c r="G73" i="17"/>
  <c r="G205" i="17"/>
  <c r="G194" i="17"/>
  <c r="G89" i="15"/>
  <c r="F254" i="2" s="1"/>
  <c r="G4" i="17"/>
  <c r="G29" i="17"/>
  <c r="G135" i="15"/>
  <c r="F461" i="2" s="1"/>
  <c r="G195" i="17"/>
  <c r="G87" i="17"/>
  <c r="G95" i="17"/>
  <c r="G159" i="15"/>
  <c r="F572" i="2" s="1"/>
  <c r="G74" i="15"/>
  <c r="F134" i="2" s="1"/>
  <c r="G36" i="17"/>
  <c r="G4" i="6"/>
  <c r="F26" i="2" s="1"/>
  <c r="G87" i="15"/>
  <c r="F430" i="2" s="1"/>
  <c r="G14" i="6"/>
  <c r="F189" i="2" s="1"/>
  <c r="G23" i="6"/>
  <c r="F205" i="2" s="1"/>
  <c r="G156" i="17"/>
  <c r="G112" i="15"/>
  <c r="F565" i="2" s="1"/>
  <c r="G54" i="15"/>
  <c r="F223" i="2" s="1"/>
  <c r="G34" i="6"/>
  <c r="F376" i="2" s="1"/>
  <c r="G90" i="15"/>
  <c r="F244" i="2" s="1"/>
  <c r="G14" i="15"/>
  <c r="F72" i="2" s="1"/>
  <c r="G117" i="15"/>
  <c r="F328" i="2" s="1"/>
  <c r="G178" i="17"/>
  <c r="G127" i="15"/>
  <c r="F598" i="2" s="1"/>
  <c r="G78" i="17"/>
  <c r="G68" i="17"/>
  <c r="G190" i="17"/>
  <c r="G138" i="15"/>
  <c r="F455" i="2" s="1"/>
  <c r="G183" i="17"/>
  <c r="G62" i="15"/>
  <c r="F259" i="2" s="1"/>
  <c r="G91" i="15"/>
  <c r="F285" i="2" s="1"/>
  <c r="G214" i="17"/>
  <c r="G97" i="15"/>
  <c r="F371" i="2" s="1"/>
  <c r="G43" i="15"/>
  <c r="F194" i="2" s="1"/>
  <c r="G111" i="15"/>
  <c r="F434" i="2" s="1"/>
  <c r="G52" i="17"/>
  <c r="G8" i="17"/>
  <c r="G145" i="15"/>
  <c r="F524" i="2" s="1"/>
  <c r="G44" i="17"/>
  <c r="G131" i="17"/>
  <c r="G240" i="17"/>
  <c r="G115" i="17"/>
  <c r="G110" i="15"/>
  <c r="F381" i="2" s="1"/>
  <c r="G186" i="17"/>
  <c r="G141" i="15"/>
  <c r="F551" i="2" s="1"/>
  <c r="G33" i="15"/>
  <c r="F138" i="2" s="1"/>
  <c r="G49" i="15"/>
  <c r="F246" i="2" s="1"/>
  <c r="G11" i="17"/>
  <c r="G75" i="15"/>
  <c r="F172" i="2" s="1"/>
  <c r="G177" i="17"/>
  <c r="G106" i="15"/>
  <c r="F495" i="2" s="1"/>
  <c r="G137" i="15"/>
  <c r="F510" i="2" s="1"/>
  <c r="G249" i="17"/>
  <c r="G126" i="15"/>
  <c r="F475" i="2" s="1"/>
  <c r="G101" i="15"/>
  <c r="F305" i="2" s="1"/>
  <c r="G92" i="15"/>
  <c r="F282" i="2" s="1"/>
  <c r="G16" i="17"/>
  <c r="G46" i="17"/>
  <c r="G45" i="17"/>
  <c r="G17" i="15"/>
  <c r="F29" i="2" s="1"/>
  <c r="G27" i="6"/>
  <c r="F245" i="2" s="1"/>
  <c r="G128" i="15"/>
  <c r="F548" i="2" s="1"/>
  <c r="G151" i="15"/>
  <c r="F432" i="2" s="1"/>
  <c r="G108" i="17"/>
  <c r="G5" i="6"/>
  <c r="F27" i="2" s="1"/>
  <c r="G156" i="15"/>
  <c r="F395" i="2" s="1"/>
  <c r="G20" i="17"/>
  <c r="G3" i="17"/>
  <c r="G34" i="15"/>
  <c r="F142" i="2" s="1"/>
  <c r="G123" i="17"/>
  <c r="G42" i="6"/>
  <c r="F511" i="2" s="1"/>
  <c r="G124" i="15"/>
  <c r="F296" i="2" s="1"/>
  <c r="G47" i="15"/>
  <c r="F206" i="2" s="1"/>
  <c r="G64" i="17"/>
  <c r="G6" i="17"/>
  <c r="G10" i="6"/>
  <c r="F98" i="2" s="1"/>
  <c r="G168" i="17"/>
  <c r="G235" i="17"/>
  <c r="G11" i="6"/>
  <c r="F123" i="2" s="1"/>
  <c r="G105" i="15"/>
  <c r="F326" i="2" s="1"/>
  <c r="G211" i="17"/>
  <c r="G57" i="15"/>
  <c r="F199" i="2" s="1"/>
  <c r="G167" i="17"/>
  <c r="G41" i="6"/>
  <c r="F472" i="2" s="1"/>
  <c r="G220" i="17"/>
  <c r="G122" i="15"/>
  <c r="F479" i="2" s="1"/>
  <c r="G32" i="15"/>
  <c r="F107" i="2" s="1"/>
  <c r="G148" i="17"/>
  <c r="G139" i="17"/>
  <c r="G96" i="15"/>
  <c r="F338" i="2" s="1"/>
  <c r="G202" i="17"/>
  <c r="G250" i="17"/>
  <c r="G31" i="17"/>
  <c r="G222" i="17"/>
  <c r="G55" i="17"/>
  <c r="G199" i="17"/>
  <c r="G19" i="17"/>
  <c r="G219" i="17"/>
  <c r="G61" i="15"/>
  <c r="F317" i="2" s="1"/>
  <c r="G231" i="17"/>
  <c r="G131" i="15"/>
  <c r="F542" i="2" s="1"/>
  <c r="G25" i="17"/>
  <c r="G24" i="15"/>
  <c r="F93" i="2" s="1"/>
  <c r="G15" i="17"/>
  <c r="G153" i="17"/>
  <c r="G22" i="15"/>
  <c r="F42" i="2" s="1"/>
  <c r="G127" i="17"/>
  <c r="G18" i="17"/>
  <c r="G234" i="17"/>
  <c r="G69" i="15"/>
  <c r="F335" i="2" s="1"/>
  <c r="G113" i="15"/>
  <c r="F588" i="2" s="1"/>
  <c r="G96" i="17"/>
  <c r="G36" i="15"/>
  <c r="F106" i="2" s="1"/>
  <c r="G140" i="17"/>
  <c r="G17" i="17"/>
  <c r="G14" i="17"/>
  <c r="G17" i="6"/>
  <c r="F160" i="2" s="1"/>
  <c r="G89" i="17"/>
  <c r="G7" i="6"/>
  <c r="F46" i="2" s="1"/>
  <c r="G100" i="15"/>
  <c r="F345" i="2" s="1"/>
  <c r="G27" i="15"/>
  <c r="F126" i="2" s="1"/>
  <c r="G39" i="15"/>
  <c r="F114" i="2" s="1"/>
  <c r="G179" i="17"/>
  <c r="G112" i="17"/>
  <c r="G208" i="17"/>
  <c r="G159" i="17"/>
  <c r="G73" i="15"/>
  <c r="F128" i="2" s="1"/>
  <c r="G6" i="6"/>
  <c r="F30" i="2" s="1"/>
  <c r="G9" i="17"/>
  <c r="G206" i="17"/>
  <c r="G200" i="17"/>
  <c r="G10" i="15"/>
  <c r="F85" i="2" s="1"/>
  <c r="G93" i="15"/>
  <c r="F413" i="2" s="1"/>
  <c r="G66" i="15"/>
  <c r="F237" i="2" s="1"/>
  <c r="G81" i="15"/>
  <c r="F181" i="2" s="1"/>
  <c r="G135" i="17"/>
  <c r="G221" i="17"/>
  <c r="G144" i="15"/>
  <c r="F368" i="2" s="1"/>
  <c r="G70" i="17"/>
  <c r="G51" i="15"/>
  <c r="F191" i="2" s="1"/>
  <c r="G187" i="17"/>
  <c r="G101" i="17"/>
  <c r="G80" i="15"/>
  <c r="F307" i="2" s="1"/>
  <c r="G95" i="15"/>
  <c r="F426" i="2" s="1"/>
  <c r="G90" i="17"/>
  <c r="G5" i="15"/>
  <c r="F43" i="2" s="1"/>
  <c r="G141" i="17"/>
  <c r="G53" i="15"/>
  <c r="F129" i="2" s="1"/>
  <c r="G3" i="6"/>
  <c r="F15" i="2" s="1"/>
  <c r="G100" i="17"/>
  <c r="G9" i="6"/>
  <c r="F135" i="2" s="1"/>
  <c r="G42" i="17"/>
  <c r="G237" i="17"/>
  <c r="G13" i="6"/>
  <c r="F139" i="2" s="1"/>
  <c r="G108" i="15"/>
  <c r="F438" i="2" s="1"/>
  <c r="G130" i="15"/>
  <c r="F339" i="2" s="1"/>
  <c r="G48" i="17"/>
  <c r="G2" i="15"/>
  <c r="G120" i="15"/>
  <c r="F383" i="2" s="1"/>
  <c r="G134" i="17"/>
  <c r="G139" i="15"/>
  <c r="F466" i="2" s="1"/>
  <c r="G149" i="17"/>
  <c r="G8" i="6"/>
  <c r="F121" i="2" s="1"/>
  <c r="G145" i="17"/>
  <c r="G102" i="15"/>
  <c r="F417" i="2" s="1"/>
  <c r="G157" i="17"/>
  <c r="G109" i="17"/>
  <c r="G45" i="15"/>
  <c r="F147" i="2" s="1"/>
  <c r="G79" i="15"/>
  <c r="F344" i="2" s="1"/>
  <c r="G97" i="17"/>
  <c r="G196" i="17"/>
  <c r="G146" i="15"/>
  <c r="F582" i="2" s="1"/>
  <c r="G225" i="17"/>
  <c r="G40" i="15"/>
  <c r="F112" i="2" s="1"/>
  <c r="G71" i="17"/>
  <c r="G204" i="17"/>
  <c r="G9" i="15"/>
  <c r="F28" i="2" s="1"/>
  <c r="G50" i="15"/>
  <c r="F90" i="2" s="1"/>
  <c r="G170" i="17"/>
  <c r="G175" i="17"/>
  <c r="G23" i="17"/>
  <c r="G85" i="17"/>
  <c r="G203" i="17"/>
  <c r="G173" i="17"/>
  <c r="G172" i="17"/>
  <c r="G212" i="17"/>
  <c r="G75" i="17"/>
  <c r="G165" i="17"/>
  <c r="G244" i="17"/>
  <c r="G239" i="17"/>
  <c r="G31" i="6"/>
  <c r="F350" i="2" s="1"/>
  <c r="G25" i="6"/>
  <c r="F211" i="2" s="1"/>
  <c r="G99" i="17"/>
  <c r="G107" i="15"/>
  <c r="F267" i="2" s="1"/>
  <c r="G84" i="17"/>
  <c r="G133" i="15"/>
  <c r="F508" i="2" s="1"/>
  <c r="G226" i="17"/>
  <c r="G31" i="15"/>
  <c r="F87" i="2" s="1"/>
  <c r="G44" i="15"/>
  <c r="F132" i="2" s="1"/>
  <c r="G20" i="15"/>
  <c r="F52" i="2" s="1"/>
  <c r="G56" i="17"/>
  <c r="G144" i="17"/>
  <c r="G142" i="17"/>
  <c r="G54" i="6"/>
  <c r="F629" i="2" s="1"/>
  <c r="G44" i="6"/>
  <c r="F586" i="2" s="1"/>
  <c r="G50" i="6"/>
  <c r="F633" i="2" s="1"/>
  <c r="G45" i="6"/>
  <c r="F581" i="2" s="1"/>
  <c r="G35" i="6"/>
  <c r="F325" i="2" s="1"/>
  <c r="G46" i="6"/>
  <c r="F567" i="2" s="1"/>
  <c r="G57" i="6"/>
  <c r="F357" i="2" s="1"/>
  <c r="G49" i="6"/>
  <c r="F624" i="2" s="1"/>
  <c r="G47" i="6"/>
  <c r="F615" i="2" s="1"/>
  <c r="G62" i="6"/>
  <c r="F651" i="2" s="1"/>
  <c r="G21" i="6"/>
  <c r="F251" i="2" s="1"/>
  <c r="G63" i="6"/>
  <c r="F650" i="2" s="1"/>
  <c r="G23" i="15"/>
  <c r="F74" i="2" s="1"/>
  <c r="G247" i="17"/>
  <c r="G60" i="15"/>
  <c r="F233" i="2" s="1"/>
  <c r="G2" i="17"/>
  <c r="G33" i="17"/>
  <c r="G197" i="17"/>
  <c r="G123" i="15"/>
  <c r="F451" i="2" s="1"/>
  <c r="G59" i="6"/>
  <c r="F645" i="2" s="1"/>
  <c r="G114" i="15"/>
  <c r="F500" i="2" s="1"/>
  <c r="G37" i="17"/>
  <c r="G215" i="17"/>
  <c r="G229" i="17"/>
  <c r="G58" i="15"/>
  <c r="F216" i="2" s="1"/>
  <c r="G78" i="15"/>
  <c r="F188" i="2" s="1"/>
  <c r="G83" i="17"/>
  <c r="G60" i="6"/>
  <c r="F621" i="2" s="1"/>
  <c r="G154" i="15"/>
  <c r="F529" i="2" s="1"/>
  <c r="G82" i="15"/>
  <c r="F225" i="2" s="1"/>
  <c r="G233" i="17"/>
  <c r="E27" i="3" l="1"/>
  <c r="E38" i="3"/>
  <c r="E28" i="3"/>
  <c r="E41" i="3"/>
  <c r="E31" i="3"/>
  <c r="E36" i="3"/>
  <c r="E39" i="3"/>
  <c r="E29" i="3"/>
  <c r="E35" i="3"/>
  <c r="E32" i="3"/>
  <c r="E37" i="3"/>
  <c r="E33" i="3"/>
  <c r="E40" i="3"/>
  <c r="E30" i="3"/>
  <c r="E34" i="3"/>
  <c r="I15" i="9"/>
  <c r="I321" i="2" s="1"/>
  <c r="I130" i="10"/>
  <c r="I555" i="2" s="1"/>
  <c r="I84" i="10"/>
  <c r="I389" i="2" s="1"/>
  <c r="I14" i="10"/>
  <c r="I24" i="2" s="1"/>
  <c r="I23" i="9"/>
  <c r="I534" i="2" s="1"/>
  <c r="I34" i="10"/>
  <c r="I118" i="2" s="1"/>
  <c r="I28" i="10"/>
  <c r="I82" i="2" s="1"/>
  <c r="I47" i="10"/>
  <c r="I202" i="2" s="1"/>
  <c r="I46" i="9"/>
  <c r="I595" i="2" s="1"/>
  <c r="I98" i="10"/>
  <c r="I423" i="2" s="1"/>
  <c r="I2" i="9"/>
  <c r="I104" i="2" s="1"/>
  <c r="I55" i="10"/>
  <c r="I192" i="2" s="1"/>
  <c r="I38" i="10"/>
  <c r="I187" i="2" s="1"/>
  <c r="I43" i="10"/>
  <c r="I214" i="2" s="1"/>
  <c r="I103" i="10"/>
  <c r="I378" i="2" s="1"/>
  <c r="I108" i="10"/>
  <c r="I493" i="2" s="1"/>
  <c r="I28" i="9"/>
  <c r="I512" i="2" s="1"/>
  <c r="I86" i="10"/>
  <c r="I387" i="2" s="1"/>
  <c r="I18" i="9"/>
  <c r="I319" i="2" s="1"/>
  <c r="I94" i="10"/>
  <c r="I366" i="2" s="1"/>
  <c r="I136" i="10"/>
  <c r="I604" i="2" s="1"/>
  <c r="I95" i="10"/>
  <c r="I410" i="2" s="1"/>
  <c r="I113" i="10"/>
  <c r="I435" i="2" s="1"/>
  <c r="I19" i="9"/>
  <c r="I515" i="2" s="1"/>
  <c r="I54" i="10"/>
  <c r="I289" i="2" s="1"/>
  <c r="I133" i="10"/>
  <c r="I599" i="2" s="1"/>
  <c r="I18" i="10"/>
  <c r="I109" i="2" s="1"/>
  <c r="I56" i="10"/>
  <c r="I272" i="2" s="1"/>
  <c r="I119" i="10"/>
  <c r="I547" i="2" s="1"/>
  <c r="I104" i="10"/>
  <c r="I471" i="2" s="1"/>
  <c r="I37" i="10"/>
  <c r="I137" i="2" s="1"/>
  <c r="I126" i="10"/>
  <c r="I579" i="2" s="1"/>
  <c r="I17" i="9"/>
  <c r="I416" i="2" s="1"/>
  <c r="I42" i="9"/>
  <c r="I541" i="2" s="1"/>
  <c r="I43" i="9"/>
  <c r="I597" i="2" s="1"/>
  <c r="I51" i="9"/>
  <c r="I632" i="2" s="1"/>
  <c r="I29" i="9"/>
  <c r="I533" i="2" s="1"/>
  <c r="I20" i="9"/>
  <c r="I412" i="2" s="1"/>
  <c r="I14" i="9"/>
  <c r="I284" i="2" s="1"/>
  <c r="I90" i="10"/>
  <c r="I391" i="2" s="1"/>
  <c r="I105" i="10"/>
  <c r="I478" i="2" s="1"/>
  <c r="I85" i="10"/>
  <c r="I359" i="2" s="1"/>
  <c r="I23" i="10"/>
  <c r="I58" i="2" s="1"/>
  <c r="I60" i="10"/>
  <c r="I287" i="2" s="1"/>
  <c r="I88" i="10"/>
  <c r="I336" i="2" s="1"/>
  <c r="I131" i="10"/>
  <c r="I610" i="2" s="1"/>
  <c r="I77" i="10"/>
  <c r="I298" i="2" s="1"/>
  <c r="I24" i="9"/>
  <c r="I388" i="2" s="1"/>
  <c r="I9" i="9"/>
  <c r="I185" i="2" s="1"/>
  <c r="I53" i="9"/>
  <c r="I646" i="2" s="1"/>
  <c r="I41" i="10"/>
  <c r="I248" i="2" s="1"/>
  <c r="I75" i="10"/>
  <c r="I316" i="2" s="1"/>
  <c r="I11" i="10"/>
  <c r="I33" i="2" s="1"/>
  <c r="I91" i="10"/>
  <c r="I322" i="2" s="1"/>
  <c r="I58" i="10"/>
  <c r="I263" i="2" s="1"/>
  <c r="I40" i="10"/>
  <c r="I210" i="2" s="1"/>
  <c r="I71" i="10"/>
  <c r="I314" i="2" s="1"/>
  <c r="I35" i="10"/>
  <c r="I110" i="2" s="1"/>
  <c r="I92" i="10"/>
  <c r="I403" i="2" s="1"/>
  <c r="I134" i="10"/>
  <c r="I636" i="2" s="1"/>
  <c r="I26" i="10"/>
  <c r="I105" i="2" s="1"/>
  <c r="I125" i="10"/>
  <c r="I590" i="2" s="1"/>
  <c r="I110" i="10"/>
  <c r="I494" i="2" s="1"/>
  <c r="I29" i="10"/>
  <c r="I125" i="2" s="1"/>
  <c r="I30" i="10"/>
  <c r="I130" i="2" s="1"/>
  <c r="I79" i="10"/>
  <c r="I379" i="2" s="1"/>
  <c r="I36" i="9"/>
  <c r="I532" i="2" s="1"/>
  <c r="I40" i="9"/>
  <c r="I584" i="2" s="1"/>
  <c r="I52" i="9"/>
  <c r="I614" i="2" s="1"/>
  <c r="I26" i="9"/>
  <c r="I516" i="2" s="1"/>
  <c r="I47" i="9"/>
  <c r="I577" i="2" s="1"/>
  <c r="I25" i="9"/>
  <c r="I517" i="2" s="1"/>
  <c r="I21" i="9"/>
  <c r="I419" i="2" s="1"/>
  <c r="I53" i="10"/>
  <c r="I255" i="2" s="1"/>
  <c r="I3" i="10"/>
  <c r="I2" i="2" s="1"/>
  <c r="I123" i="10"/>
  <c r="I600" i="2" s="1"/>
  <c r="I124" i="10"/>
  <c r="I612" i="2" s="1"/>
  <c r="I83" i="10"/>
  <c r="I370" i="2" s="1"/>
  <c r="I106" i="10"/>
  <c r="I550" i="2" s="1"/>
  <c r="I97" i="10"/>
  <c r="I527" i="2" s="1"/>
  <c r="I138" i="10"/>
  <c r="I642" i="2" s="1"/>
  <c r="I6" i="10"/>
  <c r="I3" i="2" s="1"/>
  <c r="I10" i="10"/>
  <c r="I44" i="2" s="1"/>
  <c r="I93" i="10"/>
  <c r="I347" i="2" s="1"/>
  <c r="I50" i="9"/>
  <c r="I564" i="2" s="1"/>
  <c r="I7" i="10"/>
  <c r="I17" i="2" s="1"/>
  <c r="I128" i="10"/>
  <c r="I574" i="2" s="1"/>
  <c r="I48" i="10"/>
  <c r="I262" i="2" s="1"/>
  <c r="I44" i="10"/>
  <c r="I198" i="2" s="1"/>
  <c r="I64" i="10"/>
  <c r="I396" i="2" s="1"/>
  <c r="I135" i="10"/>
  <c r="I603" i="2" s="1"/>
  <c r="I61" i="10"/>
  <c r="I222" i="2" s="1"/>
  <c r="I41" i="9"/>
  <c r="I601" i="2" s="1"/>
  <c r="I35" i="9"/>
  <c r="I546" i="2" s="1"/>
  <c r="I44" i="9"/>
  <c r="I587" i="2" s="1"/>
  <c r="I31" i="9"/>
  <c r="I592" i="2" s="1"/>
  <c r="I32" i="9"/>
  <c r="I513" i="2" s="1"/>
  <c r="I33" i="9"/>
  <c r="I561" i="2" s="1"/>
  <c r="I27" i="9"/>
  <c r="I554" i="2" s="1"/>
  <c r="I42" i="10"/>
  <c r="I179" i="2" s="1"/>
  <c r="I112" i="10"/>
  <c r="I568" i="2" s="1"/>
  <c r="I111" i="10"/>
  <c r="I605" i="2" s="1"/>
  <c r="I129" i="10"/>
  <c r="I607" i="2" s="1"/>
  <c r="I82" i="10"/>
  <c r="I270" i="2" s="1"/>
  <c r="I8" i="10"/>
  <c r="I20" i="2" s="1"/>
  <c r="I11" i="9"/>
  <c r="I203" i="2" s="1"/>
  <c r="I33" i="10"/>
  <c r="I79" i="2" s="1"/>
  <c r="I99" i="10"/>
  <c r="I445" i="2" s="1"/>
  <c r="I76" i="10"/>
  <c r="I334" i="2" s="1"/>
  <c r="I118" i="10"/>
  <c r="I536" i="2" s="1"/>
  <c r="I45" i="10"/>
  <c r="I236" i="2" s="1"/>
  <c r="I9" i="10"/>
  <c r="I6" i="2" s="1"/>
  <c r="I4" i="10"/>
  <c r="I12" i="2" s="1"/>
  <c r="I48" i="9"/>
  <c r="I591" i="2" s="1"/>
  <c r="I38" i="9"/>
  <c r="I606" i="2" s="1"/>
  <c r="I39" i="9"/>
  <c r="I558" i="2" s="1"/>
  <c r="I5" i="9"/>
  <c r="I65" i="2" s="1"/>
  <c r="I37" i="9"/>
  <c r="I562" i="2" s="1"/>
  <c r="I13" i="9"/>
  <c r="I253" i="2" s="1"/>
  <c r="I7" i="9"/>
  <c r="I196" i="2" s="1"/>
  <c r="I122" i="10"/>
  <c r="I576" i="2" s="1"/>
  <c r="I66" i="10"/>
  <c r="I279" i="2" s="1"/>
  <c r="I127" i="10"/>
  <c r="I540" i="2" s="1"/>
  <c r="I63" i="10"/>
  <c r="I219" i="2" s="1"/>
  <c r="I59" i="10"/>
  <c r="I333" i="2" s="1"/>
  <c r="I72" i="10"/>
  <c r="I315" i="2" s="1"/>
  <c r="I21" i="10"/>
  <c r="I100" i="2" s="1"/>
  <c r="I31" i="10"/>
  <c r="I120" i="2" s="1"/>
  <c r="I109" i="10"/>
  <c r="I449" i="2" s="1"/>
  <c r="I51" i="10"/>
  <c r="I227" i="2" s="1"/>
  <c r="I68" i="10"/>
  <c r="I238" i="2" s="1"/>
  <c r="I6" i="9"/>
  <c r="I102" i="2" s="1"/>
  <c r="H11" i="3" s="1"/>
  <c r="I46" i="10"/>
  <c r="I186" i="2" s="1"/>
  <c r="I80" i="10"/>
  <c r="I341" i="2" s="1"/>
  <c r="I70" i="10"/>
  <c r="I273" i="2" s="1"/>
  <c r="I3" i="9"/>
  <c r="I76" i="2" s="1"/>
  <c r="I49" i="9"/>
  <c r="I593" i="2" s="1"/>
  <c r="I34" i="9"/>
  <c r="I514" i="2" s="1"/>
  <c r="I16" i="9"/>
  <c r="I404" i="2" s="1"/>
  <c r="I10" i="9"/>
  <c r="I151" i="2" s="1"/>
  <c r="I22" i="9"/>
  <c r="I503" i="2" s="1"/>
  <c r="I87" i="10"/>
  <c r="I394" i="2" s="1"/>
  <c r="I73" i="10"/>
  <c r="I288" i="2" s="1"/>
  <c r="I121" i="10"/>
  <c r="I573" i="2" s="1"/>
  <c r="I139" i="10"/>
  <c r="I622" i="2" s="1"/>
  <c r="I24" i="10"/>
  <c r="I63" i="2" s="1"/>
  <c r="I12" i="10"/>
  <c r="I54" i="2" s="1"/>
  <c r="I101" i="10"/>
  <c r="I474" i="2" s="1"/>
  <c r="I27" i="10"/>
  <c r="I136" i="2" s="1"/>
  <c r="I19" i="10"/>
  <c r="I38" i="2" s="1"/>
  <c r="I16" i="10"/>
  <c r="I92" i="2" s="1"/>
  <c r="I107" i="10"/>
  <c r="I505" i="2" s="1"/>
  <c r="I137" i="10"/>
  <c r="I613" i="2" s="1"/>
  <c r="I132" i="10"/>
  <c r="I626" i="2" s="1"/>
  <c r="I25" i="10"/>
  <c r="I45" i="2" s="1"/>
  <c r="I36" i="10"/>
  <c r="I149" i="2" s="1"/>
  <c r="I20" i="10"/>
  <c r="I133" i="2" s="1"/>
  <c r="I30" i="9"/>
  <c r="I566" i="2" s="1"/>
  <c r="I45" i="9"/>
  <c r="I611" i="2" s="1"/>
  <c r="I4" i="9"/>
  <c r="I154" i="2" s="1"/>
  <c r="I54" i="9"/>
  <c r="I608" i="2" s="1"/>
  <c r="I8" i="9"/>
  <c r="I162" i="2" s="1"/>
  <c r="I12" i="9"/>
  <c r="I224" i="2" s="1"/>
  <c r="I2" i="10"/>
  <c r="I14" i="2" s="1"/>
  <c r="H17" i="3" s="1"/>
  <c r="I100" i="10"/>
  <c r="I464" i="2" s="1"/>
  <c r="I120" i="10"/>
  <c r="I539" i="2" s="1"/>
  <c r="I89" i="10"/>
  <c r="I385" i="2" s="1"/>
  <c r="I74" i="10"/>
  <c r="I261" i="2" s="1"/>
  <c r="I114" i="10"/>
  <c r="I458" i="2" s="1"/>
  <c r="I5" i="10"/>
  <c r="I5" i="2" s="1"/>
  <c r="I65" i="10"/>
  <c r="I234" i="2" s="1"/>
  <c r="I81" i="10"/>
  <c r="I392" i="2" s="1"/>
  <c r="I49" i="10"/>
  <c r="I197" i="2" s="1"/>
  <c r="I22" i="10"/>
  <c r="I86" i="2" s="1"/>
  <c r="I69" i="10"/>
  <c r="I408" i="2" s="1"/>
  <c r="I102" i="10"/>
  <c r="I457" i="2" s="1"/>
  <c r="I39" i="10"/>
  <c r="I157" i="2" s="1"/>
  <c r="I13" i="10"/>
  <c r="I50" i="2" s="1"/>
  <c r="I32" i="10"/>
  <c r="I70" i="2" s="1"/>
  <c r="I15" i="10"/>
  <c r="I31" i="2" s="1"/>
  <c r="I57" i="10"/>
  <c r="I226" i="2" s="1"/>
  <c r="I67" i="10"/>
  <c r="I277" i="2" s="1"/>
  <c r="I62" i="10"/>
  <c r="I265" i="2" s="1"/>
  <c r="I116" i="10"/>
  <c r="I535" i="2" s="1"/>
  <c r="I115" i="10"/>
  <c r="I545" i="2" s="1"/>
  <c r="I50" i="10"/>
  <c r="I208" i="2" s="1"/>
  <c r="I117" i="10"/>
  <c r="I485" i="2" s="1"/>
  <c r="I96" i="10"/>
  <c r="I450" i="2" s="1"/>
  <c r="I52" i="10"/>
  <c r="I220" i="2" s="1"/>
  <c r="I78" i="10"/>
  <c r="I304" i="2" s="1"/>
  <c r="I17" i="10"/>
  <c r="I97" i="2" s="1"/>
  <c r="I2" i="15"/>
  <c r="I89" i="15"/>
  <c r="I110" i="15"/>
  <c r="I11" i="15"/>
  <c r="I115" i="15"/>
  <c r="I82" i="15"/>
  <c r="I42" i="15"/>
  <c r="I14" i="15"/>
  <c r="I40" i="15"/>
  <c r="I32" i="15"/>
  <c r="I80" i="15"/>
  <c r="I155" i="15"/>
  <c r="I91" i="15"/>
  <c r="I113" i="15"/>
  <c r="I141" i="15"/>
  <c r="I107" i="15"/>
  <c r="I70" i="15"/>
  <c r="I134" i="15"/>
  <c r="I94" i="15"/>
  <c r="I148" i="15"/>
  <c r="I21" i="15"/>
  <c r="I135" i="15"/>
  <c r="I10" i="15"/>
  <c r="I31" i="15"/>
  <c r="I24" i="15"/>
  <c r="I101" i="15"/>
  <c r="I8" i="15"/>
  <c r="I61" i="15"/>
  <c r="I123" i="15"/>
  <c r="I3" i="15"/>
  <c r="I96" i="15"/>
  <c r="I67" i="15"/>
  <c r="I28" i="15"/>
  <c r="I69" i="15"/>
  <c r="I56" i="15"/>
  <c r="I59" i="15"/>
  <c r="I84" i="15"/>
  <c r="I6" i="15"/>
  <c r="I97" i="15"/>
  <c r="I44" i="15"/>
  <c r="I30" i="15"/>
  <c r="I88" i="15"/>
  <c r="I128" i="15"/>
  <c r="I13" i="15"/>
  <c r="I7" i="15"/>
  <c r="I161" i="15"/>
  <c r="I132" i="15"/>
  <c r="I114" i="15"/>
  <c r="I109" i="15"/>
  <c r="I15" i="15"/>
  <c r="I55" i="15"/>
  <c r="I103" i="15"/>
  <c r="I29" i="15"/>
  <c r="I37" i="15"/>
  <c r="I33" i="15"/>
  <c r="I119" i="15"/>
  <c r="I9" i="15"/>
  <c r="I78" i="15"/>
  <c r="I157" i="15"/>
  <c r="I58" i="15"/>
  <c r="I154" i="15"/>
  <c r="I100" i="15"/>
  <c r="I83" i="15"/>
  <c r="I47" i="15"/>
  <c r="I72" i="15"/>
  <c r="I98" i="15"/>
  <c r="I57" i="15"/>
  <c r="I153" i="15"/>
  <c r="I116" i="15"/>
  <c r="I75" i="15"/>
  <c r="I20" i="15"/>
  <c r="I76" i="15"/>
  <c r="I144" i="15"/>
  <c r="I35" i="15"/>
  <c r="I136" i="15"/>
  <c r="I137" i="15"/>
  <c r="I160" i="15"/>
  <c r="I117" i="15"/>
  <c r="I87" i="15"/>
  <c r="I18" i="15"/>
  <c r="I45" i="15"/>
  <c r="I38" i="15"/>
  <c r="I104" i="15"/>
  <c r="I12" i="15"/>
  <c r="I106" i="15"/>
  <c r="I151" i="15"/>
  <c r="I112" i="15"/>
  <c r="I120" i="15"/>
  <c r="I86" i="15"/>
  <c r="I138" i="15"/>
  <c r="I66" i="15"/>
  <c r="I5" i="15"/>
  <c r="I71" i="15"/>
  <c r="I156" i="15"/>
  <c r="I53" i="15"/>
  <c r="I118" i="15"/>
  <c r="I73" i="15"/>
  <c r="I133" i="15"/>
  <c r="I4" i="15"/>
  <c r="I41" i="15"/>
  <c r="I130" i="15"/>
  <c r="I93" i="15"/>
  <c r="I50" i="15"/>
  <c r="I64" i="15"/>
  <c r="I99" i="15"/>
  <c r="I62" i="15"/>
  <c r="I90" i="15"/>
  <c r="I145" i="15"/>
  <c r="I22" i="15"/>
  <c r="I150" i="15"/>
  <c r="I65" i="15"/>
  <c r="I95" i="15"/>
  <c r="I81" i="15"/>
  <c r="I60" i="15"/>
  <c r="I16" i="15"/>
  <c r="I140" i="15"/>
  <c r="I125" i="15"/>
  <c r="I146" i="15"/>
  <c r="I142" i="15"/>
  <c r="I121" i="15"/>
  <c r="I23" i="15"/>
  <c r="I51" i="15"/>
  <c r="I77" i="15"/>
  <c r="I152" i="15"/>
  <c r="I122" i="15"/>
  <c r="I143" i="15"/>
  <c r="I26" i="15"/>
  <c r="I131" i="15"/>
  <c r="I48" i="15"/>
  <c r="I129" i="15"/>
  <c r="I149" i="15"/>
  <c r="I34" i="15"/>
  <c r="I85" i="15"/>
  <c r="I139" i="15"/>
  <c r="I159" i="15"/>
  <c r="I108" i="15"/>
  <c r="I158" i="15"/>
  <c r="I74" i="15"/>
  <c r="I39" i="15"/>
  <c r="I102" i="15"/>
  <c r="I79" i="15"/>
  <c r="I25" i="15"/>
  <c r="I124" i="15"/>
  <c r="I68" i="15"/>
  <c r="I105" i="15"/>
  <c r="I43" i="15"/>
  <c r="I127" i="15"/>
  <c r="I63" i="15"/>
  <c r="I92" i="15"/>
  <c r="I19" i="15"/>
  <c r="I27" i="15"/>
  <c r="I126" i="15"/>
  <c r="I36" i="15"/>
  <c r="I49" i="15"/>
  <c r="I111" i="15"/>
  <c r="I54" i="15"/>
  <c r="I147" i="15"/>
  <c r="I46" i="15"/>
  <c r="I17" i="15"/>
  <c r="I52" i="15"/>
  <c r="I49" i="7"/>
  <c r="I3" i="12"/>
  <c r="I2" i="6"/>
  <c r="I2" i="17"/>
  <c r="I11" i="2" s="1"/>
  <c r="I4" i="6"/>
  <c r="I26" i="2" s="1"/>
  <c r="I5" i="11"/>
  <c r="I2" i="12"/>
  <c r="I13" i="7"/>
  <c r="I54" i="13"/>
  <c r="I47" i="13"/>
  <c r="I68" i="13"/>
  <c r="I59" i="13"/>
  <c r="I37" i="13"/>
  <c r="I34" i="13"/>
  <c r="I3" i="13"/>
  <c r="I18" i="13"/>
  <c r="I64" i="13"/>
  <c r="I56" i="13"/>
  <c r="I43" i="13"/>
  <c r="I91" i="13"/>
  <c r="I41" i="13"/>
  <c r="I5" i="13"/>
  <c r="I80" i="13"/>
  <c r="I62" i="13"/>
  <c r="I29" i="13"/>
  <c r="I94" i="13"/>
  <c r="I11" i="13"/>
  <c r="I10" i="13"/>
  <c r="I63" i="13"/>
  <c r="I36" i="13"/>
  <c r="I46" i="13"/>
  <c r="I27" i="13"/>
  <c r="I83" i="13"/>
  <c r="I39" i="13"/>
  <c r="I48" i="13"/>
  <c r="I15" i="13"/>
  <c r="I28" i="13"/>
  <c r="I26" i="13"/>
  <c r="I65" i="13"/>
  <c r="I93" i="13"/>
  <c r="I72" i="13"/>
  <c r="I8" i="13"/>
  <c r="I60" i="13"/>
  <c r="I81" i="13"/>
  <c r="I44" i="13"/>
  <c r="I4" i="13"/>
  <c r="I30" i="13"/>
  <c r="I58" i="13"/>
  <c r="I61" i="13"/>
  <c r="I22" i="13"/>
  <c r="I32" i="13"/>
  <c r="I73" i="13"/>
  <c r="I84" i="13"/>
  <c r="I9" i="13"/>
  <c r="I92" i="13"/>
  <c r="I79" i="13"/>
  <c r="I86" i="13"/>
  <c r="I25" i="13"/>
  <c r="I13" i="13"/>
  <c r="I23" i="13"/>
  <c r="I24" i="13"/>
  <c r="I21" i="13"/>
  <c r="I67" i="13"/>
  <c r="I90" i="13"/>
  <c r="I57" i="13"/>
  <c r="I82" i="13"/>
  <c r="I53" i="13"/>
  <c r="I75" i="13"/>
  <c r="I14" i="13"/>
  <c r="I77" i="13"/>
  <c r="I87" i="13"/>
  <c r="I66" i="13"/>
  <c r="I55" i="13"/>
  <c r="I31" i="13"/>
  <c r="I52" i="13"/>
  <c r="I50" i="13"/>
  <c r="I6" i="13"/>
  <c r="I19" i="13"/>
  <c r="I74" i="13"/>
  <c r="I40" i="13"/>
  <c r="I51" i="13"/>
  <c r="I38" i="13"/>
  <c r="I76" i="13"/>
  <c r="I42" i="13"/>
  <c r="I35" i="13"/>
  <c r="I2" i="13"/>
  <c r="I78" i="13"/>
  <c r="I85" i="13"/>
  <c r="I89" i="13"/>
  <c r="I49" i="13"/>
  <c r="I20" i="13"/>
  <c r="I16" i="13"/>
  <c r="I70" i="13"/>
  <c r="I71" i="13"/>
  <c r="I17" i="13"/>
  <c r="I88" i="13"/>
  <c r="I33" i="13"/>
  <c r="I69" i="13"/>
  <c r="I39" i="7"/>
  <c r="I28" i="7"/>
  <c r="I7" i="7"/>
  <c r="I27" i="7"/>
  <c r="I48" i="7"/>
  <c r="I12" i="13"/>
  <c r="I21" i="7"/>
  <c r="F41" i="2"/>
  <c r="I24" i="7"/>
  <c r="I15" i="7"/>
  <c r="I18" i="7"/>
  <c r="I31" i="7"/>
  <c r="I17" i="7"/>
  <c r="I38" i="7"/>
  <c r="I6" i="7"/>
  <c r="I22" i="7"/>
  <c r="I32" i="7"/>
  <c r="I2" i="7"/>
  <c r="I30" i="7"/>
  <c r="I36" i="7"/>
  <c r="I11" i="7"/>
  <c r="I46" i="7"/>
  <c r="I29" i="7"/>
  <c r="I196" i="17"/>
  <c r="I242" i="17"/>
  <c r="I454" i="2" s="1"/>
  <c r="I109" i="17"/>
  <c r="I157" i="17"/>
  <c r="I302" i="2" s="1"/>
  <c r="I188" i="17"/>
  <c r="I446" i="2" s="1"/>
  <c r="I145" i="17"/>
  <c r="I149" i="17"/>
  <c r="I583" i="2" s="1"/>
  <c r="I134" i="17"/>
  <c r="I28" i="17"/>
  <c r="I48" i="17"/>
  <c r="I21" i="17"/>
  <c r="I42" i="17"/>
  <c r="I34" i="17"/>
  <c r="I67" i="17"/>
  <c r="I67" i="2" s="1"/>
  <c r="I91" i="17"/>
  <c r="I344" i="2" s="1"/>
  <c r="I90" i="17"/>
  <c r="I105" i="17"/>
  <c r="I170" i="17"/>
  <c r="I187" i="17"/>
  <c r="I204" i="17"/>
  <c r="I422" i="2" s="1"/>
  <c r="I13" i="17"/>
  <c r="I148" i="17"/>
  <c r="I73" i="17"/>
  <c r="I264" i="2" s="1"/>
  <c r="I202" i="17"/>
  <c r="I306" i="2" s="1"/>
  <c r="I76" i="17"/>
  <c r="I254" i="2" s="1"/>
  <c r="I176" i="17"/>
  <c r="I240" i="17"/>
  <c r="I452" i="2" s="1"/>
  <c r="I125" i="17"/>
  <c r="I158" i="17"/>
  <c r="I154" i="17"/>
  <c r="I542" i="2" s="1"/>
  <c r="I233" i="17"/>
  <c r="I467" i="2" s="1"/>
  <c r="I200" i="17"/>
  <c r="I301" i="2" s="1"/>
  <c r="I206" i="17"/>
  <c r="I521" i="2" s="1"/>
  <c r="I83" i="17"/>
  <c r="I158" i="2" s="1"/>
  <c r="I159" i="17"/>
  <c r="I208" i="17"/>
  <c r="I372" i="2" s="1"/>
  <c r="I37" i="17"/>
  <c r="I140" i="2" s="1"/>
  <c r="I89" i="17"/>
  <c r="I140" i="17"/>
  <c r="I258" i="2" s="1"/>
  <c r="I144" i="17"/>
  <c r="I348" i="2" s="1"/>
  <c r="I127" i="17"/>
  <c r="I15" i="17"/>
  <c r="I84" i="17"/>
  <c r="I25" i="17"/>
  <c r="I231" i="17"/>
  <c r="I482" i="2" s="1"/>
  <c r="I219" i="17"/>
  <c r="I390" i="2" s="1"/>
  <c r="I19" i="17"/>
  <c r="I94" i="2" s="1"/>
  <c r="I55" i="17"/>
  <c r="I165" i="17"/>
  <c r="I222" i="17"/>
  <c r="I386" i="2" s="1"/>
  <c r="I75" i="17"/>
  <c r="I212" i="17"/>
  <c r="I327" i="2" s="1"/>
  <c r="I31" i="17"/>
  <c r="I250" i="17"/>
  <c r="I139" i="17"/>
  <c r="I459" i="2" s="1"/>
  <c r="I135" i="17"/>
  <c r="I225" i="17"/>
  <c r="I303" i="2" s="1"/>
  <c r="I155" i="17"/>
  <c r="I69" i="2" s="1"/>
  <c r="I220" i="17"/>
  <c r="I469" i="2" s="1"/>
  <c r="I113" i="17"/>
  <c r="I209" i="2" s="1"/>
  <c r="I97" i="17"/>
  <c r="I167" i="17"/>
  <c r="I428" i="2" s="1"/>
  <c r="I235" i="17"/>
  <c r="I159" i="2" s="1"/>
  <c r="I168" i="17"/>
  <c r="I374" i="2" s="1"/>
  <c r="I6" i="17"/>
  <c r="I64" i="17"/>
  <c r="I218" i="2" s="1"/>
  <c r="I192" i="17"/>
  <c r="I353" i="2" s="1"/>
  <c r="I108" i="17"/>
  <c r="I237" i="17"/>
  <c r="I447" i="2" s="1"/>
  <c r="I46" i="17"/>
  <c r="I100" i="17"/>
  <c r="I173" i="2" s="1"/>
  <c r="I249" i="17"/>
  <c r="I177" i="17"/>
  <c r="I141" i="17"/>
  <c r="I380" i="2" s="1"/>
  <c r="I186" i="17"/>
  <c r="I509" i="2" s="1"/>
  <c r="I71" i="17"/>
  <c r="I101" i="17"/>
  <c r="I309" i="2" s="1"/>
  <c r="I115" i="17"/>
  <c r="I117" i="17"/>
  <c r="I381" i="2" s="1"/>
  <c r="I121" i="17"/>
  <c r="I103" i="17"/>
  <c r="I86" i="17"/>
  <c r="I172" i="2" s="1"/>
  <c r="I116" i="17"/>
  <c r="I81" i="17"/>
  <c r="I152" i="17"/>
  <c r="I243" i="17"/>
  <c r="I369" i="2" s="1"/>
  <c r="I183" i="17"/>
  <c r="I490" i="2" s="1"/>
  <c r="I9" i="17"/>
  <c r="I190" i="17"/>
  <c r="I274" i="2" s="1"/>
  <c r="I68" i="17"/>
  <c r="I78" i="17"/>
  <c r="I112" i="17"/>
  <c r="I239" i="2" s="1"/>
  <c r="I178" i="17"/>
  <c r="I179" i="17"/>
  <c r="I195" i="2" s="1"/>
  <c r="I14" i="17"/>
  <c r="I68" i="2" s="1"/>
  <c r="I39" i="17"/>
  <c r="I13" i="2" s="1"/>
  <c r="I17" i="17"/>
  <c r="I156" i="17"/>
  <c r="I320" i="2" s="1"/>
  <c r="I96" i="17"/>
  <c r="I243" i="2" s="1"/>
  <c r="I234" i="17"/>
  <c r="I395" i="2" s="1"/>
  <c r="I153" i="17"/>
  <c r="I548" i="2" s="1"/>
  <c r="I87" i="17"/>
  <c r="I294" i="2" s="1"/>
  <c r="I195" i="17"/>
  <c r="I399" i="2" s="1"/>
  <c r="I29" i="17"/>
  <c r="I199" i="17"/>
  <c r="I293" i="2" s="1"/>
  <c r="I194" i="17"/>
  <c r="I126" i="17"/>
  <c r="I137" i="17"/>
  <c r="I297" i="2" s="1"/>
  <c r="I74" i="17"/>
  <c r="I221" i="2" s="1"/>
  <c r="I138" i="17"/>
  <c r="I383" i="2" s="1"/>
  <c r="I65" i="17"/>
  <c r="I233" i="2" s="1"/>
  <c r="I35" i="17"/>
  <c r="I92" i="17"/>
  <c r="I211" i="17"/>
  <c r="I355" i="2" s="1"/>
  <c r="I80" i="17"/>
  <c r="I148" i="2" s="1"/>
  <c r="I79" i="17"/>
  <c r="I10" i="17"/>
  <c r="I60" i="17"/>
  <c r="I250" i="2" s="1"/>
  <c r="I123" i="17"/>
  <c r="I3" i="17"/>
  <c r="I20" i="17"/>
  <c r="I72" i="2" s="1"/>
  <c r="I171" i="17"/>
  <c r="I193" i="2" s="1"/>
  <c r="I38" i="17"/>
  <c r="I45" i="17"/>
  <c r="I200" i="2" s="1"/>
  <c r="I132" i="17"/>
  <c r="I16" i="17"/>
  <c r="I8" i="2" s="1"/>
  <c r="I228" i="17"/>
  <c r="I407" i="2" s="1"/>
  <c r="I11" i="17"/>
  <c r="I160" i="17"/>
  <c r="I70" i="17"/>
  <c r="I75" i="2" s="1"/>
  <c r="I246" i="17"/>
  <c r="I480" i="2" s="1"/>
  <c r="I166" i="17"/>
  <c r="I401" i="2" s="1"/>
  <c r="I147" i="17"/>
  <c r="I124" i="17"/>
  <c r="I495" i="2" s="1"/>
  <c r="I61" i="17"/>
  <c r="I199" i="2" s="1"/>
  <c r="I40" i="17"/>
  <c r="I214" i="17"/>
  <c r="I43" i="17"/>
  <c r="I162" i="17"/>
  <c r="I224" i="17"/>
  <c r="I463" i="2" s="1"/>
  <c r="I146" i="17"/>
  <c r="I198" i="17"/>
  <c r="I560" i="2" s="1"/>
  <c r="I62" i="17"/>
  <c r="I216" i="2" s="1"/>
  <c r="I27" i="17"/>
  <c r="I88" i="17"/>
  <c r="I36" i="17"/>
  <c r="I95" i="17"/>
  <c r="I181" i="17"/>
  <c r="I24" i="17"/>
  <c r="I22" i="17"/>
  <c r="I52" i="2" s="1"/>
  <c r="I4" i="17"/>
  <c r="I22" i="2" s="1"/>
  <c r="I82" i="17"/>
  <c r="I73" i="2" s="1"/>
  <c r="I128" i="17"/>
  <c r="I245" i="17"/>
  <c r="I441" i="2" s="1"/>
  <c r="I221" i="17"/>
  <c r="I520" i="2" s="1"/>
  <c r="I130" i="17"/>
  <c r="I66" i="17"/>
  <c r="I51" i="2" s="1"/>
  <c r="I5" i="17"/>
  <c r="I34" i="2" s="1"/>
  <c r="I114" i="17"/>
  <c r="I177" i="2" s="1"/>
  <c r="I223" i="17"/>
  <c r="I238" i="17"/>
  <c r="I161" i="17"/>
  <c r="I191" i="17"/>
  <c r="I164" i="2" s="1"/>
  <c r="I93" i="17"/>
  <c r="I182" i="17"/>
  <c r="I312" i="2" s="1"/>
  <c r="I227" i="17"/>
  <c r="I556" i="2" s="1"/>
  <c r="I53" i="17"/>
  <c r="I112" i="2" s="1"/>
  <c r="I232" i="17"/>
  <c r="I402" i="2" s="1"/>
  <c r="I184" i="17"/>
  <c r="I57" i="17"/>
  <c r="I66" i="2" s="1"/>
  <c r="I49" i="17"/>
  <c r="I39" i="2" s="1"/>
  <c r="I207" i="17"/>
  <c r="I330" i="2" s="1"/>
  <c r="I143" i="17"/>
  <c r="I193" i="17"/>
  <c r="I398" i="2" s="1"/>
  <c r="I7" i="17"/>
  <c r="I43" i="2" s="1"/>
  <c r="I131" i="17"/>
  <c r="I466" i="2" s="1"/>
  <c r="I44" i="17"/>
  <c r="I58" i="17"/>
  <c r="I185" i="17"/>
  <c r="I257" i="2" s="1"/>
  <c r="I119" i="17"/>
  <c r="I8" i="17"/>
  <c r="I98" i="17"/>
  <c r="I430" i="2" s="1"/>
  <c r="I59" i="17"/>
  <c r="I132" i="2" s="1"/>
  <c r="I248" i="17"/>
  <c r="I477" i="2" s="1"/>
  <c r="I12" i="17"/>
  <c r="I106" i="17"/>
  <c r="I69" i="17"/>
  <c r="I61" i="2" s="1"/>
  <c r="I54" i="17"/>
  <c r="I78" i="2" s="1"/>
  <c r="I110" i="17"/>
  <c r="I371" i="2" s="1"/>
  <c r="I120" i="17"/>
  <c r="I127" i="2" s="1"/>
  <c r="I217" i="17"/>
  <c r="I331" i="2" s="1"/>
  <c r="I210" i="17"/>
  <c r="I275" i="2" s="1"/>
  <c r="I30" i="17"/>
  <c r="I111" i="17"/>
  <c r="I111" i="2" s="1"/>
  <c r="I163" i="17"/>
  <c r="I104" i="17"/>
  <c r="I32" i="17"/>
  <c r="I216" i="17"/>
  <c r="I570" i="2" s="1"/>
  <c r="I218" i="17"/>
  <c r="I433" i="2" s="1"/>
  <c r="I241" i="17"/>
  <c r="I122" i="17"/>
  <c r="I311" i="2" s="1"/>
  <c r="I107" i="17"/>
  <c r="I180" i="17"/>
  <c r="I77" i="17"/>
  <c r="I174" i="17"/>
  <c r="I190" i="2" s="1"/>
  <c r="I136" i="17"/>
  <c r="I102" i="17"/>
  <c r="I51" i="17"/>
  <c r="I150" i="17"/>
  <c r="I346" i="2" s="1"/>
  <c r="I47" i="17"/>
  <c r="I169" i="17"/>
  <c r="I300" i="2" s="1"/>
  <c r="I72" i="17"/>
  <c r="I213" i="17"/>
  <c r="I283" i="2" s="1"/>
  <c r="I251" i="17"/>
  <c r="I352" i="2" s="1"/>
  <c r="I151" i="17"/>
  <c r="I296" i="2" s="1"/>
  <c r="I164" i="17"/>
  <c r="I230" i="17"/>
  <c r="I431" i="2" s="1"/>
  <c r="I50" i="17"/>
  <c r="I41" i="17"/>
  <c r="I229" i="17"/>
  <c r="I427" i="2" s="1"/>
  <c r="I236" i="17"/>
  <c r="I411" i="2" s="1"/>
  <c r="I215" i="17"/>
  <c r="I519" i="2" s="1"/>
  <c r="I197" i="17"/>
  <c r="I492" i="2" s="1"/>
  <c r="I33" i="17"/>
  <c r="I247" i="17"/>
  <c r="I429" i="2" s="1"/>
  <c r="I129" i="17"/>
  <c r="I565" i="2" s="1"/>
  <c r="I142" i="17"/>
  <c r="I118" i="17"/>
  <c r="I56" i="17"/>
  <c r="I223" i="2" s="1"/>
  <c r="I26" i="17"/>
  <c r="I74" i="2" s="1"/>
  <c r="I226" i="17"/>
  <c r="I476" i="2" s="1"/>
  <c r="I201" i="17"/>
  <c r="I439" i="2" s="1"/>
  <c r="I99" i="17"/>
  <c r="I239" i="17"/>
  <c r="I367" i="2" s="1"/>
  <c r="I244" i="17"/>
  <c r="I295" i="2" s="1"/>
  <c r="I189" i="17"/>
  <c r="I240" i="2" s="1"/>
  <c r="I133" i="17"/>
  <c r="I94" i="17"/>
  <c r="I117" i="2" s="1"/>
  <c r="I172" i="17"/>
  <c r="I268" i="2" s="1"/>
  <c r="I173" i="17"/>
  <c r="I384" i="2" s="1"/>
  <c r="I203" i="17"/>
  <c r="I318" i="2" s="1"/>
  <c r="I85" i="17"/>
  <c r="I23" i="17"/>
  <c r="I175" i="17"/>
  <c r="I205" i="17"/>
  <c r="I313" i="2" s="1"/>
  <c r="I209" i="17"/>
  <c r="I397" i="2" s="1"/>
  <c r="I63" i="17"/>
  <c r="I134" i="2" s="1"/>
  <c r="I33" i="7"/>
  <c r="I18" i="17"/>
  <c r="I5" i="7"/>
  <c r="I52" i="17"/>
  <c r="I8" i="7"/>
  <c r="I44" i="7"/>
  <c r="I35" i="7"/>
  <c r="I12" i="7"/>
  <c r="I34" i="7"/>
  <c r="F7" i="2"/>
  <c r="E8" i="3" s="1"/>
  <c r="I7" i="8"/>
  <c r="I13" i="8"/>
  <c r="I46" i="8"/>
  <c r="I25" i="8"/>
  <c r="I18" i="8"/>
  <c r="I24" i="8"/>
  <c r="I28" i="8"/>
  <c r="I44" i="8"/>
  <c r="I16" i="8"/>
  <c r="I39" i="8"/>
  <c r="I37" i="8"/>
  <c r="I47" i="8"/>
  <c r="I5" i="8"/>
  <c r="I40" i="8"/>
  <c r="I49" i="8"/>
  <c r="I51" i="8"/>
  <c r="I48" i="8"/>
  <c r="I50" i="8"/>
  <c r="I52" i="8"/>
  <c r="I21" i="8"/>
  <c r="I26" i="8"/>
  <c r="I8" i="8"/>
  <c r="I6" i="8"/>
  <c r="I10" i="8"/>
  <c r="I15" i="8"/>
  <c r="I41" i="8"/>
  <c r="I53" i="8"/>
  <c r="I29" i="8"/>
  <c r="I31" i="8"/>
  <c r="I38" i="8"/>
  <c r="I45" i="8"/>
  <c r="I14" i="8"/>
  <c r="I43" i="8"/>
  <c r="I36" i="8"/>
  <c r="I19" i="8"/>
  <c r="I17" i="8"/>
  <c r="I20" i="8"/>
  <c r="I54" i="8"/>
  <c r="I9" i="8"/>
  <c r="I33" i="8"/>
  <c r="I35" i="8"/>
  <c r="I42" i="8"/>
  <c r="I30" i="8"/>
  <c r="I23" i="8"/>
  <c r="I34" i="8"/>
  <c r="I3" i="8"/>
  <c r="I27" i="8"/>
  <c r="I12" i="8"/>
  <c r="I32" i="8"/>
  <c r="I22" i="8"/>
  <c r="I11" i="8"/>
  <c r="I4" i="8"/>
  <c r="I55" i="8"/>
  <c r="I25" i="7"/>
  <c r="I16" i="7"/>
  <c r="I45" i="7"/>
  <c r="I20" i="7"/>
  <c r="F11" i="2"/>
  <c r="E26" i="3" s="1"/>
  <c r="I37" i="7"/>
  <c r="I41" i="7"/>
  <c r="I23" i="7"/>
  <c r="I42" i="7"/>
  <c r="I70" i="12"/>
  <c r="I86" i="12"/>
  <c r="I8" i="12"/>
  <c r="I71" i="12"/>
  <c r="I100" i="12"/>
  <c r="I69" i="12"/>
  <c r="I28" i="12"/>
  <c r="I50" i="12"/>
  <c r="I104" i="12"/>
  <c r="I87" i="12"/>
  <c r="I46" i="12"/>
  <c r="I68" i="12"/>
  <c r="I82" i="12"/>
  <c r="I35" i="12"/>
  <c r="I75" i="12"/>
  <c r="I65" i="12"/>
  <c r="I85" i="12"/>
  <c r="I55" i="12"/>
  <c r="I57" i="12"/>
  <c r="I61" i="12"/>
  <c r="I34" i="12"/>
  <c r="I51" i="12"/>
  <c r="I56" i="12"/>
  <c r="I101" i="12"/>
  <c r="I48" i="12"/>
  <c r="I4" i="12"/>
  <c r="I73" i="12"/>
  <c r="I99" i="12"/>
  <c r="I60" i="12"/>
  <c r="I74" i="12"/>
  <c r="I84" i="12"/>
  <c r="I77" i="12"/>
  <c r="I47" i="12"/>
  <c r="I92" i="12"/>
  <c r="I90" i="12"/>
  <c r="I97" i="12"/>
  <c r="I78" i="12"/>
  <c r="I93" i="12"/>
  <c r="I95" i="12"/>
  <c r="I32" i="12"/>
  <c r="I27" i="12"/>
  <c r="I42" i="12"/>
  <c r="I23" i="12"/>
  <c r="I7" i="12"/>
  <c r="I103" i="12"/>
  <c r="I14" i="12"/>
  <c r="I38" i="12"/>
  <c r="I94" i="12"/>
  <c r="I62" i="12"/>
  <c r="I16" i="12"/>
  <c r="I20" i="12"/>
  <c r="I9" i="12"/>
  <c r="I66" i="12"/>
  <c r="I19" i="12"/>
  <c r="I91" i="12"/>
  <c r="I53" i="12"/>
  <c r="I54" i="12"/>
  <c r="I11" i="12"/>
  <c r="I76" i="12"/>
  <c r="I79" i="12"/>
  <c r="I59" i="12"/>
  <c r="I83" i="12"/>
  <c r="I89" i="12"/>
  <c r="I12" i="12"/>
  <c r="I17" i="12"/>
  <c r="I5" i="12"/>
  <c r="I49" i="12"/>
  <c r="I43" i="12"/>
  <c r="I25" i="12"/>
  <c r="I44" i="12"/>
  <c r="I24" i="12"/>
  <c r="I67" i="12"/>
  <c r="I36" i="12"/>
  <c r="I58" i="12"/>
  <c r="I52" i="12"/>
  <c r="I41" i="12"/>
  <c r="I13" i="12"/>
  <c r="I37" i="12"/>
  <c r="I72" i="12"/>
  <c r="I30" i="12"/>
  <c r="I39" i="12"/>
  <c r="I80" i="12"/>
  <c r="I102" i="12"/>
  <c r="I64" i="12"/>
  <c r="I81" i="12"/>
  <c r="I29" i="12"/>
  <c r="I21" i="12"/>
  <c r="I40" i="12"/>
  <c r="I98" i="12"/>
  <c r="I88" i="12"/>
  <c r="I10" i="12"/>
  <c r="I33" i="12"/>
  <c r="I15" i="12"/>
  <c r="I31" i="12"/>
  <c r="I22" i="12"/>
  <c r="I63" i="12"/>
  <c r="I26" i="12"/>
  <c r="I45" i="12"/>
  <c r="I18" i="12"/>
  <c r="I6" i="12"/>
  <c r="I96" i="12"/>
  <c r="I40" i="7"/>
  <c r="I14" i="7"/>
  <c r="F9" i="2"/>
  <c r="I50" i="6"/>
  <c r="I633" i="2" s="1"/>
  <c r="I44" i="6"/>
  <c r="I586" i="2" s="1"/>
  <c r="I35" i="6"/>
  <c r="I325" i="2" s="1"/>
  <c r="I45" i="6"/>
  <c r="I581" i="2" s="1"/>
  <c r="I57" i="6"/>
  <c r="I357" i="2" s="1"/>
  <c r="I46" i="6"/>
  <c r="I567" i="2" s="1"/>
  <c r="I49" i="6"/>
  <c r="I624" i="2" s="1"/>
  <c r="I62" i="6"/>
  <c r="I651" i="2" s="1"/>
  <c r="I47" i="6"/>
  <c r="I615" i="2" s="1"/>
  <c r="I54" i="6"/>
  <c r="I629" i="2" s="1"/>
  <c r="I21" i="6"/>
  <c r="I251" i="2" s="1"/>
  <c r="I63" i="6"/>
  <c r="I650" i="2" s="1"/>
  <c r="I19" i="6"/>
  <c r="I8" i="6"/>
  <c r="I13" i="6"/>
  <c r="I3" i="6"/>
  <c r="I12" i="6"/>
  <c r="I28" i="6"/>
  <c r="I6" i="6"/>
  <c r="I31" i="6"/>
  <c r="I41" i="6"/>
  <c r="I10" i="6"/>
  <c r="I42" i="6"/>
  <c r="I27" i="6"/>
  <c r="I9" i="6"/>
  <c r="I20" i="6"/>
  <c r="I53" i="6"/>
  <c r="I18" i="6"/>
  <c r="I39" i="6"/>
  <c r="I51" i="6"/>
  <c r="I7" i="6"/>
  <c r="I17" i="6"/>
  <c r="I23" i="6"/>
  <c r="I14" i="6"/>
  <c r="I52" i="6"/>
  <c r="I36" i="6"/>
  <c r="I11" i="6"/>
  <c r="I5" i="6"/>
  <c r="I56" i="6"/>
  <c r="I48" i="6"/>
  <c r="I29" i="6"/>
  <c r="I30" i="6"/>
  <c r="I33" i="6"/>
  <c r="I26" i="6"/>
  <c r="I424" i="2" s="1"/>
  <c r="I34" i="6"/>
  <c r="I32" i="6"/>
  <c r="I55" i="6"/>
  <c r="I40" i="6"/>
  <c r="I24" i="6"/>
  <c r="I43" i="6"/>
  <c r="I37" i="6"/>
  <c r="I16" i="6"/>
  <c r="I58" i="6"/>
  <c r="I38" i="6"/>
  <c r="I15" i="6"/>
  <c r="I22" i="6"/>
  <c r="I60" i="6"/>
  <c r="I59" i="6"/>
  <c r="I25" i="6"/>
  <c r="I61" i="6"/>
  <c r="I2" i="8"/>
  <c r="I3" i="7"/>
  <c r="I43" i="7"/>
  <c r="F4" i="2"/>
  <c r="I21" i="11"/>
  <c r="I2" i="11"/>
  <c r="I7" i="11"/>
  <c r="I12" i="11"/>
  <c r="I16" i="11"/>
  <c r="I4" i="11"/>
  <c r="I35" i="11"/>
  <c r="I24" i="11"/>
  <c r="I41" i="11"/>
  <c r="I20" i="11"/>
  <c r="I28" i="11"/>
  <c r="I31" i="11"/>
  <c r="I8" i="11"/>
  <c r="I18" i="11"/>
  <c r="I14" i="11"/>
  <c r="I11" i="11"/>
  <c r="I15" i="11"/>
  <c r="I30" i="11"/>
  <c r="I13" i="11"/>
  <c r="I6" i="11"/>
  <c r="I36" i="11"/>
  <c r="I37" i="11"/>
  <c r="I3" i="11"/>
  <c r="I43" i="11"/>
  <c r="I27" i="11"/>
  <c r="I25" i="11"/>
  <c r="I38" i="11"/>
  <c r="I26" i="11"/>
  <c r="I9" i="11"/>
  <c r="I10" i="11"/>
  <c r="I42" i="11"/>
  <c r="I40" i="11"/>
  <c r="I44" i="11"/>
  <c r="I34" i="11"/>
  <c r="I17" i="11"/>
  <c r="I29" i="11"/>
  <c r="I19" i="11"/>
  <c r="I32" i="11"/>
  <c r="I23" i="11"/>
  <c r="I39" i="11"/>
  <c r="I33" i="11"/>
  <c r="I22" i="11"/>
  <c r="I45" i="11"/>
  <c r="I19" i="7"/>
  <c r="I4" i="7"/>
  <c r="I50" i="7"/>
  <c r="I47" i="7"/>
  <c r="I9" i="7"/>
  <c r="I26" i="7"/>
  <c r="I10" i="7"/>
  <c r="I7" i="13"/>
  <c r="I45" i="13"/>
  <c r="I30" i="2" l="1"/>
  <c r="E2" i="3"/>
  <c r="F23" i="3"/>
  <c r="I121" i="2"/>
  <c r="I59" i="2"/>
  <c r="I266" i="2"/>
  <c r="I360" i="2"/>
  <c r="I232" i="2"/>
  <c r="I640" i="2"/>
  <c r="I365" i="2"/>
  <c r="I644" i="2"/>
  <c r="I174" i="2"/>
  <c r="I113" i="2"/>
  <c r="I549" i="2"/>
  <c r="I627" i="2"/>
  <c r="I71" i="2"/>
  <c r="I634" i="2"/>
  <c r="I497" i="2"/>
  <c r="I81" i="2"/>
  <c r="I647" i="2"/>
  <c r="I501" i="2"/>
  <c r="I169" i="2"/>
  <c r="I528" i="2"/>
  <c r="I188" i="2"/>
  <c r="I523" i="2"/>
  <c r="I37" i="2"/>
  <c r="I510" i="2"/>
  <c r="I126" i="2"/>
  <c r="I479" i="2"/>
  <c r="I144" i="2"/>
  <c r="I116" i="2"/>
  <c r="I249" i="2"/>
  <c r="I323" i="2"/>
  <c r="I342" i="2"/>
  <c r="I178" i="2"/>
  <c r="I543" i="2"/>
  <c r="I83" i="2"/>
  <c r="I530" i="2"/>
  <c r="I229" i="2"/>
  <c r="I184" i="2"/>
  <c r="I84" i="2"/>
  <c r="I18" i="2"/>
  <c r="I559" i="2"/>
  <c r="I525" i="2"/>
  <c r="I484" i="2"/>
  <c r="I618" i="2"/>
  <c r="I499" i="2"/>
  <c r="I175" i="2"/>
  <c r="I64" i="2"/>
  <c r="H5" i="3" s="1"/>
  <c r="I596" i="2"/>
  <c r="I637" i="2"/>
  <c r="I462" i="2"/>
  <c r="I194" i="2"/>
  <c r="I91" i="2"/>
  <c r="I648" i="2"/>
  <c r="I269" i="2"/>
  <c r="I609" i="2"/>
  <c r="I183" i="2"/>
  <c r="I246" i="2"/>
  <c r="I434" i="2"/>
  <c r="I225" i="2"/>
  <c r="I19" i="2"/>
  <c r="I213" i="2"/>
  <c r="I409" i="2"/>
  <c r="I56" i="2"/>
  <c r="I328" i="2"/>
  <c r="I28" i="2"/>
  <c r="I343" i="2"/>
  <c r="I129" i="2"/>
  <c r="I87" i="2"/>
  <c r="I572" i="2"/>
  <c r="I107" i="2"/>
  <c r="I432" i="2"/>
  <c r="I291" i="2"/>
  <c r="I29" i="2"/>
  <c r="I553" i="2"/>
  <c r="I77" i="2"/>
  <c r="I80" i="2"/>
  <c r="I212" i="2"/>
  <c r="I498" i="2"/>
  <c r="I41" i="2"/>
  <c r="I42" i="2"/>
  <c r="I307" i="2"/>
  <c r="I438" i="2"/>
  <c r="I465" i="2"/>
  <c r="I335" i="2"/>
  <c r="I552" i="2"/>
  <c r="I156" i="2"/>
  <c r="I7" i="2"/>
  <c r="H8" i="3" s="1"/>
  <c r="I538" i="2"/>
  <c r="I146" i="2"/>
  <c r="I89" i="2"/>
  <c r="I49" i="2"/>
  <c r="I237" i="2"/>
  <c r="I400" i="2"/>
  <c r="I329" i="2"/>
  <c r="I4" i="2"/>
  <c r="I507" i="2"/>
  <c r="I575" i="2"/>
  <c r="I406" i="2"/>
  <c r="I308" i="2"/>
  <c r="I128" i="2"/>
  <c r="I103" i="2"/>
  <c r="I47" i="2"/>
  <c r="I244" i="2"/>
  <c r="I417" i="2"/>
  <c r="I93" i="2"/>
  <c r="I382" i="2"/>
  <c r="I36" i="2"/>
  <c r="I282" i="2"/>
  <c r="I206" i="2"/>
  <c r="I582" i="2"/>
  <c r="I418" i="2"/>
  <c r="I292" i="2"/>
  <c r="I522" i="2"/>
  <c r="I235" i="2"/>
  <c r="I207" i="2"/>
  <c r="I280" i="2"/>
  <c r="I631" i="2"/>
  <c r="I286" i="2"/>
  <c r="I142" i="2"/>
  <c r="I145" i="2"/>
  <c r="I101" i="2"/>
  <c r="I123" i="2"/>
  <c r="I456" i="2"/>
  <c r="I247" i="2"/>
  <c r="I500" i="2"/>
  <c r="I506" i="2"/>
  <c r="I455" i="2"/>
  <c r="I377" i="2"/>
  <c r="I326" i="2"/>
  <c r="I630" i="2"/>
  <c r="I115" i="2"/>
  <c r="I350" i="2"/>
  <c r="I60" i="2"/>
  <c r="I426" i="2"/>
  <c r="I437" i="2"/>
  <c r="I358" i="2"/>
  <c r="I138" i="2"/>
  <c r="I551" i="2"/>
  <c r="I191" i="2"/>
  <c r="I368" i="2"/>
  <c r="I230" i="2"/>
  <c r="I339" i="2"/>
  <c r="I16" i="2"/>
  <c r="I361" i="2"/>
  <c r="I299" i="2"/>
  <c r="I425" i="2"/>
  <c r="I354" i="2"/>
  <c r="I62" i="2"/>
  <c r="I85" i="2"/>
  <c r="I451" i="2"/>
  <c r="I122" i="2"/>
  <c r="I90" i="2"/>
  <c r="I106" i="2"/>
  <c r="I537" i="2"/>
  <c r="I108" i="2"/>
  <c r="I461" i="2"/>
  <c r="I362" i="2"/>
  <c r="I180" i="2"/>
  <c r="I96" i="2"/>
  <c r="I356" i="2"/>
  <c r="I472" i="2"/>
  <c r="I163" i="2"/>
  <c r="I170" i="2"/>
  <c r="I48" i="2"/>
  <c r="I588" i="2"/>
  <c r="I332" i="2"/>
  <c r="I569" i="2"/>
  <c r="I598" i="2"/>
  <c r="I475" i="2"/>
  <c r="I518" i="2"/>
  <c r="I440" i="2"/>
  <c r="I508" i="2"/>
  <c r="I623" i="2"/>
  <c r="I436" i="2"/>
  <c r="I166" i="2"/>
  <c r="I481" i="2"/>
  <c r="I351" i="2"/>
  <c r="I276" i="2"/>
  <c r="I393" i="2"/>
  <c r="I27" i="2"/>
  <c r="I98" i="2"/>
  <c r="I529" i="2"/>
  <c r="I405" i="2"/>
  <c r="I448" i="2"/>
  <c r="I349" i="2"/>
  <c r="I131" i="2"/>
  <c r="I53" i="2"/>
  <c r="I55" i="2"/>
  <c r="I155" i="2"/>
  <c r="I21" i="2"/>
  <c r="I88" i="2"/>
  <c r="I119" i="2"/>
  <c r="I337" i="2"/>
  <c r="I267" i="2"/>
  <c r="I181" i="2"/>
  <c r="I215" i="2"/>
  <c r="I468" i="2"/>
  <c r="I524" i="2"/>
  <c r="I526" i="2"/>
  <c r="I143" i="2"/>
  <c r="I420" i="2"/>
  <c r="I114" i="2"/>
  <c r="I638" i="2"/>
  <c r="I338" i="2"/>
  <c r="I147" i="2"/>
  <c r="I95" i="2"/>
  <c r="I228" i="2"/>
  <c r="I460" i="2"/>
  <c r="I496" i="2"/>
  <c r="I211" i="2"/>
  <c r="I585" i="2"/>
  <c r="I421" i="2"/>
  <c r="I182" i="2"/>
  <c r="I364" i="2"/>
  <c r="I204" i="2"/>
  <c r="I645" i="2"/>
  <c r="I189" i="2"/>
  <c r="I168" i="2"/>
  <c r="I285" i="2"/>
  <c r="I305" i="2"/>
  <c r="I317" i="2"/>
  <c r="I345" i="2"/>
  <c r="I413" i="2"/>
  <c r="I32" i="2"/>
  <c r="I256" i="2"/>
  <c r="I150" i="2"/>
  <c r="I40" i="2"/>
  <c r="I635" i="2"/>
  <c r="I376" i="2"/>
  <c r="I621" i="2"/>
  <c r="I201" i="2"/>
  <c r="I259" i="2"/>
  <c r="I415" i="2"/>
  <c r="I444" i="2"/>
  <c r="I152" i="2"/>
  <c r="I161" i="2"/>
  <c r="I10" i="2"/>
  <c r="I563" i="2"/>
  <c r="I453" i="2"/>
  <c r="I363" i="2"/>
  <c r="I135" i="2"/>
  <c r="I473" i="2"/>
  <c r="I557" i="2"/>
  <c r="I160" i="2"/>
  <c r="I245" i="2"/>
  <c r="I15" i="2"/>
  <c r="I25" i="2"/>
  <c r="I278" i="2"/>
  <c r="I252" i="2"/>
  <c r="I443" i="2"/>
  <c r="I290" i="2"/>
  <c r="I625" i="2"/>
  <c r="I310" i="2"/>
  <c r="I124" i="2"/>
  <c r="I617" i="2"/>
  <c r="I46" i="2"/>
  <c r="I511" i="2"/>
  <c r="I139" i="2"/>
  <c r="I153" i="2"/>
  <c r="I375" i="2"/>
  <c r="I260" i="2"/>
  <c r="I628" i="2"/>
  <c r="I643" i="2"/>
  <c r="I489" i="2"/>
  <c r="I620" i="2"/>
  <c r="I594" i="2"/>
  <c r="I324" i="2"/>
  <c r="I531" i="2"/>
  <c r="I504" i="2"/>
  <c r="I571" i="2"/>
  <c r="I602" i="2"/>
  <c r="I442" i="2"/>
  <c r="I165" i="2"/>
  <c r="I483" i="2"/>
  <c r="I487" i="2"/>
  <c r="I578" i="2"/>
  <c r="I242" i="2"/>
  <c r="I641" i="2"/>
  <c r="I217" i="2"/>
  <c r="I35" i="2"/>
  <c r="I141" i="2"/>
  <c r="I502" i="2"/>
  <c r="I231" i="2"/>
  <c r="I167" i="2"/>
  <c r="I639" i="2"/>
  <c r="I580" i="2"/>
  <c r="I9" i="2"/>
  <c r="I589" i="2"/>
  <c r="I99" i="2"/>
  <c r="I616" i="2"/>
  <c r="I488" i="2"/>
  <c r="I470" i="2"/>
  <c r="I373" i="2"/>
  <c r="I23" i="2"/>
  <c r="I649" i="2"/>
  <c r="I491" i="2"/>
  <c r="I171" i="2"/>
  <c r="I544" i="2"/>
  <c r="I271" i="2"/>
  <c r="I205" i="2"/>
  <c r="I176" i="2"/>
  <c r="I619" i="2"/>
  <c r="I486" i="2"/>
  <c r="I340" i="2"/>
  <c r="I241" i="2"/>
  <c r="I414" i="2"/>
  <c r="I57" i="2"/>
  <c r="I281" i="2"/>
  <c r="H26" i="3"/>
  <c r="A140" i="2" l="1"/>
  <c r="H27" i="3"/>
  <c r="H36" i="3"/>
  <c r="H32" i="3"/>
  <c r="H39" i="3"/>
  <c r="H29" i="3"/>
  <c r="H31" i="3"/>
  <c r="H37" i="3"/>
  <c r="H40" i="3"/>
  <c r="H30" i="3"/>
  <c r="H41" i="3"/>
  <c r="H35" i="3"/>
  <c r="H33" i="3"/>
  <c r="H38" i="3"/>
  <c r="H28" i="3"/>
  <c r="H34" i="3"/>
  <c r="A445" i="2"/>
  <c r="K445" i="2" s="1"/>
  <c r="A65" i="2"/>
  <c r="K65" i="2" s="1"/>
  <c r="A649" i="2"/>
  <c r="K649" i="2" s="1"/>
  <c r="A274" i="2"/>
  <c r="K274" i="2" s="1"/>
  <c r="A575" i="2"/>
  <c r="K575" i="2" s="1"/>
  <c r="A189" i="2"/>
  <c r="K189" i="2" s="1"/>
  <c r="A204" i="2"/>
  <c r="K204" i="2" s="1"/>
  <c r="A383" i="2"/>
  <c r="K383" i="2" s="1"/>
  <c r="A623" i="2"/>
  <c r="K623" i="2" s="1"/>
  <c r="A156" i="2"/>
  <c r="K156" i="2" s="1"/>
  <c r="A342" i="2"/>
  <c r="K342" i="2" s="1"/>
  <c r="A287" i="2"/>
  <c r="K287" i="2" s="1"/>
  <c r="A565" i="2"/>
  <c r="K565" i="2" s="1"/>
  <c r="A307" i="2"/>
  <c r="K307" i="2" s="1"/>
  <c r="A630" i="2"/>
  <c r="K630" i="2" s="1"/>
  <c r="A616" i="2"/>
  <c r="K616" i="2" s="1"/>
  <c r="A99" i="2"/>
  <c r="K99" i="2" s="1"/>
  <c r="A21" i="2"/>
  <c r="K21" i="2" s="1"/>
  <c r="A516" i="2"/>
  <c r="K516" i="2" s="1"/>
  <c r="A585" i="2"/>
  <c r="K585" i="2" s="1"/>
  <c r="A281" i="2"/>
  <c r="K281" i="2" s="1"/>
  <c r="A457" i="2"/>
  <c r="K457" i="2" s="1"/>
  <c r="A486" i="2"/>
  <c r="K486" i="2" s="1"/>
  <c r="A232" i="2"/>
  <c r="K232" i="2" s="1"/>
  <c r="A217" i="2"/>
  <c r="K217" i="2" s="1"/>
  <c r="A194" i="2"/>
  <c r="K194" i="2" s="1"/>
  <c r="A592" i="2"/>
  <c r="K592" i="2" s="1"/>
  <c r="A124" i="2"/>
  <c r="K124" i="2" s="1"/>
  <c r="A563" i="2"/>
  <c r="K563" i="2" s="1"/>
  <c r="A621" i="2"/>
  <c r="K621" i="2" s="1"/>
  <c r="A578" i="2"/>
  <c r="K578" i="2" s="1"/>
  <c r="A245" i="2"/>
  <c r="K245" i="2" s="1"/>
  <c r="A205" i="2"/>
  <c r="K205" i="2" s="1"/>
  <c r="A470" i="2"/>
  <c r="K470" i="2" s="1"/>
  <c r="A161" i="2"/>
  <c r="K161" i="2" s="1"/>
  <c r="A635" i="2"/>
  <c r="K635" i="2" s="1"/>
  <c r="A403" i="2"/>
  <c r="K403" i="2" s="1"/>
  <c r="A166" i="2"/>
  <c r="K166" i="2" s="1"/>
  <c r="A145" i="2"/>
  <c r="K145" i="2" s="1"/>
  <c r="A57" i="2"/>
  <c r="K57" i="2" s="1"/>
  <c r="A285" i="2"/>
  <c r="K285" i="2" s="1"/>
  <c r="A53" i="2"/>
  <c r="K53" i="2" s="1"/>
  <c r="A648" i="2"/>
  <c r="K648" i="2" s="1"/>
  <c r="A283" i="2"/>
  <c r="K283" i="2" s="1"/>
  <c r="A120" i="2"/>
  <c r="K120" i="2" s="1"/>
  <c r="A352" i="2"/>
  <c r="K352" i="2" s="1"/>
  <c r="A275" i="2"/>
  <c r="K275" i="2" s="1"/>
  <c r="A286" i="2"/>
  <c r="K286" i="2" s="1"/>
  <c r="A308" i="2"/>
  <c r="K308" i="2" s="1"/>
  <c r="A404" i="2"/>
  <c r="K404" i="2" s="1"/>
  <c r="A246" i="2"/>
  <c r="K246" i="2" s="1"/>
  <c r="A103" i="2"/>
  <c r="K103" i="2" s="1"/>
  <c r="A149" i="2"/>
  <c r="K149" i="2" s="1"/>
  <c r="A206" i="2"/>
  <c r="K206" i="2" s="1"/>
  <c r="A323" i="2"/>
  <c r="K323" i="2" s="1"/>
  <c r="A152" i="2"/>
  <c r="K152" i="2" s="1"/>
  <c r="A114" i="2"/>
  <c r="K114" i="2" s="1"/>
  <c r="A47" i="2"/>
  <c r="K47" i="2" s="1"/>
  <c r="A492" i="2"/>
  <c r="K492" i="2" s="1"/>
  <c r="A226" i="2"/>
  <c r="K226" i="2" s="1"/>
  <c r="A491" i="2"/>
  <c r="K491" i="2" s="1"/>
  <c r="A589" i="2"/>
  <c r="K589" i="2" s="1"/>
  <c r="A32" i="2"/>
  <c r="K32" i="2" s="1"/>
  <c r="A391" i="2"/>
  <c r="K391" i="2" s="1"/>
  <c r="A385" i="2"/>
  <c r="K385" i="2" s="1"/>
  <c r="A461" i="2"/>
  <c r="K461" i="2" s="1"/>
  <c r="A413" i="2"/>
  <c r="K413" i="2" s="1"/>
  <c r="A493" i="2"/>
  <c r="K493" i="2" s="1"/>
  <c r="A108" i="2"/>
  <c r="K108" i="2" s="1"/>
  <c r="A144" i="2"/>
  <c r="K144" i="2" s="1"/>
  <c r="A509" i="2"/>
  <c r="K509" i="2" s="1"/>
  <c r="A343" i="2"/>
  <c r="K343" i="2" s="1"/>
  <c r="A322" i="2"/>
  <c r="K322" i="2" s="1"/>
  <c r="A315" i="2"/>
  <c r="K315" i="2" s="1"/>
  <c r="A549" i="2"/>
  <c r="K549" i="2" s="1"/>
  <c r="A290" i="2"/>
  <c r="K290" i="2" s="1"/>
  <c r="A174" i="2"/>
  <c r="K174" i="2" s="1"/>
  <c r="A490" i="2"/>
  <c r="K490" i="2" s="1"/>
  <c r="A349" i="2"/>
  <c r="K349" i="2" s="1"/>
  <c r="A63" i="2"/>
  <c r="K63" i="2" s="1"/>
  <c r="A227" i="2"/>
  <c r="K227" i="2" s="1"/>
  <c r="A532" i="2"/>
  <c r="K532" i="2" s="1"/>
  <c r="A98" i="2"/>
  <c r="K98" i="2" s="1"/>
  <c r="A11" i="2"/>
  <c r="K11" i="2" s="1"/>
  <c r="A369" i="2"/>
  <c r="K369" i="2" s="1"/>
  <c r="A604" i="2"/>
  <c r="K604" i="2" s="1"/>
  <c r="A27" i="2"/>
  <c r="K27" i="2" s="1"/>
  <c r="A19" i="2"/>
  <c r="K19" i="2" s="1"/>
  <c r="A573" i="2"/>
  <c r="K573" i="2" s="1"/>
  <c r="A240" i="2"/>
  <c r="K240" i="2" s="1"/>
  <c r="A366" i="2"/>
  <c r="K366" i="2" s="1"/>
  <c r="A326" i="2"/>
  <c r="K326" i="2" s="1"/>
  <c r="A312" i="2"/>
  <c r="K312" i="2" s="1"/>
  <c r="A332" i="2"/>
  <c r="K332" i="2" s="1"/>
  <c r="A350" i="2"/>
  <c r="K350" i="2" s="1"/>
  <c r="A346" i="2"/>
  <c r="K346" i="2" s="1"/>
  <c r="A187" i="2"/>
  <c r="K187" i="2" s="1"/>
  <c r="A581" i="2"/>
  <c r="K581" i="2" s="1"/>
  <c r="A540" i="2"/>
  <c r="K540" i="2" s="1"/>
  <c r="A558" i="2"/>
  <c r="K558" i="2" s="1"/>
  <c r="A498" i="2"/>
  <c r="K498" i="2" s="1"/>
  <c r="A133" i="2"/>
  <c r="K133" i="2" s="1"/>
  <c r="A125" i="2"/>
  <c r="K125" i="2" s="1"/>
  <c r="A620" i="2"/>
  <c r="K620" i="2" s="1"/>
  <c r="A179" i="2"/>
  <c r="K179" i="2" s="1"/>
  <c r="A200" i="2"/>
  <c r="K200" i="2" s="1"/>
  <c r="A439" i="2"/>
  <c r="K439" i="2" s="1"/>
  <c r="A122" i="2"/>
  <c r="K122" i="2" s="1"/>
  <c r="A4" i="2"/>
  <c r="K4" i="2" s="1"/>
  <c r="A84" i="2"/>
  <c r="K84" i="2" s="1"/>
  <c r="A410" i="2"/>
  <c r="K410" i="2" s="1"/>
  <c r="A49" i="2"/>
  <c r="K49" i="2" s="1"/>
  <c r="A191" i="2"/>
  <c r="K191" i="2" s="1"/>
  <c r="A464" i="2"/>
  <c r="K464" i="2" s="1"/>
  <c r="A435" i="2"/>
  <c r="K435" i="2" s="1"/>
  <c r="A101" i="2"/>
  <c r="K101" i="2" s="1"/>
  <c r="A126" i="2"/>
  <c r="K126" i="2" s="1"/>
  <c r="A365" i="2"/>
  <c r="K365" i="2" s="1"/>
  <c r="A550" i="2"/>
  <c r="K550" i="2" s="1"/>
  <c r="A279" i="2"/>
  <c r="K279" i="2" s="1"/>
  <c r="A485" i="2"/>
  <c r="K485" i="2" s="1"/>
  <c r="A596" i="2"/>
  <c r="K596" i="2" s="1"/>
  <c r="A115" i="2"/>
  <c r="K115" i="2" s="1"/>
  <c r="A35" i="2"/>
  <c r="K35" i="2" s="1"/>
  <c r="A602" i="2"/>
  <c r="K602" i="2" s="1"/>
  <c r="A643" i="2"/>
  <c r="K643" i="2" s="1"/>
  <c r="A520" i="2"/>
  <c r="K520" i="2" s="1"/>
  <c r="A526" i="2"/>
  <c r="K526" i="2" s="1"/>
  <c r="A348" i="2"/>
  <c r="K348" i="2" s="1"/>
  <c r="A15" i="2"/>
  <c r="K15" i="2" s="1"/>
  <c r="A619" i="2"/>
  <c r="K619" i="2" s="1"/>
  <c r="A414" i="2"/>
  <c r="K414" i="2" s="1"/>
  <c r="A570" i="2"/>
  <c r="K570" i="2" s="1"/>
  <c r="A380" i="2"/>
  <c r="K380" i="2" s="1"/>
  <c r="A123" i="2"/>
  <c r="K123" i="2" s="1"/>
  <c r="A564" i="2"/>
  <c r="K564" i="2" s="1"/>
  <c r="A210" i="2"/>
  <c r="K210" i="2" s="1"/>
  <c r="A129" i="2"/>
  <c r="K129" i="2" s="1"/>
  <c r="A577" i="2"/>
  <c r="K577" i="2" s="1"/>
  <c r="A614" i="2"/>
  <c r="K614" i="2" s="1"/>
  <c r="A645" i="2"/>
  <c r="K645" i="2" s="1"/>
  <c r="A247" i="2"/>
  <c r="K247" i="2" s="1"/>
  <c r="A106" i="2"/>
  <c r="K106" i="2" s="1"/>
  <c r="A48" i="2"/>
  <c r="K48" i="2" s="1"/>
  <c r="A465" i="2"/>
  <c r="K465" i="2" s="1"/>
  <c r="A418" i="2"/>
  <c r="K418" i="2" s="1"/>
  <c r="A401" i="2"/>
  <c r="K401" i="2" s="1"/>
  <c r="A522" i="2"/>
  <c r="K522" i="2" s="1"/>
  <c r="A223" i="2"/>
  <c r="K223" i="2" s="1"/>
  <c r="A525" i="2"/>
  <c r="K525" i="2" s="1"/>
  <c r="A263" i="2"/>
  <c r="K263" i="2" s="1"/>
  <c r="A559" i="2"/>
  <c r="K559" i="2" s="1"/>
  <c r="A61" i="2"/>
  <c r="K61" i="2" s="1"/>
  <c r="A560" i="2"/>
  <c r="K560" i="2" s="1"/>
  <c r="A249" i="2"/>
  <c r="K249" i="2" s="1"/>
  <c r="A496" i="2"/>
  <c r="K496" i="2" s="1"/>
  <c r="A260" i="2"/>
  <c r="K260" i="2" s="1"/>
  <c r="A554" i="2"/>
  <c r="K554" i="2" s="1"/>
  <c r="A553" i="2"/>
  <c r="K553" i="2" s="1"/>
  <c r="A463" i="2"/>
  <c r="K463" i="2" s="1"/>
  <c r="A320" i="2"/>
  <c r="K320" i="2" s="1"/>
  <c r="A436" i="2"/>
  <c r="K436" i="2" s="1"/>
  <c r="A641" i="2"/>
  <c r="K641" i="2" s="1"/>
  <c r="A586" i="2"/>
  <c r="K586" i="2" s="1"/>
  <c r="A234" i="2"/>
  <c r="K234" i="2" s="1"/>
  <c r="A528" i="2"/>
  <c r="K528" i="2" s="1"/>
  <c r="A39" i="2"/>
  <c r="K39" i="2" s="1"/>
  <c r="A26" i="2"/>
  <c r="K26" i="2" s="1"/>
  <c r="A176" i="2"/>
  <c r="K176" i="2" s="1"/>
  <c r="A40" i="2"/>
  <c r="K40" i="2" s="1"/>
  <c r="A650" i="2"/>
  <c r="K650" i="2" s="1"/>
  <c r="A183" i="2"/>
  <c r="K183" i="2" s="1"/>
  <c r="A519" i="2"/>
  <c r="K519" i="2" s="1"/>
  <c r="A216" i="2"/>
  <c r="K216" i="2" s="1"/>
  <c r="A162" i="2"/>
  <c r="K162" i="2" s="1"/>
  <c r="A8" i="2"/>
  <c r="K8" i="2" s="1"/>
  <c r="A243" i="2"/>
  <c r="K243" i="2" s="1"/>
  <c r="A142" i="2"/>
  <c r="K142" i="2" s="1"/>
  <c r="A466" i="2"/>
  <c r="K466" i="2" s="1"/>
  <c r="A511" i="2"/>
  <c r="K511" i="2" s="1"/>
  <c r="A513" i="2"/>
  <c r="K513" i="2" s="1"/>
  <c r="A163" i="2"/>
  <c r="K163" i="2" s="1"/>
  <c r="A83" i="2"/>
  <c r="K83" i="2" s="1"/>
  <c r="A139" i="2"/>
  <c r="K139" i="2" s="1"/>
  <c r="A517" i="2"/>
  <c r="K517" i="2" s="1"/>
  <c r="A100" i="2"/>
  <c r="K100" i="2" s="1"/>
  <c r="A459" i="2"/>
  <c r="K459" i="2" s="1"/>
  <c r="A456" i="2"/>
  <c r="K456" i="2" s="1"/>
  <c r="A502" i="2"/>
  <c r="K502" i="2" s="1"/>
  <c r="A533" i="2"/>
  <c r="K533" i="2" s="1"/>
  <c r="A444" i="2"/>
  <c r="K444" i="2" s="1"/>
  <c r="A165" i="2"/>
  <c r="K165" i="2" s="1"/>
  <c r="A567" i="2"/>
  <c r="K567" i="2" s="1"/>
  <c r="A74" i="2"/>
  <c r="K74" i="2" s="1"/>
  <c r="A481" i="2"/>
  <c r="K481" i="2" s="1"/>
  <c r="A58" i="2"/>
  <c r="K58" i="2" s="1"/>
  <c r="A112" i="2"/>
  <c r="K112" i="2" s="1"/>
  <c r="A599" i="2"/>
  <c r="K599" i="2" s="1"/>
  <c r="A331" i="2"/>
  <c r="K331" i="2" s="1"/>
  <c r="A378" i="2"/>
  <c r="K378" i="2" s="1"/>
  <c r="A636" i="2"/>
  <c r="K636" i="2" s="1"/>
  <c r="A228" i="2"/>
  <c r="K228" i="2" s="1"/>
  <c r="A12" i="2"/>
  <c r="K12" i="2" s="1"/>
  <c r="A529" i="2"/>
  <c r="K529" i="2" s="1"/>
  <c r="A531" i="2"/>
  <c r="K531" i="2" s="1"/>
  <c r="A375" i="2"/>
  <c r="K375" i="2" s="1"/>
  <c r="A625" i="2"/>
  <c r="K625" i="2" s="1"/>
  <c r="A160" i="2"/>
  <c r="K160" i="2" s="1"/>
  <c r="A372" i="2"/>
  <c r="K372" i="2" s="1"/>
  <c r="A452" i="2"/>
  <c r="K452" i="2" s="1"/>
  <c r="A230" i="2"/>
  <c r="K230" i="2" s="1"/>
  <c r="A87" i="2"/>
  <c r="K87" i="2" s="1"/>
  <c r="A538" i="2"/>
  <c r="K538" i="2" s="1"/>
  <c r="A388" i="2"/>
  <c r="K388" i="2" s="1"/>
  <c r="A298" i="2"/>
  <c r="K298" i="2" s="1"/>
  <c r="A512" i="2"/>
  <c r="K512" i="2" s="1"/>
  <c r="A280" i="2"/>
  <c r="K280" i="2" s="1"/>
  <c r="A480" i="2"/>
  <c r="K480" i="2" s="1"/>
  <c r="A506" i="2"/>
  <c r="K506" i="2" s="1"/>
  <c r="A16" i="2"/>
  <c r="K16" i="2" s="1"/>
  <c r="A437" i="2"/>
  <c r="K437" i="2" s="1"/>
  <c r="A324" i="2"/>
  <c r="K324" i="2" s="1"/>
  <c r="A572" i="2"/>
  <c r="K572" i="2" s="1"/>
  <c r="A386" i="2"/>
  <c r="K386" i="2" s="1"/>
  <c r="A611" i="2"/>
  <c r="K611" i="2" s="1"/>
  <c r="A202" i="2"/>
  <c r="K202" i="2" s="1"/>
  <c r="A438" i="2"/>
  <c r="K438" i="2" s="1"/>
  <c r="A543" i="2"/>
  <c r="K543" i="2" s="1"/>
  <c r="A116" i="2"/>
  <c r="K116" i="2" s="1"/>
  <c r="A608" i="2"/>
  <c r="K608" i="2" s="1"/>
  <c r="A622" i="2"/>
  <c r="K622" i="2" s="1"/>
  <c r="A171" i="2"/>
  <c r="K171" i="2" s="1"/>
  <c r="A138" i="2"/>
  <c r="K138" i="2" s="1"/>
  <c r="A316" i="2"/>
  <c r="K316" i="2" s="1"/>
  <c r="A294" i="2"/>
  <c r="K294" i="2" s="1"/>
  <c r="A431" i="2"/>
  <c r="K431" i="2" s="1"/>
  <c r="A546" i="2"/>
  <c r="K546" i="2" s="1"/>
  <c r="A60" i="2"/>
  <c r="K60" i="2" s="1"/>
  <c r="A72" i="2"/>
  <c r="K72" i="2" s="1"/>
  <c r="A379" i="2"/>
  <c r="K379" i="2" s="1"/>
  <c r="A527" i="2"/>
  <c r="K527" i="2" s="1"/>
  <c r="A576" i="2"/>
  <c r="K576" i="2" s="1"/>
  <c r="A219" i="2"/>
  <c r="K219" i="2" s="1"/>
  <c r="A45" i="2"/>
  <c r="K45" i="2" s="1"/>
  <c r="A46" i="2"/>
  <c r="K46" i="2" s="1"/>
  <c r="A392" i="2"/>
  <c r="K392" i="2" s="1"/>
  <c r="A299" i="2"/>
  <c r="K299" i="2" s="1"/>
  <c r="A530" i="2"/>
  <c r="K530" i="2" s="1"/>
  <c r="A425" i="2"/>
  <c r="K425" i="2" s="1"/>
  <c r="A405" i="2"/>
  <c r="K405" i="2" s="1"/>
  <c r="A612" i="2"/>
  <c r="K612" i="2" s="1"/>
  <c r="A646" i="2"/>
  <c r="K646" i="2" s="1"/>
  <c r="A615" i="2"/>
  <c r="K615" i="2" s="1"/>
  <c r="A117" i="2"/>
  <c r="K117" i="2" s="1"/>
  <c r="A241" i="2"/>
  <c r="K241" i="2" s="1"/>
  <c r="A282" i="2"/>
  <c r="K282" i="2" s="1"/>
  <c r="A266" i="2"/>
  <c r="K266" i="2" s="1"/>
  <c r="A94" i="2"/>
  <c r="K94" i="2" s="1"/>
  <c r="A272" i="2"/>
  <c r="K272" i="2" s="1"/>
  <c r="A505" i="2"/>
  <c r="K505" i="2" s="1"/>
  <c r="A77" i="2"/>
  <c r="K77" i="2" s="1"/>
  <c r="A92" i="2"/>
  <c r="K92" i="2" s="1"/>
  <c r="A432" i="2"/>
  <c r="K432" i="2" s="1"/>
  <c r="A345" i="2"/>
  <c r="K345" i="2" s="1"/>
  <c r="A297" i="2"/>
  <c r="K297" i="2" s="1"/>
  <c r="A597" i="2"/>
  <c r="K597" i="2" s="1"/>
  <c r="A147" i="2"/>
  <c r="K147" i="2" s="1"/>
  <c r="A288" i="2"/>
  <c r="K288" i="2" s="1"/>
  <c r="A231" i="2"/>
  <c r="K231" i="2" s="1"/>
  <c r="A377" i="2"/>
  <c r="K377" i="2" s="1"/>
  <c r="A17" i="2"/>
  <c r="K17" i="2" s="1"/>
  <c r="A29" i="2"/>
  <c r="K29" i="2" s="1"/>
  <c r="A164" i="2"/>
  <c r="K164" i="2" s="1"/>
  <c r="A196" i="2"/>
  <c r="K196" i="2" s="1"/>
  <c r="A102" i="2"/>
  <c r="K102" i="2" s="1"/>
  <c r="A78" i="2"/>
  <c r="K78" i="2" s="1"/>
  <c r="A632" i="2"/>
  <c r="K632" i="2" s="1"/>
  <c r="A613" i="2"/>
  <c r="K613" i="2" s="1"/>
  <c r="A412" i="2"/>
  <c r="K412" i="2" s="1"/>
  <c r="A651" i="2"/>
  <c r="K651" i="2" s="1"/>
  <c r="A209" i="2"/>
  <c r="K209" i="2" s="1"/>
  <c r="A59" i="2"/>
  <c r="K59" i="2" s="1"/>
  <c r="A185" i="2"/>
  <c r="K185" i="2" s="1"/>
  <c r="A337" i="2"/>
  <c r="K337" i="2" s="1"/>
  <c r="A13" i="2"/>
  <c r="K13" i="2" s="1"/>
  <c r="A443" i="2"/>
  <c r="K443" i="2" s="1"/>
  <c r="A368" i="2"/>
  <c r="K368" i="2" s="1"/>
  <c r="A367" i="2"/>
  <c r="K367" i="2" s="1"/>
  <c r="A627" i="2"/>
  <c r="K627" i="2" s="1"/>
  <c r="A325" i="2"/>
  <c r="K325" i="2" s="1"/>
  <c r="A64" i="2"/>
  <c r="K64" i="2" s="1"/>
  <c r="A579" i="2"/>
  <c r="K579" i="2" s="1"/>
  <c r="A482" i="2"/>
  <c r="K482" i="2" s="1"/>
  <c r="A253" i="2"/>
  <c r="K253" i="2" s="1"/>
  <c r="A96" i="2"/>
  <c r="K96" i="2" s="1"/>
  <c r="A270" i="2"/>
  <c r="K270" i="2" s="1"/>
  <c r="A469" i="2"/>
  <c r="K469" i="2" s="1"/>
  <c r="A154" i="2"/>
  <c r="K154" i="2" s="1"/>
  <c r="A339" i="2"/>
  <c r="K339" i="2" s="1"/>
  <c r="A583" i="2"/>
  <c r="K583" i="2" s="1"/>
  <c r="A474" i="2"/>
  <c r="K474" i="2" s="1"/>
  <c r="A52" i="2"/>
  <c r="K52" i="2" s="1"/>
  <c r="A489" i="2"/>
  <c r="K489" i="2" s="1"/>
  <c r="A134" i="2"/>
  <c r="K134" i="2" s="1"/>
  <c r="A357" i="2"/>
  <c r="K357" i="2" s="1"/>
  <c r="A208" i="2"/>
  <c r="K208" i="2" s="1"/>
  <c r="A328" i="2"/>
  <c r="K328" i="2" s="1"/>
  <c r="A358" i="2"/>
  <c r="K358" i="2" s="1"/>
  <c r="A637" i="2"/>
  <c r="K637" i="2" s="1"/>
  <c r="A254" i="2"/>
  <c r="K254" i="2" s="1"/>
  <c r="A18" i="2"/>
  <c r="K18" i="2" s="1"/>
  <c r="A238" i="2"/>
  <c r="K238" i="2" s="1"/>
  <c r="A336" i="2"/>
  <c r="K336" i="2" s="1"/>
  <c r="A561" i="2"/>
  <c r="K561" i="2" s="1"/>
  <c r="A221" i="2"/>
  <c r="K221" i="2" s="1"/>
  <c r="A76" i="2"/>
  <c r="K76" i="2" s="1"/>
  <c r="A640" i="2"/>
  <c r="K640" i="2" s="1"/>
  <c r="A590" i="2"/>
  <c r="K590" i="2" s="1"/>
  <c r="A598" i="2"/>
  <c r="K598" i="2" s="1"/>
  <c r="A229" i="2"/>
  <c r="K229" i="2" s="1"/>
  <c r="A75" i="2"/>
  <c r="K75" i="2" s="1"/>
  <c r="A82" i="2"/>
  <c r="K82" i="2" s="1"/>
  <c r="A213" i="2"/>
  <c r="K213" i="2" s="1"/>
  <c r="A265" i="2"/>
  <c r="K265" i="2" s="1"/>
  <c r="A54" i="2"/>
  <c r="K54" i="2" s="1"/>
  <c r="A476" i="2"/>
  <c r="K476" i="2" s="1"/>
  <c r="A340" i="2"/>
  <c r="K340" i="2" s="1"/>
  <c r="A442" i="2"/>
  <c r="K442" i="2" s="1"/>
  <c r="A278" i="2"/>
  <c r="K278" i="2" s="1"/>
  <c r="A259" i="2"/>
  <c r="K259" i="2" s="1"/>
  <c r="H2" i="3"/>
  <c r="A9" i="2"/>
  <c r="K9" i="2" s="1"/>
  <c r="A25" i="2"/>
  <c r="K25" i="2" s="1"/>
  <c r="A453" i="2"/>
  <c r="K453" i="2" s="1"/>
  <c r="A394" i="2"/>
  <c r="K394" i="2" s="1"/>
  <c r="A633" i="2"/>
  <c r="K633" i="2" s="1"/>
  <c r="A28" i="2"/>
  <c r="K28" i="2" s="1"/>
  <c r="A411" i="2"/>
  <c r="K411" i="2" s="1"/>
  <c r="A2" i="2"/>
  <c r="K2" i="2" s="1"/>
  <c r="A23" i="2"/>
  <c r="K23" i="2" s="1"/>
  <c r="A181" i="2"/>
  <c r="K181" i="2" s="1"/>
  <c r="A594" i="2"/>
  <c r="K594" i="2" s="1"/>
  <c r="A415" i="2"/>
  <c r="K415" i="2" s="1"/>
  <c r="A497" i="2"/>
  <c r="K497" i="2" s="1"/>
  <c r="A536" i="2"/>
  <c r="K536" i="2" s="1"/>
  <c r="A222" i="2"/>
  <c r="K222" i="2" s="1"/>
  <c r="A252" i="2"/>
  <c r="K252" i="2" s="1"/>
  <c r="A355" i="2"/>
  <c r="K355" i="2" s="1"/>
  <c r="A591" i="2"/>
  <c r="K591" i="2" s="1"/>
  <c r="A595" i="2"/>
  <c r="K595" i="2" s="1"/>
  <c r="A524" i="2"/>
  <c r="K524" i="2" s="1"/>
  <c r="A446" i="2"/>
  <c r="K446" i="2" s="1"/>
  <c r="A329" i="2"/>
  <c r="K329" i="2" s="1"/>
  <c r="A472" i="2"/>
  <c r="K472" i="2" s="1"/>
  <c r="A398" i="2"/>
  <c r="K398" i="2" s="1"/>
  <c r="A521" i="2"/>
  <c r="K521" i="2" s="1"/>
  <c r="A384" i="2"/>
  <c r="K384" i="2" s="1"/>
  <c r="A467" i="2"/>
  <c r="K467" i="2" s="1"/>
  <c r="A429" i="2"/>
  <c r="K429" i="2" s="1"/>
  <c r="A374" i="2"/>
  <c r="K374" i="2" s="1"/>
  <c r="A14" i="2"/>
  <c r="K14" i="2" s="1"/>
  <c r="A471" i="2"/>
  <c r="K471" i="2" s="1"/>
  <c r="A42" i="2"/>
  <c r="K42" i="2" s="1"/>
  <c r="A318" i="2"/>
  <c r="K318" i="2" s="1"/>
  <c r="A155" i="2"/>
  <c r="K155" i="2" s="1"/>
  <c r="A518" i="2"/>
  <c r="K518" i="2" s="1"/>
  <c r="A214" i="2"/>
  <c r="K214" i="2" s="1"/>
  <c r="A131" i="2"/>
  <c r="K131" i="2" s="1"/>
  <c r="A30" i="2"/>
  <c r="K30" i="2" s="1"/>
  <c r="A360" i="2"/>
  <c r="K360" i="2" s="1"/>
  <c r="A207" i="2"/>
  <c r="K207" i="2" s="1"/>
  <c r="A381" i="2"/>
  <c r="K381" i="2" s="1"/>
  <c r="A127" i="2"/>
  <c r="K127" i="2" s="1"/>
  <c r="A170" i="2"/>
  <c r="K170" i="2" s="1"/>
  <c r="A629" i="2"/>
  <c r="K629" i="2" s="1"/>
  <c r="A395" i="2"/>
  <c r="K395" i="2" s="1"/>
  <c r="A361" i="2"/>
  <c r="K361" i="2" s="1"/>
  <c r="A255" i="2"/>
  <c r="K255" i="2" s="1"/>
  <c r="A393" i="2"/>
  <c r="K393" i="2" s="1"/>
  <c r="A186" i="2"/>
  <c r="K186" i="2" s="1"/>
  <c r="A296" i="2"/>
  <c r="K296" i="2" s="1"/>
  <c r="A574" i="2"/>
  <c r="K574" i="2" s="1"/>
  <c r="A158" i="2"/>
  <c r="K158" i="2" s="1"/>
  <c r="A148" i="2"/>
  <c r="K148" i="2" s="1"/>
  <c r="A293" i="2"/>
  <c r="K293" i="2" s="1"/>
  <c r="A399" i="2"/>
  <c r="K399" i="2" s="1"/>
  <c r="A359" i="2"/>
  <c r="K359" i="2" s="1"/>
  <c r="A371" i="2"/>
  <c r="K371" i="2" s="1"/>
  <c r="A338" i="2"/>
  <c r="K338" i="2" s="1"/>
  <c r="A192" i="2"/>
  <c r="K192" i="2" s="1"/>
  <c r="A460" i="2"/>
  <c r="K460" i="2" s="1"/>
  <c r="A548" i="2"/>
  <c r="K548" i="2" s="1"/>
  <c r="A24" i="2"/>
  <c r="K24" i="2" s="1"/>
  <c r="A121" i="2"/>
  <c r="K121" i="2" s="1"/>
  <c r="A218" i="2"/>
  <c r="K218" i="2" s="1"/>
  <c r="A172" i="2"/>
  <c r="K172" i="2" s="1"/>
  <c r="A105" i="2"/>
  <c r="K105" i="2" s="1"/>
  <c r="A593" i="2"/>
  <c r="K593" i="2" s="1"/>
  <c r="A416" i="2"/>
  <c r="K416" i="2" s="1"/>
  <c r="A523" i="2"/>
  <c r="K523" i="2" s="1"/>
  <c r="A104" i="2"/>
  <c r="K104" i="2" s="1"/>
  <c r="A605" i="2"/>
  <c r="K605" i="2" s="1"/>
  <c r="A41" i="2"/>
  <c r="K41" i="2" s="1"/>
  <c r="A22" i="2"/>
  <c r="K22" i="2" s="1"/>
  <c r="A128" i="2"/>
  <c r="K128" i="2" s="1"/>
  <c r="A236" i="2"/>
  <c r="K236" i="2" s="1"/>
  <c r="A20" i="2"/>
  <c r="K20" i="2" s="1"/>
  <c r="A119" i="2"/>
  <c r="K119" i="2" s="1"/>
  <c r="A159" i="2"/>
  <c r="K159" i="2" s="1"/>
  <c r="A454" i="2"/>
  <c r="K454" i="2" s="1"/>
  <c r="A81" i="2"/>
  <c r="K81" i="2" s="1"/>
  <c r="A333" i="2"/>
  <c r="K333" i="2" s="1"/>
  <c r="A203" i="2"/>
  <c r="K203" i="2" s="1"/>
  <c r="A250" i="2"/>
  <c r="K250" i="2" s="1"/>
  <c r="A244" i="2"/>
  <c r="K244" i="2" s="1"/>
  <c r="A402" i="2"/>
  <c r="K402" i="2" s="1"/>
  <c r="A341" i="2"/>
  <c r="K341" i="2" s="1"/>
  <c r="A97" i="2"/>
  <c r="K97" i="2" s="1"/>
  <c r="A422" i="2"/>
  <c r="K422" i="2" s="1"/>
  <c r="A319" i="2"/>
  <c r="K319" i="2" s="1"/>
  <c r="A501" i="2"/>
  <c r="K501" i="2" s="1"/>
  <c r="A603" i="2"/>
  <c r="K603" i="2" s="1"/>
  <c r="A50" i="2"/>
  <c r="K50" i="2" s="1"/>
  <c r="A362" i="2"/>
  <c r="K362" i="2" s="1"/>
  <c r="A382" i="2"/>
  <c r="K382" i="2" s="1"/>
  <c r="A557" i="2"/>
  <c r="K557" i="2" s="1"/>
  <c r="A430" i="2"/>
  <c r="K430" i="2" s="1"/>
  <c r="A136" i="2"/>
  <c r="K136" i="2" s="1"/>
  <c r="A647" i="2"/>
  <c r="K647" i="2" s="1"/>
  <c r="A182" i="2"/>
  <c r="K182" i="2" s="1"/>
  <c r="A212" i="2"/>
  <c r="K212" i="2" s="1"/>
  <c r="A433" i="2"/>
  <c r="K433" i="2" s="1"/>
  <c r="A488" i="2"/>
  <c r="K488" i="2" s="1"/>
  <c r="A634" i="2"/>
  <c r="K634" i="2" s="1"/>
  <c r="A215" i="2"/>
  <c r="K215" i="2" s="1"/>
  <c r="A351" i="2"/>
  <c r="K351" i="2" s="1"/>
  <c r="A180" i="2"/>
  <c r="K180" i="2" s="1"/>
  <c r="A233" i="2"/>
  <c r="K233" i="2" s="1"/>
  <c r="A107" i="2"/>
  <c r="K107" i="2" s="1"/>
  <c r="A184" i="2"/>
  <c r="K184" i="2" s="1"/>
  <c r="A237" i="2"/>
  <c r="K237" i="2" s="1"/>
  <c r="A309" i="2"/>
  <c r="K309" i="2" s="1"/>
  <c r="A451" i="2"/>
  <c r="K451" i="2" s="1"/>
  <c r="A455" i="2"/>
  <c r="K455" i="2" s="1"/>
  <c r="A295" i="2"/>
  <c r="K295" i="2" s="1"/>
  <c r="A55" i="2"/>
  <c r="K55" i="2" s="1"/>
  <c r="A157" i="2"/>
  <c r="K157" i="2" s="1"/>
  <c r="A88" i="2"/>
  <c r="K88" i="2" s="1"/>
  <c r="A473" i="2"/>
  <c r="K473" i="2" s="1"/>
  <c r="A353" i="2"/>
  <c r="K353" i="2" s="1"/>
  <c r="A235" i="2"/>
  <c r="K235" i="2" s="1"/>
  <c r="A34" i="2"/>
  <c r="K34" i="2" s="1"/>
  <c r="A190" i="2"/>
  <c r="K190" i="2" s="1"/>
  <c r="A302" i="2"/>
  <c r="K302" i="2" s="1"/>
  <c r="A31" i="2"/>
  <c r="K31" i="2" s="1"/>
  <c r="A304" i="2"/>
  <c r="K304" i="2" s="1"/>
  <c r="A450" i="2"/>
  <c r="K450" i="2" s="1"/>
  <c r="A67" i="2"/>
  <c r="K67" i="2" s="1"/>
  <c r="A500" i="2"/>
  <c r="K500" i="2" s="1"/>
  <c r="A91" i="2"/>
  <c r="K91" i="2" s="1"/>
  <c r="A301" i="2"/>
  <c r="K301" i="2" s="1"/>
  <c r="A534" i="2"/>
  <c r="K534" i="2" s="1"/>
  <c r="A321" i="2"/>
  <c r="K321" i="2" s="1"/>
  <c r="A220" i="2"/>
  <c r="K220" i="2" s="1"/>
  <c r="A562" i="2"/>
  <c r="K562" i="2" s="1"/>
  <c r="A79" i="2"/>
  <c r="K79" i="2" s="1"/>
  <c r="A510" i="2"/>
  <c r="K510" i="2" s="1"/>
  <c r="A428" i="2"/>
  <c r="K428" i="2" s="1"/>
  <c r="A66" i="2"/>
  <c r="K66" i="2" s="1"/>
  <c r="A93" i="2"/>
  <c r="K93" i="2" s="1"/>
  <c r="A427" i="2"/>
  <c r="K427" i="2" s="1"/>
  <c r="A420" i="2"/>
  <c r="K420" i="2" s="1"/>
  <c r="A267" i="2"/>
  <c r="K267" i="2" s="1"/>
  <c r="A291" i="2"/>
  <c r="K291" i="2" s="1"/>
  <c r="A6" i="2"/>
  <c r="K6" i="2" s="1"/>
  <c r="A601" i="2"/>
  <c r="K601" i="2" s="1"/>
  <c r="A587" i="2"/>
  <c r="K587" i="2" s="1"/>
  <c r="A327" i="2"/>
  <c r="K327" i="2" s="1"/>
  <c r="A109" i="2"/>
  <c r="K109" i="2" s="1"/>
  <c r="A113" i="2"/>
  <c r="K113" i="2" s="1"/>
  <c r="A262" i="2"/>
  <c r="K262" i="2" s="1"/>
  <c r="A277" i="2"/>
  <c r="K277" i="2" s="1"/>
  <c r="A515" i="2"/>
  <c r="K515" i="2" s="1"/>
  <c r="A143" i="2"/>
  <c r="K143" i="2" s="1"/>
  <c r="A68" i="2"/>
  <c r="K68" i="2" s="1"/>
  <c r="A475" i="2"/>
  <c r="K475" i="2" s="1"/>
  <c r="A514" i="2"/>
  <c r="K514" i="2" s="1"/>
  <c r="A547" i="2"/>
  <c r="K547" i="2" s="1"/>
  <c r="A5" i="2"/>
  <c r="K5" i="2" s="1"/>
  <c r="A440" i="2"/>
  <c r="K440" i="2" s="1"/>
  <c r="A239" i="2"/>
  <c r="K239" i="2" s="1"/>
  <c r="A261" i="2"/>
  <c r="K261" i="2" s="1"/>
  <c r="A169" i="2"/>
  <c r="K169" i="2" s="1"/>
  <c r="A37" i="2"/>
  <c r="K37" i="2" s="1"/>
  <c r="A417" i="2"/>
  <c r="K417" i="2" s="1"/>
  <c r="A544" i="2"/>
  <c r="K544" i="2" s="1"/>
  <c r="A535" i="2"/>
  <c r="K535" i="2" s="1"/>
  <c r="A90" i="2"/>
  <c r="K90" i="2" s="1"/>
  <c r="A51" i="2"/>
  <c r="K51" i="2" s="1"/>
  <c r="A537" i="2"/>
  <c r="K537" i="2" s="1"/>
  <c r="A344" i="2"/>
  <c r="K344" i="2" s="1"/>
  <c r="A462" i="2"/>
  <c r="K462" i="2" s="1"/>
  <c r="A447" i="2"/>
  <c r="K447" i="2" s="1"/>
  <c r="A269" i="2"/>
  <c r="K269" i="2" s="1"/>
  <c r="A44" i="2"/>
  <c r="K44" i="2" s="1"/>
  <c r="A3" i="2"/>
  <c r="K3" i="2" s="1"/>
  <c r="A468" i="2"/>
  <c r="K468" i="2" s="1"/>
  <c r="A551" i="2"/>
  <c r="K551" i="2" s="1"/>
  <c r="A33" i="2"/>
  <c r="K33" i="2" s="1"/>
  <c r="A284" i="2"/>
  <c r="K284" i="2" s="1"/>
  <c r="A330" i="2"/>
  <c r="K330" i="2" s="1"/>
  <c r="A624" i="2"/>
  <c r="K624" i="2" s="1"/>
  <c r="A224" i="2"/>
  <c r="K224" i="2" s="1"/>
  <c r="A569" i="2"/>
  <c r="K569" i="2" s="1"/>
  <c r="K140" i="2"/>
  <c r="A43" i="2"/>
  <c r="K43" i="2" s="1"/>
  <c r="A389" i="2"/>
  <c r="K389" i="2" s="1"/>
  <c r="A396" i="2"/>
  <c r="K396" i="2" s="1"/>
  <c r="A289" i="2"/>
  <c r="K289" i="2" s="1"/>
  <c r="A618" i="2"/>
  <c r="K618" i="2" s="1"/>
  <c r="A644" i="2"/>
  <c r="K644" i="2" s="1"/>
  <c r="A173" i="2"/>
  <c r="K173" i="2" s="1"/>
  <c r="A400" i="2"/>
  <c r="K400" i="2" s="1"/>
  <c r="A130" i="2"/>
  <c r="K130" i="2" s="1"/>
  <c r="A306" i="2"/>
  <c r="K306" i="2" s="1"/>
  <c r="A118" i="2"/>
  <c r="K118" i="2" s="1"/>
  <c r="A178" i="2"/>
  <c r="K178" i="2" s="1"/>
  <c r="A80" i="2"/>
  <c r="K80" i="2" s="1"/>
  <c r="A347" i="2"/>
  <c r="K347" i="2" s="1"/>
  <c r="A188" i="2"/>
  <c r="K188" i="2" s="1"/>
  <c r="A495" i="2"/>
  <c r="K495" i="2" s="1"/>
  <c r="A256" i="2"/>
  <c r="K256" i="2" s="1"/>
  <c r="A539" i="2"/>
  <c r="K539" i="2" s="1"/>
  <c r="A441" i="2"/>
  <c r="K441" i="2" s="1"/>
  <c r="A300" i="2"/>
  <c r="K300" i="2" s="1"/>
  <c r="A73" i="2"/>
  <c r="K73" i="2" s="1"/>
  <c r="A424" i="2"/>
  <c r="K424" i="2" s="1"/>
  <c r="A607" i="2"/>
  <c r="K607" i="2" s="1"/>
  <c r="A494" i="2"/>
  <c r="K494" i="2" s="1"/>
  <c r="A370" i="2"/>
  <c r="K370" i="2" s="1"/>
  <c r="A582" i="2"/>
  <c r="K582" i="2" s="1"/>
  <c r="A542" i="2"/>
  <c r="K542" i="2" s="1"/>
  <c r="A141" i="2"/>
  <c r="K141" i="2" s="1"/>
  <c r="A610" i="2"/>
  <c r="K610" i="2" s="1"/>
  <c r="A541" i="2"/>
  <c r="K541" i="2" s="1"/>
  <c r="A86" i="2"/>
  <c r="K86" i="2" s="1"/>
  <c r="A508" i="2"/>
  <c r="K508" i="2" s="1"/>
  <c r="A248" i="2"/>
  <c r="K248" i="2" s="1"/>
  <c r="A545" i="2"/>
  <c r="K545" i="2" s="1"/>
  <c r="A193" i="2"/>
  <c r="K193" i="2" s="1"/>
  <c r="A609" i="2"/>
  <c r="K609" i="2" s="1"/>
  <c r="A406" i="2"/>
  <c r="K406" i="2" s="1"/>
  <c r="A335" i="2"/>
  <c r="K335" i="2" s="1"/>
  <c r="A458" i="2"/>
  <c r="K458" i="2" s="1"/>
  <c r="A177" i="2"/>
  <c r="K177" i="2" s="1"/>
  <c r="A195" i="2"/>
  <c r="K195" i="2" s="1"/>
  <c r="A448" i="2"/>
  <c r="K448" i="2" s="1"/>
  <c r="A588" i="2"/>
  <c r="K588" i="2" s="1"/>
  <c r="A70" i="2"/>
  <c r="K70" i="2" s="1"/>
  <c r="A111" i="2"/>
  <c r="K111" i="2" s="1"/>
  <c r="A356" i="2"/>
  <c r="K356" i="2" s="1"/>
  <c r="A151" i="2"/>
  <c r="K151" i="2" s="1"/>
  <c r="A273" i="2"/>
  <c r="K273" i="2" s="1"/>
  <c r="A168" i="2"/>
  <c r="K168" i="2" s="1"/>
  <c r="A199" i="2"/>
  <c r="K199" i="2" s="1"/>
  <c r="A334" i="2"/>
  <c r="K334" i="2" s="1"/>
  <c r="A258" i="2"/>
  <c r="K258" i="2" s="1"/>
  <c r="A354" i="2"/>
  <c r="K354" i="2" s="1"/>
  <c r="A642" i="2"/>
  <c r="K642" i="2" s="1"/>
  <c r="A626" i="2"/>
  <c r="K626" i="2" s="1"/>
  <c r="A135" i="2"/>
  <c r="K135" i="2" s="1"/>
  <c r="A479" i="2"/>
  <c r="K479" i="2" s="1"/>
  <c r="A153" i="2"/>
  <c r="K153" i="2" s="1"/>
  <c r="A423" i="2"/>
  <c r="K423" i="2" s="1"/>
  <c r="A409" i="2"/>
  <c r="K409" i="2" s="1"/>
  <c r="A71" i="2"/>
  <c r="K71" i="2" s="1"/>
  <c r="A264" i="2"/>
  <c r="K264" i="2" s="1"/>
  <c r="A387" i="2"/>
  <c r="K387" i="2" s="1"/>
  <c r="A198" i="2"/>
  <c r="K198" i="2" s="1"/>
  <c r="A89" i="2"/>
  <c r="K89" i="2" s="1"/>
  <c r="A69" i="2"/>
  <c r="K69" i="2" s="1"/>
  <c r="A62" i="2"/>
  <c r="K62" i="2" s="1"/>
  <c r="A317" i="2"/>
  <c r="K317" i="2" s="1"/>
  <c r="A606" i="2"/>
  <c r="K606" i="2" s="1"/>
  <c r="A580" i="2"/>
  <c r="K580" i="2" s="1"/>
  <c r="A571" i="2"/>
  <c r="K571" i="2" s="1"/>
  <c r="A628" i="2"/>
  <c r="K628" i="2" s="1"/>
  <c r="A555" i="2"/>
  <c r="K555" i="2" s="1"/>
  <c r="A95" i="2"/>
  <c r="K95" i="2" s="1"/>
  <c r="A146" i="2"/>
  <c r="K146" i="2" s="1"/>
  <c r="A566" i="2"/>
  <c r="K566" i="2" s="1"/>
  <c r="A373" i="2"/>
  <c r="K373" i="2" s="1"/>
  <c r="A242" i="2"/>
  <c r="K242" i="2" s="1"/>
  <c r="A504" i="2"/>
  <c r="K504" i="2" s="1"/>
  <c r="A310" i="2"/>
  <c r="K310" i="2" s="1"/>
  <c r="A376" i="2"/>
  <c r="K376" i="2" s="1"/>
  <c r="A167" i="2"/>
  <c r="K167" i="2" s="1"/>
  <c r="A487" i="2"/>
  <c r="K487" i="2" s="1"/>
  <c r="A483" i="2"/>
  <c r="K483" i="2" s="1"/>
  <c r="A150" i="2"/>
  <c r="K150" i="2" s="1"/>
  <c r="A201" i="2"/>
  <c r="K201" i="2" s="1"/>
  <c r="A364" i="2"/>
  <c r="K364" i="2" s="1"/>
  <c r="H14" i="3"/>
  <c r="H23" i="3" s="1"/>
  <c r="A10" i="2"/>
  <c r="K10" i="2" s="1"/>
  <c r="A305" i="2"/>
  <c r="K305" i="2" s="1"/>
  <c r="A132" i="2"/>
  <c r="K132" i="2" s="1"/>
  <c r="A292" i="2"/>
  <c r="K292" i="2" s="1"/>
  <c r="A600" i="2"/>
  <c r="K600" i="2" s="1"/>
  <c r="A499" i="2"/>
  <c r="K499" i="2" s="1"/>
  <c r="A617" i="2"/>
  <c r="K617" i="2" s="1"/>
  <c r="A276" i="2"/>
  <c r="K276" i="2" s="1"/>
  <c r="A390" i="2"/>
  <c r="K390" i="2" s="1"/>
  <c r="A137" i="2"/>
  <c r="K137" i="2" s="1"/>
  <c r="A638" i="2"/>
  <c r="K638" i="2" s="1"/>
  <c r="A271" i="2"/>
  <c r="K271" i="2" s="1"/>
  <c r="A584" i="2"/>
  <c r="K584" i="2" s="1"/>
  <c r="A419" i="2"/>
  <c r="K419" i="2" s="1"/>
  <c r="A426" i="2"/>
  <c r="K426" i="2" s="1"/>
  <c r="A85" i="2"/>
  <c r="K85" i="2" s="1"/>
  <c r="A503" i="2"/>
  <c r="K503" i="2" s="1"/>
  <c r="A197" i="2"/>
  <c r="K197" i="2" s="1"/>
  <c r="A631" i="2"/>
  <c r="K631" i="2" s="1"/>
  <c r="A408" i="2"/>
  <c r="K408" i="2" s="1"/>
  <c r="A397" i="2"/>
  <c r="K397" i="2" s="1"/>
  <c r="A303" i="2"/>
  <c r="K303" i="2" s="1"/>
  <c r="A407" i="2"/>
  <c r="K407" i="2" s="1"/>
  <c r="A639" i="2"/>
  <c r="K639" i="2" s="1"/>
  <c r="A449" i="2"/>
  <c r="K449" i="2" s="1"/>
  <c r="A110" i="2"/>
  <c r="K110" i="2" s="1"/>
  <c r="A421" i="2"/>
  <c r="K421" i="2" s="1"/>
  <c r="A434" i="2"/>
  <c r="K434" i="2" s="1"/>
  <c r="A36" i="2"/>
  <c r="K36" i="2" s="1"/>
  <c r="A313" i="2"/>
  <c r="K313" i="2" s="1"/>
  <c r="A507" i="2"/>
  <c r="K507" i="2" s="1"/>
  <c r="A568" i="2"/>
  <c r="K568" i="2" s="1"/>
  <c r="A552" i="2"/>
  <c r="K552" i="2" s="1"/>
  <c r="A268" i="2"/>
  <c r="K268" i="2" s="1"/>
  <c r="A478" i="2"/>
  <c r="K478" i="2" s="1"/>
  <c r="A38" i="2"/>
  <c r="K38" i="2" s="1"/>
  <c r="A556" i="2"/>
  <c r="K556" i="2" s="1"/>
  <c r="A251" i="2"/>
  <c r="K251" i="2" s="1"/>
  <c r="A7" i="2"/>
  <c r="K7" i="2" s="1"/>
  <c r="A477" i="2"/>
  <c r="K477" i="2" s="1"/>
  <c r="A311" i="2"/>
  <c r="K311" i="2" s="1"/>
  <c r="A56" i="2"/>
  <c r="K56" i="2" s="1"/>
  <c r="A175" i="2"/>
  <c r="K175" i="2" s="1"/>
  <c r="A257" i="2"/>
  <c r="K257" i="2" s="1"/>
  <c r="A225" i="2"/>
  <c r="K225" i="2" s="1"/>
  <c r="A363" i="2"/>
  <c r="K363" i="2" s="1"/>
  <c r="A484" i="2"/>
  <c r="K484" i="2" s="1"/>
  <c r="A314" i="2"/>
  <c r="K314" i="2" s="1"/>
  <c r="A211" i="2"/>
  <c r="K211" i="2" s="1"/>
  <c r="H42" i="3" l="1"/>
</calcChain>
</file>

<file path=xl/sharedStrings.xml><?xml version="1.0" encoding="utf-8"?>
<sst xmlns="http://schemas.openxmlformats.org/spreadsheetml/2006/main" count="10147" uniqueCount="761">
  <si>
    <t>Hitting</t>
  </si>
  <si>
    <t>Points</t>
  </si>
  <si>
    <t>Category</t>
  </si>
  <si>
    <t>Pitching</t>
  </si>
  <si>
    <t>Players Selected Over Replacement</t>
  </si>
  <si>
    <t>AB</t>
  </si>
  <si>
    <t>IP</t>
  </si>
  <si>
    <t>1B</t>
  </si>
  <si>
    <t>MAX=40</t>
  </si>
  <si>
    <t>R</t>
  </si>
  <si>
    <t>ERA</t>
  </si>
  <si>
    <t>2B</t>
  </si>
  <si>
    <t>MAX=37</t>
  </si>
  <si>
    <t>HR</t>
  </si>
  <si>
    <t>WHIP</t>
  </si>
  <si>
    <t>3B</t>
  </si>
  <si>
    <t>MAX=33</t>
  </si>
  <si>
    <t>RBI</t>
  </si>
  <si>
    <t>K</t>
  </si>
  <si>
    <t>C</t>
  </si>
  <si>
    <t>MAX=35</t>
  </si>
  <si>
    <t>SB</t>
  </si>
  <si>
    <t>W</t>
  </si>
  <si>
    <t>OF</t>
  </si>
  <si>
    <t>MAX=129</t>
  </si>
  <si>
    <t>AVG</t>
  </si>
  <si>
    <t>SV</t>
  </si>
  <si>
    <t>SS</t>
  </si>
  <si>
    <t>MAX=32</t>
  </si>
  <si>
    <t>OBP</t>
  </si>
  <si>
    <t>ER</t>
  </si>
  <si>
    <t>SP</t>
  </si>
  <si>
    <t>MAX=154</t>
  </si>
  <si>
    <t>H</t>
  </si>
  <si>
    <t>RP</t>
  </si>
  <si>
    <t>MAX=94</t>
  </si>
  <si>
    <t>BB</t>
  </si>
  <si>
    <t>Teams</t>
  </si>
  <si>
    <t>Teams in league</t>
  </si>
  <si>
    <t>G</t>
  </si>
  <si>
    <t>SO</t>
  </si>
  <si>
    <t>GS</t>
  </si>
  <si>
    <t>Type</t>
  </si>
  <si>
    <t>Categories</t>
  </si>
  <si>
    <t>“Points” or “Categories”</t>
  </si>
  <si>
    <t>SLG</t>
  </si>
  <si>
    <t>L</t>
  </si>
  <si>
    <t>OPS</t>
  </si>
  <si>
    <t>QS</t>
  </si>
  <si>
    <t>Positions</t>
  </si>
  <si>
    <t>1B + 3B</t>
  </si>
  <si>
    <t>CS</t>
  </si>
  <si>
    <t>HOLDS</t>
  </si>
  <si>
    <t>“Yes” or “No” to combine</t>
  </si>
  <si>
    <t>2B + SS</t>
  </si>
  <si>
    <t>BS</t>
  </si>
  <si>
    <t>SP + RP</t>
  </si>
  <si>
    <t>Rank</t>
  </si>
  <si>
    <t>Player</t>
  </si>
  <si>
    <t>Team</t>
  </si>
  <si>
    <t>League</t>
  </si>
  <si>
    <t>Position</t>
  </si>
  <si>
    <t>FP</t>
  </si>
  <si>
    <t>SD</t>
  </si>
  <si>
    <t>VORP</t>
  </si>
  <si>
    <t>ADP</t>
  </si>
  <si>
    <t>Diff</t>
  </si>
  <si>
    <t>Aaron Judge</t>
  </si>
  <si>
    <t>NYY</t>
  </si>
  <si>
    <t>AL</t>
  </si>
  <si>
    <t>Julio Rodriguez</t>
  </si>
  <si>
    <t>SEA</t>
  </si>
  <si>
    <t>Ronald Acuna</t>
  </si>
  <si>
    <t>ATL</t>
  </si>
  <si>
    <t>NL</t>
  </si>
  <si>
    <t>Jose Ramirez</t>
  </si>
  <si>
    <t>CLE</t>
  </si>
  <si>
    <t>Kyle Tucker</t>
  </si>
  <si>
    <t>HOU</t>
  </si>
  <si>
    <t>Yordan Alvarez</t>
  </si>
  <si>
    <t>Mookie Betts</t>
  </si>
  <si>
    <t>LAD</t>
  </si>
  <si>
    <t>Juan Soto</t>
  </si>
  <si>
    <t>Shohei Ohtani</t>
  </si>
  <si>
    <t>LAA</t>
  </si>
  <si>
    <t>Jacob deGrom</t>
  </si>
  <si>
    <t>TEX</t>
  </si>
  <si>
    <t>Michael Harris</t>
  </si>
  <si>
    <t>Manny Machado</t>
  </si>
  <si>
    <t>Mike Trout</t>
  </si>
  <si>
    <t>Trea Turner</t>
  </si>
  <si>
    <t>PHI</t>
  </si>
  <si>
    <t>Gerrit Cole</t>
  </si>
  <si>
    <t>Vladimir Guerrero</t>
  </si>
  <si>
    <t>TOR</t>
  </si>
  <si>
    <t>NYM</t>
  </si>
  <si>
    <t>Corbin Burnes</t>
  </si>
  <si>
    <t>MIL</t>
  </si>
  <si>
    <t>Cedric Mullins</t>
  </si>
  <si>
    <t>BAL</t>
  </si>
  <si>
    <t>Randy Arozarena</t>
  </si>
  <si>
    <t>TB</t>
  </si>
  <si>
    <t>Rafael Devers</t>
  </si>
  <si>
    <t>BOS</t>
  </si>
  <si>
    <t>Carlos Rodon</t>
  </si>
  <si>
    <t>Freddie Freeman</t>
  </si>
  <si>
    <t>Austin Riley</t>
  </si>
  <si>
    <t>Justin Verlander</t>
  </si>
  <si>
    <t>Starling Marte</t>
  </si>
  <si>
    <t>Emmanuel Clase</t>
  </si>
  <si>
    <t>Max Scherzer</t>
  </si>
  <si>
    <t>Spencer Strider</t>
  </si>
  <si>
    <t>DH</t>
  </si>
  <si>
    <t>Luis Robert</t>
  </si>
  <si>
    <t>CWS</t>
  </si>
  <si>
    <t>Shane McClanahan</t>
  </si>
  <si>
    <t>Bobby Witt</t>
  </si>
  <si>
    <t>KC</t>
  </si>
  <si>
    <t>George Springer</t>
  </si>
  <si>
    <t>Jake McCarthy</t>
  </si>
  <si>
    <t>ARI</t>
  </si>
  <si>
    <t>Aaron Nola</t>
  </si>
  <si>
    <t>Nolan Arenado</t>
  </si>
  <si>
    <t>STL</t>
  </si>
  <si>
    <t>Bo Bichette</t>
  </si>
  <si>
    <t>Kyle Schwarber</t>
  </si>
  <si>
    <t>Fernando Tatis</t>
  </si>
  <si>
    <t>Pete Alonso</t>
  </si>
  <si>
    <t>Brandon Woodruff</t>
  </si>
  <si>
    <t>J.T. Realmuto</t>
  </si>
  <si>
    <t>Adolis Garcia</t>
  </si>
  <si>
    <t>Teoscar Hernandez</t>
  </si>
  <si>
    <t>Paul Goldschmidt</t>
  </si>
  <si>
    <t>Sandy Alcantara</t>
  </si>
  <si>
    <t>MIA</t>
  </si>
  <si>
    <t>Eloy Jimenez</t>
  </si>
  <si>
    <t>Bryan Reynolds</t>
  </si>
  <si>
    <t>PIT</t>
  </si>
  <si>
    <t>Shane Bieber</t>
  </si>
  <si>
    <t>Esteury Ruiz</t>
  </si>
  <si>
    <t>OAK</t>
  </si>
  <si>
    <t>Steven Kwan</t>
  </si>
  <si>
    <t>Daulton Varsho</t>
  </si>
  <si>
    <t>Yu Darvish</t>
  </si>
  <si>
    <t>Zack Wheeler</t>
  </si>
  <si>
    <t>Jose Altuve</t>
  </si>
  <si>
    <t>Dylan Cease</t>
  </si>
  <si>
    <t>Kevin Gausman</t>
  </si>
  <si>
    <t>Marcus Semien</t>
  </si>
  <si>
    <t>Tyler O'Neill</t>
  </si>
  <si>
    <t>Julio Urias</t>
  </si>
  <si>
    <t>Max Fried</t>
  </si>
  <si>
    <t>Cristian Javier</t>
  </si>
  <si>
    <t>Luis Severino</t>
  </si>
  <si>
    <t>Clayton Kershaw</t>
  </si>
  <si>
    <t>Byron Buxton</t>
  </si>
  <si>
    <t>MIN</t>
  </si>
  <si>
    <t>Seiya Suzuki</t>
  </si>
  <si>
    <t>CHC</t>
  </si>
  <si>
    <t>Will Smith</t>
  </si>
  <si>
    <t>Jazz Chisholm</t>
  </si>
  <si>
    <t>Jordan Romano</t>
  </si>
  <si>
    <t>Zac Gallen</t>
  </si>
  <si>
    <t>Framber Valdez</t>
  </si>
  <si>
    <t>Salvador Perez</t>
  </si>
  <si>
    <t>Christian Yelich</t>
  </si>
  <si>
    <t>Anthony Santander</t>
  </si>
  <si>
    <t>Tyler Glasnow</t>
  </si>
  <si>
    <t>Taylor Ward</t>
  </si>
  <si>
    <t>Alek Manoah</t>
  </si>
  <si>
    <t>Nestor Cortes</t>
  </si>
  <si>
    <t>Joe Musgrove</t>
  </si>
  <si>
    <t>Josh Hader</t>
  </si>
  <si>
    <t>Giancarlo Stanton</t>
  </si>
  <si>
    <t>Devin Williams</t>
  </si>
  <si>
    <t>Kris Bryant</t>
  </si>
  <si>
    <t>COL</t>
  </si>
  <si>
    <t>Luis Castillo</t>
  </si>
  <si>
    <t>Corbin Carroll</t>
  </si>
  <si>
    <t>Triston McKenzie</t>
  </si>
  <si>
    <t>Matt Olson</t>
  </si>
  <si>
    <t>Ryan Pressly</t>
  </si>
  <si>
    <t>Ryan Helsley</t>
  </si>
  <si>
    <t>Tim Anderson</t>
  </si>
  <si>
    <t>Alex Verdugo</t>
  </si>
  <si>
    <t>Alex Bregman</t>
  </si>
  <si>
    <t>Andres Gimenez</t>
  </si>
  <si>
    <t>Nick Castellanos</t>
  </si>
  <si>
    <t>Raisel Iglesias</t>
  </si>
  <si>
    <t>Robbie Ray</t>
  </si>
  <si>
    <t>Ian Happ</t>
  </si>
  <si>
    <t>Masataka Yoshida</t>
  </si>
  <si>
    <t>Tommy Edman</t>
  </si>
  <si>
    <t>Jeffrey Springs</t>
  </si>
  <si>
    <t>Brandon Nimmo</t>
  </si>
  <si>
    <t>Hunter Renfroe</t>
  </si>
  <si>
    <t>Ozzie Albies</t>
  </si>
  <si>
    <t>Felix Bautista</t>
  </si>
  <si>
    <t>Alejandro Kirk</t>
  </si>
  <si>
    <t>Vaughn Grissom</t>
  </si>
  <si>
    <t>MJ Melendez</t>
  </si>
  <si>
    <t>Joe Ryan</t>
  </si>
  <si>
    <t>Francisco Lindor</t>
  </si>
  <si>
    <t>Ryan McMahon</t>
  </si>
  <si>
    <t>Oscar Gonzalez</t>
  </si>
  <si>
    <t>Harrison Bader</t>
  </si>
  <si>
    <t>Oneil Cruz</t>
  </si>
  <si>
    <t>Chris Bassitt</t>
  </si>
  <si>
    <t>Adley Rutschman</t>
  </si>
  <si>
    <t>Dansby Swanson</t>
  </si>
  <si>
    <t>George Kirby</t>
  </si>
  <si>
    <t>Corey Seager</t>
  </si>
  <si>
    <t>Charlie Blackmon</t>
  </si>
  <si>
    <t>Gunnar Henderson</t>
  </si>
  <si>
    <t>Lance Lynn</t>
  </si>
  <si>
    <t>Lourdes Gurriel</t>
  </si>
  <si>
    <t>Mitch Haniger</t>
  </si>
  <si>
    <t>SF</t>
  </si>
  <si>
    <t>Andrew Benintendi</t>
  </si>
  <si>
    <t>Logan Webb</t>
  </si>
  <si>
    <t>Jhoan Duran</t>
  </si>
  <si>
    <t>Jose Abreu</t>
  </si>
  <si>
    <t>Hunter Greene</t>
  </si>
  <si>
    <t>CIN</t>
  </si>
  <si>
    <t>Blake Snell</t>
  </si>
  <si>
    <t>Logan Gilbert</t>
  </si>
  <si>
    <t>Xander Bogaerts</t>
  </si>
  <si>
    <t>C.J. Cron</t>
  </si>
  <si>
    <t>Ke'Bryan Hayes</t>
  </si>
  <si>
    <t>Randal Grichuk</t>
  </si>
  <si>
    <t>Tony Gonsolin</t>
  </si>
  <si>
    <t>Nick Lodolo</t>
  </si>
  <si>
    <t>Jordan Montgomery</t>
  </si>
  <si>
    <t>Nathaniel Lowe</t>
  </si>
  <si>
    <t>Tyler Stephenson</t>
  </si>
  <si>
    <t>Austin Hays</t>
  </si>
  <si>
    <t>Kyle Wright</t>
  </si>
  <si>
    <t>Andres Munoz</t>
  </si>
  <si>
    <t>Chris Sale</t>
  </si>
  <si>
    <t>Gleyber Torres</t>
  </si>
  <si>
    <t>Charlie Morton</t>
  </si>
  <si>
    <t>Liam Hendriks</t>
  </si>
  <si>
    <t>Matt Chapman</t>
  </si>
  <si>
    <t>Willy Adames</t>
  </si>
  <si>
    <t>Pablo Lopez</t>
  </si>
  <si>
    <t>Jordan Walker</t>
  </si>
  <si>
    <t>Amed Rosario</t>
  </si>
  <si>
    <t>Willson Contreras</t>
  </si>
  <si>
    <t>Justin Turner</t>
  </si>
  <si>
    <t>Alec Bohm</t>
  </si>
  <si>
    <t>Ramon Laureano</t>
  </si>
  <si>
    <t>Yandy Diaz</t>
  </si>
  <si>
    <t>Freddy Peralta</t>
  </si>
  <si>
    <t>Dustin May</t>
  </si>
  <si>
    <t>Alex Cobb</t>
  </si>
  <si>
    <t>Paul Sewald</t>
  </si>
  <si>
    <t>Kenley Jansen</t>
  </si>
  <si>
    <t>Riley Greene</t>
  </si>
  <si>
    <t>DET</t>
  </si>
  <si>
    <t>Joc Pederson</t>
  </si>
  <si>
    <t>Vinnie Pasquantino</t>
  </si>
  <si>
    <t>Miles Mikolas</t>
  </si>
  <si>
    <t>Jonathan India</t>
  </si>
  <si>
    <t>Christian Walker</t>
  </si>
  <si>
    <t>Jake Fraley</t>
  </si>
  <si>
    <t>Jorge Polanco</t>
  </si>
  <si>
    <t>Michael Brantley</t>
  </si>
  <si>
    <t>Sean Murphy</t>
  </si>
  <si>
    <t>Brady Singer</t>
  </si>
  <si>
    <t>Pete Fairbanks</t>
  </si>
  <si>
    <t>Eugenio Suarez</t>
  </si>
  <si>
    <t>Ryan Mountcastle</t>
  </si>
  <si>
    <t>Wander Franco</t>
  </si>
  <si>
    <t>Andrew Heaney</t>
  </si>
  <si>
    <t>Hunter Brown</t>
  </si>
  <si>
    <t>Whit Merrifield</t>
  </si>
  <si>
    <t>Mike Yastrzemski</t>
  </si>
  <si>
    <t>Lucas Giolito</t>
  </si>
  <si>
    <t>Drew Rasmussen</t>
  </si>
  <si>
    <t>Michael Conforto</t>
  </si>
  <si>
    <t>Mark Canha</t>
  </si>
  <si>
    <t>Tyler Anderson</t>
  </si>
  <si>
    <t>Merrill Kelly</t>
  </si>
  <si>
    <t>Anthony Rizzo</t>
  </si>
  <si>
    <t>Ty France</t>
  </si>
  <si>
    <t>Bryson Stott</t>
  </si>
  <si>
    <t>Camilo Doval</t>
  </si>
  <si>
    <t>Trent Grisham</t>
  </si>
  <si>
    <t>Clay Holmes</t>
  </si>
  <si>
    <t>David Bednar</t>
  </si>
  <si>
    <t>Carlos Correa</t>
  </si>
  <si>
    <t>Avisail Garcia</t>
  </si>
  <si>
    <t>Dylan Carlson</t>
  </si>
  <si>
    <t>Nathan Eovaldi</t>
  </si>
  <si>
    <t>Cody Bellinger</t>
  </si>
  <si>
    <t>Sonny Gray</t>
  </si>
  <si>
    <t>Kodai Senga</t>
  </si>
  <si>
    <t>Manuel Margot</t>
  </si>
  <si>
    <t>Jon Gray</t>
  </si>
  <si>
    <t>Brandon Lowe</t>
  </si>
  <si>
    <t>Jeremy Pena</t>
  </si>
  <si>
    <t>Scott Barlow</t>
  </si>
  <si>
    <t>Brandon Drury</t>
  </si>
  <si>
    <t>TJ Friedl</t>
  </si>
  <si>
    <t>Andrew McCutchen</t>
  </si>
  <si>
    <t>Lane Thomas</t>
  </si>
  <si>
    <t>WSH</t>
  </si>
  <si>
    <t>Jean Segura</t>
  </si>
  <si>
    <t>Jesse Winker</t>
  </si>
  <si>
    <t>Jesus Luzardo</t>
  </si>
  <si>
    <t>Luis Arraez</t>
  </si>
  <si>
    <t>Austin Meadows</t>
  </si>
  <si>
    <t>J.D. Martinez</t>
  </si>
  <si>
    <t>Patrick Sandoval</t>
  </si>
  <si>
    <t>Thairo Estrada</t>
  </si>
  <si>
    <t>Lars Nootbaar</t>
  </si>
  <si>
    <t>Marcus Stroman</t>
  </si>
  <si>
    <t>Bryan De La Cruz</t>
  </si>
  <si>
    <t>Josh Bell</t>
  </si>
  <si>
    <t>Adam Wainwright</t>
  </si>
  <si>
    <t>Nico Hoerner</t>
  </si>
  <si>
    <t>Myles Straw</t>
  </si>
  <si>
    <t>Ketel Marte</t>
  </si>
  <si>
    <t>Jorge Soler</t>
  </si>
  <si>
    <t>Jeff McNeil</t>
  </si>
  <si>
    <t>Keibert Ruiz</t>
  </si>
  <si>
    <t>Adalberto Mondesi</t>
  </si>
  <si>
    <t>Akil Baddoo</t>
  </si>
  <si>
    <t>Andrew Vaughn</t>
  </si>
  <si>
    <t>Anthony Rendon</t>
  </si>
  <si>
    <t>Brendan Rodgers</t>
  </si>
  <si>
    <t>Giovanny Gallegos</t>
  </si>
  <si>
    <t>Javier Baez</t>
  </si>
  <si>
    <t>Justin Steele</t>
  </si>
  <si>
    <t>William Contreras</t>
  </si>
  <si>
    <t>Jose Urquidy</t>
  </si>
  <si>
    <t>Jose Berrios</t>
  </si>
  <si>
    <t>Ryne Nelson</t>
  </si>
  <si>
    <t>Jake Cronenworth</t>
  </si>
  <si>
    <t>Josh Naylor</t>
  </si>
  <si>
    <t>Rowdy Tellez</t>
  </si>
  <si>
    <t>Brendan Donovan</t>
  </si>
  <si>
    <t>Jose Siri</t>
  </si>
  <si>
    <t>Tyler Mahle</t>
  </si>
  <si>
    <t>Garrett Mitchell</t>
  </si>
  <si>
    <t>Jameson Taillon</t>
  </si>
  <si>
    <t>Ross Stripling</t>
  </si>
  <si>
    <t>Alexis Diaz</t>
  </si>
  <si>
    <t>Luis Garcia</t>
  </si>
  <si>
    <t>Yoan Moncada</t>
  </si>
  <si>
    <t>Jose Quintana</t>
  </si>
  <si>
    <t>Aaron Civale</t>
  </si>
  <si>
    <t>Jason Adam</t>
  </si>
  <si>
    <t>Reid Detmers</t>
  </si>
  <si>
    <t>Ezequiel Tovar</t>
  </si>
  <si>
    <t>Drew Waters</t>
  </si>
  <si>
    <t>Lance McCullers</t>
  </si>
  <si>
    <t>Trayce Thompson</t>
  </si>
  <si>
    <t>Evan Phillips</t>
  </si>
  <si>
    <t>Edward Cabrera</t>
  </si>
  <si>
    <t>Ha-Seong Kim</t>
  </si>
  <si>
    <t>Carlos Carrasco</t>
  </si>
  <si>
    <t>Taijuan Walker</t>
  </si>
  <si>
    <t>Marcell Ozuna</t>
  </si>
  <si>
    <t>A.J. Minter</t>
  </si>
  <si>
    <t>Jose Miranda</t>
  </si>
  <si>
    <t>Max Muncy</t>
  </si>
  <si>
    <t>Bryce Harper</t>
  </si>
  <si>
    <t>Edward Olivares</t>
  </si>
  <si>
    <t>Kyle Isbel</t>
  </si>
  <si>
    <t>Max Kepler</t>
  </si>
  <si>
    <t>Miguel Vargas</t>
  </si>
  <si>
    <t>Chas McCormick</t>
  </si>
  <si>
    <t>Kerry Carpenter</t>
  </si>
  <si>
    <t>Josh Jung</t>
  </si>
  <si>
    <t>Sean Manaea</t>
  </si>
  <si>
    <t>Wil Myers</t>
  </si>
  <si>
    <t>Danny Jansen</t>
  </si>
  <si>
    <t>Eduardo Rodriguez</t>
  </si>
  <si>
    <t>Brandon Marsh</t>
  </si>
  <si>
    <t>Enrique Hernandez</t>
  </si>
  <si>
    <t>Josh Rojas</t>
  </si>
  <si>
    <t>Daniel Bard</t>
  </si>
  <si>
    <t>Travis d'Arnaud</t>
  </si>
  <si>
    <t>Ranger Suarez</t>
  </si>
  <si>
    <t>Jeimer Candelario</t>
  </si>
  <si>
    <t>Trevor Rogers</t>
  </si>
  <si>
    <t>Leody Taveras</t>
  </si>
  <si>
    <t>Martin Perez</t>
  </si>
  <si>
    <t>Eric Lauer</t>
  </si>
  <si>
    <t>Kolten Wong</t>
  </si>
  <si>
    <t>Nick Martinez</t>
  </si>
  <si>
    <t>Eddie Rosario</t>
  </si>
  <si>
    <t>Grayson Rodriguez</t>
  </si>
  <si>
    <t>Shea Langeliers</t>
  </si>
  <si>
    <t>Jarred Kelenic</t>
  </si>
  <si>
    <t>Jurickson Profar</t>
  </si>
  <si>
    <t>Oscar Colas</t>
  </si>
  <si>
    <t>Yonathan Daza</t>
  </si>
  <si>
    <t>Joey Meneses</t>
  </si>
  <si>
    <t>Bailey Ober</t>
  </si>
  <si>
    <t>Tyrone Taylor</t>
  </si>
  <si>
    <t>Eduardo Escobar</t>
  </si>
  <si>
    <t>Joey Wendle</t>
  </si>
  <si>
    <t>Spencer Steer</t>
  </si>
  <si>
    <t>Christopher Morel</t>
  </si>
  <si>
    <t>Jack Flaherty</t>
  </si>
  <si>
    <t>Robert Suarez</t>
  </si>
  <si>
    <t>Zach Eflin</t>
  </si>
  <si>
    <t>Cal Raleigh</t>
  </si>
  <si>
    <t>David Peterson</t>
  </si>
  <si>
    <t>Garrett Whitlock</t>
  </si>
  <si>
    <t>Juan Yepez</t>
  </si>
  <si>
    <t>David Peralta</t>
  </si>
  <si>
    <t>Luis Urias</t>
  </si>
  <si>
    <t>Christian Vazquez</t>
  </si>
  <si>
    <t>Nick Senzel</t>
  </si>
  <si>
    <t>Daniel Hudson</t>
  </si>
  <si>
    <t>Nick Gordon</t>
  </si>
  <si>
    <t>Adam Duvall</t>
  </si>
  <si>
    <t>Jack Suwinski</t>
  </si>
  <si>
    <t>Chris Taylor</t>
  </si>
  <si>
    <t>DJ LeMahieu</t>
  </si>
  <si>
    <t>Cal Quantrill</t>
  </si>
  <si>
    <t>Gavin Sheets</t>
  </si>
  <si>
    <t>Elly De La Cruz</t>
  </si>
  <si>
    <t>Alex Wood</t>
  </si>
  <si>
    <t>Kenta Maeda</t>
  </si>
  <si>
    <t>Joey Gallo</t>
  </si>
  <si>
    <t>Alex Kirilloff</t>
  </si>
  <si>
    <t>Marco Gonzales</t>
  </si>
  <si>
    <t>Noah Syndergaard</t>
  </si>
  <si>
    <t>Collin McHugh</t>
  </si>
  <si>
    <t>Roansy Contreras</t>
  </si>
  <si>
    <t>Oswaldo Cabrera</t>
  </si>
  <si>
    <t>German Marquez</t>
  </si>
  <si>
    <t>Jared Walsh</t>
  </si>
  <si>
    <t>Mike Clevinger</t>
  </si>
  <si>
    <t>Bubba Thompson</t>
  </si>
  <si>
    <t>Erik Swanson</t>
  </si>
  <si>
    <t>Matthew Boyd</t>
  </si>
  <si>
    <t>Domingo German</t>
  </si>
  <si>
    <t>Ken Waldichuk</t>
  </si>
  <si>
    <t>Craig Kimbrel</t>
  </si>
  <si>
    <t>Jonah Heim</t>
  </si>
  <si>
    <t>Taylor Rogers</t>
  </si>
  <si>
    <t>Josh Donaldson</t>
  </si>
  <si>
    <t>Ji Hwan Bae</t>
  </si>
  <si>
    <t>Gio Urshela</t>
  </si>
  <si>
    <t>Cole Irvin</t>
  </si>
  <si>
    <t>Brandon Hughes</t>
  </si>
  <si>
    <t>Kyle Stowers</t>
  </si>
  <si>
    <t>Elias Diaz</t>
  </si>
  <si>
    <t>Mitch Keller</t>
  </si>
  <si>
    <t>Tarik Skubal</t>
  </si>
  <si>
    <t>James Outman</t>
  </si>
  <si>
    <t>Brett Baty</t>
  </si>
  <si>
    <t>Victor Robles</t>
  </si>
  <si>
    <t>Steven Matz</t>
  </si>
  <si>
    <t>Austin Slater</t>
  </si>
  <si>
    <t>Corey Dickerson</t>
  </si>
  <si>
    <t>Tommy Pham</t>
  </si>
  <si>
    <t>Jorge Lopez</t>
  </si>
  <si>
    <t>JT Brubaker</t>
  </si>
  <si>
    <t>Kyle Gibson</t>
  </si>
  <si>
    <t>Penn Murfee</t>
  </si>
  <si>
    <t>Michael Massey</t>
  </si>
  <si>
    <t>Aaron Ashby</t>
  </si>
  <si>
    <t>Robbie Grossman</t>
  </si>
  <si>
    <t>Seth Brown</t>
  </si>
  <si>
    <t>Adrian Morejon</t>
  </si>
  <si>
    <t>AJ Pollock</t>
  </si>
  <si>
    <t>Michael Wacha</t>
  </si>
  <si>
    <t>CJ Abrams</t>
  </si>
  <si>
    <t>Triston Casas</t>
  </si>
  <si>
    <t>Nick Pivetta</t>
  </si>
  <si>
    <t>Matt Vierling</t>
  </si>
  <si>
    <t>Jonathan Schoop</t>
  </si>
  <si>
    <t>Chris Martin</t>
  </si>
  <si>
    <t>Chad Green</t>
  </si>
  <si>
    <t>Diego Castillo</t>
  </si>
  <si>
    <t>Tyler Wells</t>
  </si>
  <si>
    <t>Kevin Kiermaier</t>
  </si>
  <si>
    <t>Austin Nola</t>
  </si>
  <si>
    <t>Brayan Bello</t>
  </si>
  <si>
    <t>Evan Longoria</t>
  </si>
  <si>
    <t>Trey Mancini</t>
  </si>
  <si>
    <t>Gabriel Moreno</t>
  </si>
  <si>
    <t>James Karinchak</t>
  </si>
  <si>
    <t>Will Brennan</t>
  </si>
  <si>
    <t>Eli Morgan</t>
  </si>
  <si>
    <t>Wilmer Flores</t>
  </si>
  <si>
    <t>Logan O'Hoppe</t>
  </si>
  <si>
    <t>Caleb Thielbar</t>
  </si>
  <si>
    <t>Corey Kluber</t>
  </si>
  <si>
    <t>Alex Vesia</t>
  </si>
  <si>
    <t>Dean Kremer</t>
  </si>
  <si>
    <t>Cody Morris</t>
  </si>
  <si>
    <t>Michael A. Taylor</t>
  </si>
  <si>
    <t>Hunter Dozier</t>
  </si>
  <si>
    <t>Jose Leclerc</t>
  </si>
  <si>
    <t>Garrett Cooper</t>
  </si>
  <si>
    <t>Brusdar Graterol</t>
  </si>
  <si>
    <t>Nick Fortes</t>
  </si>
  <si>
    <t>Sean Bouchard</t>
  </si>
  <si>
    <t>Reynaldo Lopez</t>
  </si>
  <si>
    <t>Adam Ottavino</t>
  </si>
  <si>
    <t>Dylan Lee</t>
  </si>
  <si>
    <t>Brandon Crawford</t>
  </si>
  <si>
    <t>Eric Hosmer</t>
  </si>
  <si>
    <t>Jose Trevino</t>
  </si>
  <si>
    <t>Johnny Cueto</t>
  </si>
  <si>
    <t>Kendall Graveman</t>
  </si>
  <si>
    <t>Hector Neris</t>
  </si>
  <si>
    <t>Nate Eaton</t>
  </si>
  <si>
    <t>Ron Marinaccio</t>
  </si>
  <si>
    <t>Adam Frazier</t>
  </si>
  <si>
    <t>Michael King</t>
  </si>
  <si>
    <t>Paul Blackburn</t>
  </si>
  <si>
    <t>Christian Bethancourt</t>
  </si>
  <si>
    <t>Zach Plesac</t>
  </si>
  <si>
    <t>Isaac Paredes</t>
  </si>
  <si>
    <t>Tanner Houck</t>
  </si>
  <si>
    <t>Eric Haase</t>
  </si>
  <si>
    <t>Seth Lugo</t>
  </si>
  <si>
    <t>Drew Smyly</t>
  </si>
  <si>
    <t>Rafael Montero</t>
  </si>
  <si>
    <t>Seranthony Dominguez</t>
  </si>
  <si>
    <t>Luis Rengifo</t>
  </si>
  <si>
    <t>David Robertson</t>
  </si>
  <si>
    <t>Andrew Chafin</t>
  </si>
  <si>
    <t>Brock Burke</t>
  </si>
  <si>
    <t>J.D. Davis</t>
  </si>
  <si>
    <t>Anthony Bass</t>
  </si>
  <si>
    <t>JP Sears</t>
  </si>
  <si>
    <t>Yasmani Grandal</t>
  </si>
  <si>
    <t>Trevor May</t>
  </si>
  <si>
    <t>Danny Duffy</t>
  </si>
  <si>
    <t>Michael Kopech</t>
  </si>
  <si>
    <t>Dylan Floro</t>
  </si>
  <si>
    <t>Bailey Falter</t>
  </si>
  <si>
    <t>Tylor Megill</t>
  </si>
  <si>
    <t>Nick Maton</t>
  </si>
  <si>
    <t>Ramon Urias</t>
  </si>
  <si>
    <t>Jon Berti</t>
  </si>
  <si>
    <t>Tony Kemp</t>
  </si>
  <si>
    <t>Bryan Abreu</t>
  </si>
  <si>
    <t>Zack Greinke</t>
  </si>
  <si>
    <t>Santiago Espinal</t>
  </si>
  <si>
    <t>Graham Ashcraft</t>
  </si>
  <si>
    <t>John Schreiber</t>
  </si>
  <si>
    <t>Elvis Andrus</t>
  </si>
  <si>
    <t>James Paxton</t>
  </si>
  <si>
    <t>Rich Hill</t>
  </si>
  <si>
    <t>Braxton Garrett</t>
  </si>
  <si>
    <t>Jose Suarez</t>
  </si>
  <si>
    <t>Kyle Finnegan</t>
  </si>
  <si>
    <t>Alex Lange</t>
  </si>
  <si>
    <t>Trevor Story</t>
  </si>
  <si>
    <t>Yimi Garcia</t>
  </si>
  <si>
    <t>Cal Mitchell</t>
  </si>
  <si>
    <t>Rodolfo Castro</t>
  </si>
  <si>
    <t>Yusei Kikuchi</t>
  </si>
  <si>
    <t>Jace Peterson</t>
  </si>
  <si>
    <t>Yan Gomes</t>
  </si>
  <si>
    <t>Jesus Sanchez</t>
  </si>
  <si>
    <t>Aaron Hicks</t>
  </si>
  <si>
    <t>A.J. Puk</t>
  </si>
  <si>
    <t>Carson Kelly</t>
  </si>
  <si>
    <t>Brian Anderson</t>
  </si>
  <si>
    <t>Jose Alvarado</t>
  </si>
  <si>
    <t>Jimmy Herget</t>
  </si>
  <si>
    <t>Kyle Bradish</t>
  </si>
  <si>
    <t>Colin Poche</t>
  </si>
  <si>
    <t>Trevor Stephan</t>
  </si>
  <si>
    <t>Adbert Alzolay</t>
  </si>
  <si>
    <t>Nelson Cruz</t>
  </si>
  <si>
    <t>Isiah Kiner-Falefa</t>
  </si>
  <si>
    <t>Jovani Moran</t>
  </si>
  <si>
    <t>Josiah Gray</t>
  </si>
  <si>
    <t>Nicky Lopez</t>
  </si>
  <si>
    <t>Jesus Aguilar</t>
  </si>
  <si>
    <t>Hunter Harvey</t>
  </si>
  <si>
    <t>Steven Okert</t>
  </si>
  <si>
    <t>Nate Pearson</t>
  </si>
  <si>
    <t>Chris Flexen</t>
  </si>
  <si>
    <t>Joey Bart</t>
  </si>
  <si>
    <t>Carlos Santana</t>
  </si>
  <si>
    <t>Christian Arroyo</t>
  </si>
  <si>
    <t>J.P. Crawford</t>
  </si>
  <si>
    <t>Endy Rodriguez</t>
  </si>
  <si>
    <t>Patrick Wisdom</t>
  </si>
  <si>
    <t>Andrew Painter</t>
  </si>
  <si>
    <t>Luis Campusano</t>
  </si>
  <si>
    <t>Jonathan Loaisiga</t>
  </si>
  <si>
    <t>Aroldis Chapman</t>
  </si>
  <si>
    <t>Brooks Raley</t>
  </si>
  <si>
    <t>DL Hall</t>
  </si>
  <si>
    <t>Jacob Stallings</t>
  </si>
  <si>
    <t>Jalen Beeks</t>
  </si>
  <si>
    <t>Matt Bush</t>
  </si>
  <si>
    <t>Garrett Cleavinger</t>
  </si>
  <si>
    <t>Alex Call</t>
  </si>
  <si>
    <t>Joey Votto</t>
  </si>
  <si>
    <t>Nolan Jones</t>
  </si>
  <si>
    <t>Matt Brash</t>
  </si>
  <si>
    <t>Kyle Hendricks</t>
  </si>
  <si>
    <t>Spencer Turnbull</t>
  </si>
  <si>
    <t>Adam Engel</t>
  </si>
  <si>
    <t>Kyle Muller</t>
  </si>
  <si>
    <t>Emmanuel Rivera</t>
  </si>
  <si>
    <t>Gregory Soto</t>
  </si>
  <si>
    <t>Spencer Torkelson</t>
  </si>
  <si>
    <t>Francisco Mejia</t>
  </si>
  <si>
    <t>Dylan Coleman</t>
  </si>
  <si>
    <t>Brandon Belt</t>
  </si>
  <si>
    <t>Jake Odorizzi</t>
  </si>
  <si>
    <t>Nolan Gorman</t>
  </si>
  <si>
    <t>Reese McGuire</t>
  </si>
  <si>
    <t>Stone Garrett</t>
  </si>
  <si>
    <t>Rob Refsnyder</t>
  </si>
  <si>
    <t>Mike Zunino</t>
  </si>
  <si>
    <t>Dylan Moore</t>
  </si>
  <si>
    <t>Dominic Smith</t>
  </si>
  <si>
    <t>David Villar</t>
  </si>
  <si>
    <t>Ryan Tepera</t>
  </si>
  <si>
    <t>Omar Narvaez</t>
  </si>
  <si>
    <t>Jake Meyers</t>
  </si>
  <si>
    <t>Enyel De Los Santos</t>
  </si>
  <si>
    <t>Brad Miller</t>
  </si>
  <si>
    <t>Michael Lorenzen</t>
  </si>
  <si>
    <t>Jorge Alfaro</t>
  </si>
  <si>
    <t>Brice Turang</t>
  </si>
  <si>
    <t>Luke Voit</t>
  </si>
  <si>
    <t>Drew Rucinski</t>
  </si>
  <si>
    <t>Jonathan Aranda</t>
  </si>
  <si>
    <t>Jordan Lyles</t>
  </si>
  <si>
    <t>Jose Iglesias</t>
  </si>
  <si>
    <t>James Kaprielian</t>
  </si>
  <si>
    <t>Aledmys Diaz</t>
  </si>
  <si>
    <t>Alek Thomas</t>
  </si>
  <si>
    <t>Ezequiel Duran</t>
  </si>
  <si>
    <t>Tom Murphy</t>
  </si>
  <si>
    <t>Bo Naylor</t>
  </si>
  <si>
    <t>Victor Caratini</t>
  </si>
  <si>
    <t>Kyle Freeland</t>
  </si>
  <si>
    <t>Martin Maldonado</t>
  </si>
  <si>
    <t>Ji-Man Choi</t>
  </si>
  <si>
    <t>Tanner Scott</t>
  </si>
  <si>
    <t>MacKenzie Gore</t>
  </si>
  <si>
    <t>Miguel Rojas</t>
  </si>
  <si>
    <t>Oswald Peraza</t>
  </si>
  <si>
    <t>Dane Dunning</t>
  </si>
  <si>
    <t>Emilio Pagan</t>
  </si>
  <si>
    <t>Josh Lowe</t>
  </si>
  <si>
    <t>James McCann</t>
  </si>
  <si>
    <t>Franmil Reyes</t>
  </si>
  <si>
    <t>Jose Azocar</t>
  </si>
  <si>
    <t>Elehuris Montero</t>
  </si>
  <si>
    <t>Luis Guillorme</t>
  </si>
  <si>
    <t>Kevin Newman</t>
  </si>
  <si>
    <t>Max Stassi</t>
  </si>
  <si>
    <t>Nelson Velazquez</t>
  </si>
  <si>
    <t>Austin Barnes</t>
  </si>
  <si>
    <t>David Fletcher</t>
  </si>
  <si>
    <t>Jake Alu</t>
  </si>
  <si>
    <t>Nick Solak</t>
  </si>
  <si>
    <t>Kyle Farmer</t>
  </si>
  <si>
    <t>Madison Bumgarner</t>
  </si>
  <si>
    <t>Sam Haggerty</t>
  </si>
  <si>
    <t>Stuart Fairchild</t>
  </si>
  <si>
    <t>Tucker Barnhart</t>
  </si>
  <si>
    <t>Donovan Solano</t>
  </si>
  <si>
    <t>Kyle Higashioka</t>
  </si>
  <si>
    <t>Carlos Estevez</t>
  </si>
  <si>
    <t>Pavin Smith</t>
  </si>
  <si>
    <t>Royce Lewis</t>
  </si>
  <si>
    <t>Ryan Jeffers</t>
  </si>
  <si>
    <t>Nick Ahmed</t>
  </si>
  <si>
    <t>Brian Serven</t>
  </si>
  <si>
    <t>Jorge Mateo</t>
  </si>
  <si>
    <t>Matt Duffy</t>
  </si>
  <si>
    <t>Trevor Larnach</t>
  </si>
  <si>
    <t>Jarren Duran</t>
  </si>
  <si>
    <t>Jake Burger</t>
  </si>
  <si>
    <t>Jordan Groshans</t>
  </si>
  <si>
    <t>Kyle Lewis</t>
  </si>
  <si>
    <t>LaMonte Wade</t>
  </si>
  <si>
    <t>Matt Mervis</t>
  </si>
  <si>
    <t>Anthony Volpe</t>
  </si>
  <si>
    <t>Tomas Nido</t>
  </si>
  <si>
    <t>Orlando Arcia</t>
  </si>
  <si>
    <t>Michael Toglia</t>
  </si>
  <si>
    <t>Curt Casali</t>
  </si>
  <si>
    <t>Connor Wong</t>
  </si>
  <si>
    <t>Ildemaro Vargas</t>
  </si>
  <si>
    <t>Matt Carpenter</t>
  </si>
  <si>
    <t>Seby Zavala</t>
  </si>
  <si>
    <t>Mitch Garver</t>
  </si>
  <si>
    <t>Jordan Luplow</t>
  </si>
  <si>
    <t>Daniel Vogelbach</t>
  </si>
  <si>
    <t>Patrick Corbin</t>
  </si>
  <si>
    <t>Mauricio Dubon</t>
  </si>
  <si>
    <t>Miguel Cabrera</t>
  </si>
  <si>
    <t>Darick Hall</t>
  </si>
  <si>
    <t>Keston Hiura</t>
  </si>
  <si>
    <t>David Hensley</t>
  </si>
  <si>
    <t>Mike Brosseau</t>
  </si>
  <si>
    <t>Dalton Guthrie</t>
  </si>
  <si>
    <t>Romy Gonzalez</t>
  </si>
  <si>
    <t>Carter Kieboom</t>
  </si>
  <si>
    <t>Edmundo Sosa</t>
  </si>
  <si>
    <t>Cesar Hernandez</t>
  </si>
  <si>
    <t>Connor Joe</t>
  </si>
  <si>
    <t>Nick Allen</t>
  </si>
  <si>
    <t>Cristian Pache</t>
  </si>
  <si>
    <t>Hanser Alberto</t>
  </si>
  <si>
    <t>Bobby Dalbec</t>
  </si>
  <si>
    <t>Cavan Biggio</t>
  </si>
  <si>
    <t>Tucupita Marcano</t>
  </si>
  <si>
    <t>Tyler Nevin</t>
  </si>
  <si>
    <t>Leury Garcia</t>
  </si>
  <si>
    <t>Tommy La Stella</t>
  </si>
  <si>
    <t>JJ Bleday</t>
  </si>
  <si>
    <t>Gabriel Arias</t>
  </si>
  <si>
    <t>Ryan Noda</t>
  </si>
  <si>
    <t>Lenyn Sosa</t>
  </si>
  <si>
    <t>Nick Pratto</t>
  </si>
  <si>
    <t>Abraham Toro</t>
  </si>
  <si>
    <t>Alan Trejo</t>
  </si>
  <si>
    <t>Paul DeJong</t>
  </si>
  <si>
    <t>Taylor Walls</t>
  </si>
  <si>
    <t>Geraldo Perdomo</t>
  </si>
  <si>
    <t>Ryan Kreidler</t>
  </si>
  <si>
    <t>Jose Barrero</t>
  </si>
  <si>
    <t>Hitters</t>
  </si>
  <si>
    <t>Total</t>
  </si>
  <si>
    <t>Pitchers</t>
  </si>
  <si>
    <t>PLAYER</t>
  </si>
  <si>
    <t>TM</t>
  </si>
  <si>
    <t>POS</t>
  </si>
  <si>
    <t>FPRank</t>
  </si>
  <si>
    <t>SDRank</t>
  </si>
  <si>
    <t>HLD</t>
  </si>
  <si>
    <t>Jonathan Hernandez</t>
  </si>
  <si>
    <t>Shohei Ohtani - P</t>
  </si>
  <si>
    <t>Yes</t>
  </si>
  <si>
    <t>Yonny Hernandez</t>
  </si>
  <si>
    <t>Brandon Pfaadt</t>
  </si>
  <si>
    <t>LG</t>
  </si>
  <si>
    <t>Luis Garcia - P</t>
  </si>
  <si>
    <t>Harold Ramirez</t>
  </si>
  <si>
    <t>Clarke Schmidt</t>
  </si>
  <si>
    <t>Kyle Harrison</t>
  </si>
  <si>
    <t>Christian Encarnacion-Strand</t>
  </si>
  <si>
    <t>Michael Fulmer</t>
  </si>
  <si>
    <t>Jose De Leon</t>
  </si>
  <si>
    <t>Shintaro Fujinami</t>
  </si>
  <si>
    <t>HITS(Cat) or 1B(Pts)</t>
  </si>
  <si>
    <t>Jared Shuster</t>
  </si>
  <si>
    <t>Mike Moustakas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</si>
</sst>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i/>
      <sz val="8"/>
      <color indexed="8"/>
      <name val="Helvetica Neue"/>
      <family val="2"/>
    </font>
    <font>
      <sz val="10"/>
      <color indexed="9"/>
      <name val="Helvetica Neue"/>
      <family val="2"/>
    </font>
    <font>
      <b/>
      <sz val="12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3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2" borderId="3" xfId="0" applyNumberFormat="1" applyFill="1" applyBorder="1">
      <alignment vertical="top" wrapText="1"/>
    </xf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right" vertical="center" wrapText="1"/>
    </xf>
    <xf numFmtId="1" fontId="0" fillId="4" borderId="5" xfId="0" applyNumberFormat="1" applyFill="1" applyBorder="1" applyAlignment="1">
      <alignment horizontal="left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right" vertical="center" wrapText="1"/>
    </xf>
    <xf numFmtId="1" fontId="0" fillId="4" borderId="6" xfId="0" applyNumberForma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right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right" vertical="center" wrapText="1"/>
    </xf>
    <xf numFmtId="1" fontId="0" fillId="6" borderId="6" xfId="0" applyNumberFormat="1" applyFill="1" applyBorder="1" applyAlignment="1">
      <alignment horizontal="left" vertical="center" wrapText="1"/>
    </xf>
    <xf numFmtId="49" fontId="0" fillId="7" borderId="6" xfId="0" applyNumberFormat="1" applyFill="1" applyBorder="1" applyAlignment="1">
      <alignment horizontal="right" vertical="center" wrapText="1"/>
    </xf>
    <xf numFmtId="1" fontId="0" fillId="7" borderId="6" xfId="0" applyNumberFormat="1" applyFill="1" applyBorder="1" applyAlignment="1">
      <alignment horizontal="left" vertical="center" wrapText="1"/>
    </xf>
    <xf numFmtId="49" fontId="0" fillId="8" borderId="6" xfId="0" applyNumberFormat="1" applyFill="1" applyBorder="1" applyAlignment="1">
      <alignment horizontal="right" vertical="center" wrapText="1"/>
    </xf>
    <xf numFmtId="1" fontId="0" fillId="8" borderId="6" xfId="0" applyNumberFormat="1" applyFill="1" applyBorder="1" applyAlignment="1">
      <alignment horizontal="left" vertical="center" wrapText="1"/>
    </xf>
    <xf numFmtId="49" fontId="0" fillId="9" borderId="6" xfId="0" applyNumberFormat="1" applyFill="1" applyBorder="1" applyAlignment="1">
      <alignment horizontal="right" vertical="center" wrapText="1"/>
    </xf>
    <xf numFmtId="1" fontId="0" fillId="9" borderId="6" xfId="0" applyNumberFormat="1" applyFill="1" applyBorder="1" applyAlignment="1">
      <alignment horizontal="left" vertical="center" wrapText="1"/>
    </xf>
    <xf numFmtId="49" fontId="0" fillId="10" borderId="6" xfId="0" applyNumberFormat="1" applyFill="1" applyBorder="1" applyAlignment="1">
      <alignment horizontal="right" vertical="center" wrapText="1"/>
    </xf>
    <xf numFmtId="1" fontId="0" fillId="10" borderId="6" xfId="0" applyNumberFormat="1" applyFill="1" applyBorder="1" applyAlignment="1">
      <alignment horizontal="left" vertical="center" wrapText="1"/>
    </xf>
    <xf numFmtId="49" fontId="4" fillId="11" borderId="6" xfId="0" applyNumberFormat="1" applyFont="1" applyFill="1" applyBorder="1" applyAlignment="1">
      <alignment horizontal="right" vertical="center" wrapText="1"/>
    </xf>
    <xf numFmtId="1" fontId="4" fillId="11" borderId="6" xfId="0" applyNumberFormat="1" applyFont="1" applyFill="1" applyBorder="1" applyAlignment="1">
      <alignment horizontal="left" vertical="center" wrapText="1"/>
    </xf>
    <xf numFmtId="49" fontId="0" fillId="12" borderId="6" xfId="0" applyNumberFormat="1" applyFill="1" applyBorder="1" applyAlignment="1">
      <alignment horizontal="right" vertical="center" wrapText="1"/>
    </xf>
    <xf numFmtId="1" fontId="0" fillId="12" borderId="6" xfId="0" applyNumberFormat="1" applyFill="1" applyBorder="1" applyAlignment="1">
      <alignment horizontal="left" vertical="center" wrapText="1"/>
    </xf>
    <xf numFmtId="49" fontId="0" fillId="13" borderId="6" xfId="0" applyNumberFormat="1" applyFill="1" applyBorder="1" applyAlignment="1">
      <alignment horizontal="right" vertical="center" wrapText="1"/>
    </xf>
    <xf numFmtId="1" fontId="0" fillId="13" borderId="6" xfId="0" applyNumberFormat="1" applyFill="1" applyBorder="1" applyAlignment="1">
      <alignment horizontal="left" vertical="center" wrapText="1"/>
    </xf>
    <xf numFmtId="49" fontId="0" fillId="2" borderId="6" xfId="0" applyNumberFormat="1" applyFill="1" applyBorder="1">
      <alignment vertical="top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right" vertical="center" wrapText="1"/>
    </xf>
    <xf numFmtId="1" fontId="0" fillId="9" borderId="7" xfId="0" applyNumberFormat="1" applyFill="1" applyBorder="1" applyAlignment="1">
      <alignment horizontal="left" vertical="center" wrapText="1"/>
    </xf>
    <xf numFmtId="164" fontId="0" fillId="2" borderId="7" xfId="0" applyNumberFormat="1" applyFill="1" applyBorder="1" applyAlignment="1">
      <alignment horizontal="right" vertical="center" wrapText="1"/>
    </xf>
    <xf numFmtId="164" fontId="0" fillId="2" borderId="7" xfId="0" applyNumberForma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49" fontId="0" fillId="9" borderId="3" xfId="0" applyNumberFormat="1" applyFill="1" applyBorder="1" applyAlignment="1">
      <alignment horizontal="right" vertical="center" wrapText="1"/>
    </xf>
    <xf numFmtId="49" fontId="0" fillId="9" borderId="3" xfId="0" applyNumberFormat="1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0" fillId="13" borderId="3" xfId="0" applyNumberFormat="1" applyFill="1" applyBorder="1" applyAlignment="1">
      <alignment horizontal="right" vertical="center" wrapText="1"/>
    </xf>
    <xf numFmtId="1" fontId="0" fillId="13" borderId="3" xfId="0" applyNumberForma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49" fontId="0" fillId="13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right" vertical="center" wrapText="1"/>
    </xf>
    <xf numFmtId="1" fontId="0" fillId="6" borderId="3" xfId="0" applyNumberFormat="1" applyFill="1" applyBorder="1" applyAlignment="1">
      <alignment horizontal="left" vertical="center" wrapText="1"/>
    </xf>
    <xf numFmtId="49" fontId="0" fillId="6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right" vertical="center" wrapText="1"/>
    </xf>
    <xf numFmtId="1" fontId="0" fillId="12" borderId="3" xfId="0" applyNumberFormat="1" applyFill="1" applyBorder="1" applyAlignment="1">
      <alignment horizontal="left" vertical="center" wrapText="1"/>
    </xf>
    <xf numFmtId="49" fontId="0" fillId="12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right" vertical="center" wrapText="1"/>
    </xf>
    <xf numFmtId="1" fontId="0" fillId="8" borderId="3" xfId="0" applyNumberFormat="1" applyFill="1" applyBorder="1" applyAlignment="1">
      <alignment horizontal="left" vertical="center" wrapText="1"/>
    </xf>
    <xf numFmtId="49" fontId="0" fillId="8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right" vertical="center" wrapText="1"/>
    </xf>
    <xf numFmtId="1" fontId="0" fillId="4" borderId="3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right" vertical="center" wrapText="1"/>
    </xf>
    <xf numFmtId="49" fontId="0" fillId="4" borderId="8" xfId="0" applyNumberFormat="1" applyFill="1" applyBorder="1" applyAlignment="1">
      <alignment horizontal="left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right" vertical="center" wrapText="1"/>
    </xf>
    <xf numFmtId="49" fontId="0" fillId="2" borderId="7" xfId="0" applyNumberForma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49" fontId="0" fillId="2" borderId="9" xfId="0" applyNumberForma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right" vertical="center" wrapText="1"/>
    </xf>
    <xf numFmtId="1" fontId="0" fillId="7" borderId="7" xfId="0" applyNumberFormat="1" applyFill="1" applyBorder="1" applyAlignment="1">
      <alignment horizontal="left" vertical="center" wrapText="1"/>
    </xf>
    <xf numFmtId="49" fontId="0" fillId="7" borderId="3" xfId="0" applyNumberFormat="1" applyFill="1" applyBorder="1" applyAlignment="1">
      <alignment horizontal="right" vertical="center" wrapText="1"/>
    </xf>
    <xf numFmtId="49" fontId="0" fillId="7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right" vertical="center" wrapText="1"/>
    </xf>
    <xf numFmtId="1" fontId="0" fillId="10" borderId="3" xfId="0" applyNumberFormat="1" applyFill="1" applyBorder="1" applyAlignment="1">
      <alignment horizontal="left" vertical="center" wrapText="1"/>
    </xf>
    <xf numFmtId="49" fontId="0" fillId="10" borderId="3" xfId="0" applyNumberFormat="1" applyFill="1" applyBorder="1" applyAlignment="1">
      <alignment horizontal="left" vertical="center" wrapText="1"/>
    </xf>
    <xf numFmtId="49" fontId="0" fillId="10" borderId="8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left" vertical="center" wrapText="1"/>
    </xf>
    <xf numFmtId="49" fontId="2" fillId="0" borderId="4" xfId="0" applyNumberFormat="1" applyFont="1" applyBorder="1">
      <alignment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8" borderId="6" xfId="0" applyNumberFormat="1" applyFill="1" applyBorder="1" applyAlignment="1">
      <alignment horizontal="center" vertical="center" wrapText="1"/>
    </xf>
    <xf numFmtId="49" fontId="0" fillId="8" borderId="10" xfId="0" applyNumberFormat="1" applyFill="1" applyBorder="1" applyAlignment="1">
      <alignment horizontal="center" vertical="center" wrapText="1"/>
    </xf>
    <xf numFmtId="49" fontId="0" fillId="8" borderId="11" xfId="0" applyNumberFormat="1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10" borderId="6" xfId="0" applyNumberFormat="1" applyFill="1" applyBorder="1" applyAlignment="1">
      <alignment horizontal="center" vertical="center" wrapText="1"/>
    </xf>
    <xf numFmtId="49" fontId="2" fillId="0" borderId="12" xfId="0" applyNumberFormat="1" applyFont="1" applyBorder="1">
      <alignment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0" fillId="2" borderId="13" xfId="0" applyNumberFormat="1" applyFill="1" applyBorder="1" applyAlignment="1">
      <alignment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5" fontId="0" fillId="2" borderId="10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>
      <alignment vertical="top" wrapText="1"/>
    </xf>
    <xf numFmtId="49" fontId="2" fillId="2" borderId="12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vertical="top"/>
    </xf>
    <xf numFmtId="1" fontId="0" fillId="2" borderId="6" xfId="0" applyNumberForma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4" xfId="0" applyNumberFormat="1" applyFont="1" applyBorder="1">
      <alignment vertical="top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center" vertical="top" wrapText="1"/>
    </xf>
    <xf numFmtId="0" fontId="1" fillId="0" borderId="0" xfId="0" applyNumberFormat="1" applyFont="1">
      <alignment vertical="top" wrapText="1"/>
    </xf>
    <xf numFmtId="2" fontId="0" fillId="2" borderId="8" xfId="0" applyNumberFormat="1" applyFill="1" applyBorder="1" applyAlignment="1">
      <alignment horizontal="center" vertical="center" wrapText="1"/>
    </xf>
    <xf numFmtId="2" fontId="0" fillId="0" borderId="0" xfId="0" applyNumberFormat="1">
      <alignment vertical="top" wrapText="1"/>
    </xf>
    <xf numFmtId="49" fontId="6" fillId="2" borderId="6" xfId="0" applyNumberFormat="1" applyFont="1" applyFill="1" applyBorder="1" applyAlignment="1">
      <alignment vertical="center" wrapText="1"/>
    </xf>
    <xf numFmtId="165" fontId="0" fillId="2" borderId="12" xfId="0" applyNumberFormat="1" applyFill="1" applyBorder="1" applyAlignment="1">
      <alignment horizontal="center" vertical="center" wrapText="1"/>
    </xf>
    <xf numFmtId="165" fontId="0" fillId="2" borderId="14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5" fontId="0" fillId="2" borderId="8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right" vertical="center" wrapText="1"/>
    </xf>
    <xf numFmtId="164" fontId="0" fillId="2" borderId="2" xfId="0" applyNumberFormat="1" applyFill="1" applyBorder="1" applyAlignment="1">
      <alignment horizontal="right" vertical="center" wrapText="1"/>
    </xf>
    <xf numFmtId="164" fontId="0" fillId="2" borderId="4" xfId="0" applyNumberFormat="1" applyFill="1" applyBorder="1" applyAlignment="1">
      <alignment horizontal="right" vertical="center" wrapText="1"/>
    </xf>
    <xf numFmtId="49" fontId="7" fillId="2" borderId="6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top" wrapText="1"/>
    </xf>
    <xf numFmtId="0" fontId="5" fillId="3" borderId="4" xfId="0" applyFont="1" applyFill="1" applyBorder="1">
      <alignment vertical="top" wrapText="1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E32400"/>
      </font>
    </dxf>
    <dxf>
      <font>
        <color rgb="FF669C3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EAEAEA"/>
      <rgbColor rgb="FFBDC0BF"/>
      <rgbColor rgb="FFFAE232"/>
      <rgbColor rgb="FFEAEAEA"/>
      <rgbColor rgb="FF669C35"/>
      <rgbColor rgb="FFE32400"/>
      <rgbColor rgb="FFFE634D"/>
      <rgbColor rgb="FF00A1FE"/>
      <rgbColor rgb="FFFF9300"/>
      <rgbColor rgb="FFEF5EA7"/>
      <rgbColor rgb="FF00A89C"/>
      <rgbColor rgb="FFED220B"/>
      <rgbColor rgb="FFCB297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"/>
  <sheetViews>
    <sheetView showGridLines="0" workbookViewId="0"/>
  </sheetViews>
  <sheetFormatPr defaultColWidth="16.28515625" defaultRowHeight="20.100000000000001" customHeight="1"/>
  <cols>
    <col min="1" max="1" width="18.28515625" style="1" bestFit="1" customWidth="1"/>
    <col min="2" max="3" width="11.85546875" style="1" customWidth="1"/>
    <col min="4" max="4" width="2.28515625" style="1" customWidth="1"/>
    <col min="5" max="7" width="11.85546875" style="1" customWidth="1"/>
    <col min="8" max="8" width="2.28515625" style="1" customWidth="1"/>
    <col min="9" max="9" width="14.140625" style="1" customWidth="1"/>
    <col min="10" max="12" width="11.85546875" style="1" customWidth="1"/>
    <col min="13" max="13" width="16.28515625" style="1" customWidth="1"/>
    <col min="14" max="16384" width="16.28515625" style="1"/>
  </cols>
  <sheetData>
    <row r="1" spans="1:12" ht="18.600000000000001" customHeight="1">
      <c r="A1" s="2" t="s">
        <v>0</v>
      </c>
      <c r="B1" s="3" t="s">
        <v>1</v>
      </c>
      <c r="C1" s="3" t="s">
        <v>2</v>
      </c>
      <c r="D1" s="4"/>
      <c r="E1" s="2" t="s">
        <v>3</v>
      </c>
      <c r="F1" s="3" t="s">
        <v>1</v>
      </c>
      <c r="G1" s="3" t="s">
        <v>2</v>
      </c>
      <c r="H1" s="4"/>
      <c r="I1" s="170" t="s">
        <v>4</v>
      </c>
      <c r="J1" s="171"/>
      <c r="K1" s="171"/>
      <c r="L1" s="171"/>
    </row>
    <row r="2" spans="1:12" ht="18.600000000000001" customHeight="1">
      <c r="A2" s="5" t="s">
        <v>5</v>
      </c>
      <c r="B2" s="6"/>
      <c r="C2" s="6"/>
      <c r="D2" s="7"/>
      <c r="E2" s="5" t="s">
        <v>6</v>
      </c>
      <c r="F2" s="8">
        <v>3</v>
      </c>
      <c r="G2" s="6"/>
      <c r="H2" s="7"/>
      <c r="I2" s="9" t="s">
        <v>7</v>
      </c>
      <c r="J2" s="8">
        <v>1</v>
      </c>
      <c r="K2" s="10">
        <f>_xlfn.CEILING.MATH(J2*J$11*2)</f>
        <v>24</v>
      </c>
      <c r="L2" s="11" t="s">
        <v>8</v>
      </c>
    </row>
    <row r="3" spans="1:12" ht="18.600000000000001" customHeight="1">
      <c r="A3" s="5" t="s">
        <v>9</v>
      </c>
      <c r="B3" s="8">
        <v>1</v>
      </c>
      <c r="C3" s="8">
        <v>1</v>
      </c>
      <c r="D3" s="7"/>
      <c r="E3" s="5" t="s">
        <v>10</v>
      </c>
      <c r="F3" s="12"/>
      <c r="G3" s="8">
        <v>1</v>
      </c>
      <c r="H3" s="7"/>
      <c r="I3" s="9" t="s">
        <v>11</v>
      </c>
      <c r="J3" s="8">
        <v>1</v>
      </c>
      <c r="K3" s="10">
        <f t="shared" ref="K3:K4" si="0">_xlfn.CEILING.MATH(J3*J$11*2)</f>
        <v>24</v>
      </c>
      <c r="L3" s="11" t="s">
        <v>12</v>
      </c>
    </row>
    <row r="4" spans="1:12" ht="18.600000000000001" customHeight="1">
      <c r="A4" s="5" t="s">
        <v>13</v>
      </c>
      <c r="B4" s="8">
        <v>4</v>
      </c>
      <c r="C4" s="8">
        <v>1</v>
      </c>
      <c r="D4" s="7"/>
      <c r="E4" s="5" t="s">
        <v>14</v>
      </c>
      <c r="F4" s="12"/>
      <c r="G4" s="8">
        <v>1</v>
      </c>
      <c r="H4" s="7"/>
      <c r="I4" s="9" t="s">
        <v>15</v>
      </c>
      <c r="J4" s="8">
        <v>1</v>
      </c>
      <c r="K4" s="10">
        <f t="shared" si="0"/>
        <v>24</v>
      </c>
      <c r="L4" s="11" t="s">
        <v>16</v>
      </c>
    </row>
    <row r="5" spans="1:12" ht="18.600000000000001" customHeight="1">
      <c r="A5" s="5" t="s">
        <v>17</v>
      </c>
      <c r="B5" s="8">
        <v>1</v>
      </c>
      <c r="C5" s="8">
        <v>1</v>
      </c>
      <c r="D5" s="7"/>
      <c r="E5" s="5" t="s">
        <v>18</v>
      </c>
      <c r="F5" s="8">
        <v>0.5</v>
      </c>
      <c r="G5" s="8">
        <v>1</v>
      </c>
      <c r="H5" s="7"/>
      <c r="I5" s="9" t="s">
        <v>19</v>
      </c>
      <c r="J5" s="8">
        <v>1</v>
      </c>
      <c r="K5" s="10">
        <f>_xlfn.CEILING.MATH(J5*J$11*1.25)</f>
        <v>15</v>
      </c>
      <c r="L5" s="11" t="s">
        <v>20</v>
      </c>
    </row>
    <row r="6" spans="1:12" ht="18.600000000000001" customHeight="1">
      <c r="A6" s="5" t="s">
        <v>21</v>
      </c>
      <c r="B6" s="8">
        <v>2</v>
      </c>
      <c r="C6" s="8">
        <v>1</v>
      </c>
      <c r="D6" s="7"/>
      <c r="E6" s="5" t="s">
        <v>22</v>
      </c>
      <c r="F6" s="8">
        <v>7</v>
      </c>
      <c r="G6" s="8">
        <v>1</v>
      </c>
      <c r="H6" s="7"/>
      <c r="I6" s="9" t="s">
        <v>23</v>
      </c>
      <c r="J6" s="8">
        <v>5</v>
      </c>
      <c r="K6" s="10">
        <f>_xlfn.CEILING.MATH(J6*J$11*1.25)</f>
        <v>75</v>
      </c>
      <c r="L6" s="11" t="s">
        <v>24</v>
      </c>
    </row>
    <row r="7" spans="1:12" ht="18.600000000000001" customHeight="1">
      <c r="A7" s="5" t="s">
        <v>25</v>
      </c>
      <c r="B7" s="12"/>
      <c r="C7" s="8">
        <v>1</v>
      </c>
      <c r="D7" s="7"/>
      <c r="E7" s="5" t="s">
        <v>26</v>
      </c>
      <c r="F7" s="8">
        <v>7</v>
      </c>
      <c r="G7" s="8">
        <v>1</v>
      </c>
      <c r="H7" s="7"/>
      <c r="I7" s="9" t="s">
        <v>27</v>
      </c>
      <c r="J7" s="8">
        <v>1</v>
      </c>
      <c r="K7" s="10">
        <f t="shared" ref="K7" si="1">_xlfn.CEILING.MATH(J7*J$11*2)</f>
        <v>24</v>
      </c>
      <c r="L7" s="11" t="s">
        <v>28</v>
      </c>
    </row>
    <row r="8" spans="1:12" ht="18.600000000000001" customHeight="1">
      <c r="A8" s="5" t="s">
        <v>29</v>
      </c>
      <c r="B8" s="12"/>
      <c r="C8" s="6"/>
      <c r="D8" s="7"/>
      <c r="E8" s="5" t="s">
        <v>30</v>
      </c>
      <c r="F8" s="8">
        <v>-1</v>
      </c>
      <c r="G8" s="6"/>
      <c r="H8" s="7"/>
      <c r="I8" s="9" t="s">
        <v>31</v>
      </c>
      <c r="J8" s="8">
        <v>6</v>
      </c>
      <c r="K8" s="10">
        <f>_xlfn.CEILING.MATH(J8*J$11*1.25)</f>
        <v>90</v>
      </c>
      <c r="L8" s="11" t="s">
        <v>32</v>
      </c>
    </row>
    <row r="9" spans="1:12" ht="18.600000000000001" customHeight="1">
      <c r="A9" s="5" t="s">
        <v>758</v>
      </c>
      <c r="B9" s="8">
        <v>1</v>
      </c>
      <c r="C9" s="6"/>
      <c r="D9" s="7"/>
      <c r="E9" s="5" t="s">
        <v>33</v>
      </c>
      <c r="F9" s="8">
        <v>-1</v>
      </c>
      <c r="G9" s="6"/>
      <c r="H9" s="7"/>
      <c r="I9" s="9" t="s">
        <v>34</v>
      </c>
      <c r="J9" s="8">
        <v>3</v>
      </c>
      <c r="K9" s="10">
        <f>_xlfn.CEILING.MATH(J9*J$11*1.25)</f>
        <v>45</v>
      </c>
      <c r="L9" s="11" t="s">
        <v>35</v>
      </c>
    </row>
    <row r="10" spans="1:12" ht="18.600000000000001" customHeight="1">
      <c r="A10" s="5" t="s">
        <v>11</v>
      </c>
      <c r="B10" s="8">
        <v>2</v>
      </c>
      <c r="C10" s="6"/>
      <c r="D10" s="7"/>
      <c r="E10" s="5" t="s">
        <v>36</v>
      </c>
      <c r="F10" s="8">
        <v>-1</v>
      </c>
      <c r="G10" s="6"/>
      <c r="H10" s="7"/>
      <c r="I10" s="6"/>
      <c r="J10" s="6"/>
      <c r="K10" s="6"/>
      <c r="L10" s="6"/>
    </row>
    <row r="11" spans="1:12" ht="18.600000000000001" customHeight="1">
      <c r="A11" s="5" t="s">
        <v>15</v>
      </c>
      <c r="B11" s="8">
        <v>3</v>
      </c>
      <c r="C11" s="6"/>
      <c r="D11" s="7"/>
      <c r="E11" s="5" t="s">
        <v>13</v>
      </c>
      <c r="F11" s="6"/>
      <c r="G11" s="6"/>
      <c r="H11" s="7"/>
      <c r="I11" s="9" t="s">
        <v>37</v>
      </c>
      <c r="J11" s="8">
        <v>12</v>
      </c>
      <c r="K11" s="168" t="s">
        <v>38</v>
      </c>
      <c r="L11" s="169"/>
    </row>
    <row r="12" spans="1:12" ht="18.600000000000001" customHeight="1">
      <c r="A12" s="5" t="s">
        <v>36</v>
      </c>
      <c r="B12" s="8">
        <v>1</v>
      </c>
      <c r="C12" s="6"/>
      <c r="D12" s="7"/>
      <c r="E12" s="5" t="s">
        <v>39</v>
      </c>
      <c r="F12" s="6"/>
      <c r="G12" s="6"/>
      <c r="H12" s="7"/>
      <c r="I12" s="9"/>
      <c r="J12" s="11"/>
      <c r="K12" s="168"/>
      <c r="L12" s="169"/>
    </row>
    <row r="13" spans="1:12" ht="18.600000000000001" customHeight="1">
      <c r="A13" s="5" t="s">
        <v>40</v>
      </c>
      <c r="B13" s="8">
        <v>-0.5</v>
      </c>
      <c r="C13" s="6"/>
      <c r="D13" s="7"/>
      <c r="E13" s="5" t="s">
        <v>41</v>
      </c>
      <c r="F13" s="6"/>
      <c r="G13" s="6"/>
      <c r="H13" s="7"/>
      <c r="I13" s="9" t="s">
        <v>42</v>
      </c>
      <c r="J13" s="11" t="s">
        <v>43</v>
      </c>
      <c r="K13" s="168" t="s">
        <v>44</v>
      </c>
      <c r="L13" s="169"/>
    </row>
    <row r="14" spans="1:12" ht="18.600000000000001" customHeight="1">
      <c r="A14" s="5" t="s">
        <v>45</v>
      </c>
      <c r="B14" s="12"/>
      <c r="C14" s="6"/>
      <c r="D14" s="7"/>
      <c r="E14" s="5" t="s">
        <v>46</v>
      </c>
      <c r="F14" s="8">
        <v>-5</v>
      </c>
      <c r="G14" s="6"/>
      <c r="H14" s="7"/>
      <c r="I14" s="13"/>
      <c r="J14" s="6"/>
      <c r="K14" s="172"/>
      <c r="L14" s="169"/>
    </row>
    <row r="15" spans="1:12" ht="18.600000000000001" customHeight="1">
      <c r="A15" s="5" t="s">
        <v>47</v>
      </c>
      <c r="B15" s="12"/>
      <c r="C15" s="6"/>
      <c r="D15" s="7"/>
      <c r="E15" s="14" t="s">
        <v>48</v>
      </c>
      <c r="F15" s="8">
        <v>3</v>
      </c>
      <c r="G15" s="6"/>
      <c r="H15" s="7"/>
      <c r="I15" s="9" t="s">
        <v>49</v>
      </c>
      <c r="J15" s="11" t="s">
        <v>746</v>
      </c>
      <c r="K15" s="168" t="s">
        <v>50</v>
      </c>
      <c r="L15" s="169"/>
    </row>
    <row r="16" spans="1:12" ht="18.600000000000001" customHeight="1">
      <c r="A16" s="5" t="s">
        <v>51</v>
      </c>
      <c r="B16" s="8">
        <v>-1</v>
      </c>
      <c r="C16" s="6"/>
      <c r="D16" s="7"/>
      <c r="E16" s="14" t="s">
        <v>52</v>
      </c>
      <c r="F16" s="6"/>
      <c r="G16" s="6"/>
      <c r="H16" s="7"/>
      <c r="I16" s="168" t="s">
        <v>53</v>
      </c>
      <c r="J16" s="11" t="s">
        <v>746</v>
      </c>
      <c r="K16" s="168" t="s">
        <v>54</v>
      </c>
      <c r="L16" s="169"/>
    </row>
    <row r="17" spans="1:12" ht="18.600000000000001" customHeight="1">
      <c r="A17" s="15"/>
      <c r="B17" s="6"/>
      <c r="C17" s="6"/>
      <c r="D17" s="16"/>
      <c r="E17" s="14" t="s">
        <v>55</v>
      </c>
      <c r="F17" s="6"/>
      <c r="G17" s="6"/>
      <c r="H17" s="7"/>
      <c r="I17" s="169"/>
      <c r="J17" s="11" t="s">
        <v>746</v>
      </c>
      <c r="K17" s="168" t="s">
        <v>56</v>
      </c>
      <c r="L17" s="169"/>
    </row>
  </sheetData>
  <mergeCells count="9">
    <mergeCell ref="K17:L17"/>
    <mergeCell ref="K16:L16"/>
    <mergeCell ref="I16:I17"/>
    <mergeCell ref="I1:L1"/>
    <mergeCell ref="K14:L14"/>
    <mergeCell ref="K15:L15"/>
    <mergeCell ref="K11:L11"/>
    <mergeCell ref="K12:L12"/>
    <mergeCell ref="K13:L1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401"/>
  <sheetViews>
    <sheetView showGridLines="0" workbookViewId="0">
      <selection activeCell="F25" sqref="F25:F26"/>
    </sheetView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5.1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82</v>
      </c>
      <c r="B2" s="27" t="s">
        <v>63</v>
      </c>
      <c r="C2" s="123" t="s">
        <v>23</v>
      </c>
      <c r="D2" s="138">
        <f t="shared" ref="D2:D33" ca="1" si="0">RANK(E2,E$2:E$139)</f>
        <v>1</v>
      </c>
      <c r="E2" s="31">
        <f ca="1">VLOOKUP(A2,Rankings!$B$1:$H$651,6,FALSE)+(RAND()*0.00001)</f>
        <v>569.33389196502435</v>
      </c>
      <c r="F2" s="31">
        <f ca="1">E2-VLOOKUP(Settings!$K$6,D$2:E$500,2,FALSE)</f>
        <v>315.9777749160354</v>
      </c>
      <c r="G2" s="138">
        <f t="shared" ref="G2:G33" ca="1" si="1">RANK(H2,H$2:H$500)</f>
        <v>6</v>
      </c>
      <c r="H2" s="31">
        <f ca="1">VLOOKUP(A2,Rankings!$B$1:$H$651,7,FALSE)+(RAND()*0.00001)</f>
        <v>8.5815879677357536</v>
      </c>
      <c r="I2" s="31">
        <f ca="1">H2-VLOOKUP(Settings!$K$6,G$2:H$139,2,FALSE)</f>
        <v>8.7385139538561045</v>
      </c>
      <c r="J2" s="31" t="str">
        <f>VLOOKUP(A2,Rankings!B:D,3,FALSE)</f>
        <v>NL</v>
      </c>
    </row>
    <row r="3" spans="1:10" ht="18.600000000000001" customHeight="1">
      <c r="A3" s="26" t="s">
        <v>67</v>
      </c>
      <c r="B3" s="27" t="s">
        <v>68</v>
      </c>
      <c r="C3" s="123" t="s">
        <v>23</v>
      </c>
      <c r="D3" s="138">
        <f t="shared" ca="1" si="0"/>
        <v>2</v>
      </c>
      <c r="E3" s="31">
        <f ca="1">VLOOKUP(A3,Rankings!$B$1:$H$651,6,FALSE)+(RAND()*0.00001)</f>
        <v>557.19111314776569</v>
      </c>
      <c r="F3" s="31">
        <f ca="1">E3-VLOOKUP(Settings!$K$6,D$2:E$500,2,FALSE)</f>
        <v>303.83499609877674</v>
      </c>
      <c r="G3" s="138">
        <f t="shared" ca="1" si="1"/>
        <v>1</v>
      </c>
      <c r="H3" s="31">
        <f ca="1">VLOOKUP(A3,Rankings!$B$1:$H$651,7,FALSE)+(RAND()*0.00001)</f>
        <v>11.325937145334391</v>
      </c>
      <c r="I3" s="31">
        <f ca="1">H3-VLOOKUP(Settings!$K$6,G$2:H$139,2,FALSE)</f>
        <v>11.482863131454742</v>
      </c>
      <c r="J3" s="31" t="str">
        <f>VLOOKUP(A3,Rankings!B:D,3,FALSE)</f>
        <v>AL</v>
      </c>
    </row>
    <row r="4" spans="1:10" ht="18.600000000000001" customHeight="1">
      <c r="A4" s="26" t="s">
        <v>80</v>
      </c>
      <c r="B4" s="27" t="s">
        <v>81</v>
      </c>
      <c r="C4" s="123" t="s">
        <v>23</v>
      </c>
      <c r="D4" s="138">
        <f t="shared" ca="1" si="0"/>
        <v>4</v>
      </c>
      <c r="E4" s="31">
        <f ca="1">VLOOKUP(A4,Rankings!$B$1:$H$651,6,FALSE)+(RAND()*0.00001)</f>
        <v>523.74889691003375</v>
      </c>
      <c r="F4" s="31">
        <f ca="1">E4-VLOOKUP(Settings!$K$6,D$2:E$500,2,FALSE)</f>
        <v>270.3927798610448</v>
      </c>
      <c r="G4" s="138">
        <f t="shared" ca="1" si="1"/>
        <v>5</v>
      </c>
      <c r="H4" s="31">
        <f ca="1">VLOOKUP(A4,Rankings!$B$1:$H$651,7,FALSE)+(RAND()*0.00001)</f>
        <v>8.7254213592894398</v>
      </c>
      <c r="I4" s="31">
        <f ca="1">H4-VLOOKUP(Settings!$K$6,G$2:H$139,2,FALSE)</f>
        <v>8.8823473454097908</v>
      </c>
      <c r="J4" s="31" t="str">
        <f>VLOOKUP(A4,Rankings!B:D,3,FALSE)</f>
        <v>NL</v>
      </c>
    </row>
    <row r="5" spans="1:10" ht="18.600000000000001" customHeight="1">
      <c r="A5" s="26" t="s">
        <v>77</v>
      </c>
      <c r="B5" s="27" t="s">
        <v>78</v>
      </c>
      <c r="C5" s="123" t="s">
        <v>23</v>
      </c>
      <c r="D5" s="138">
        <f t="shared" ca="1" si="0"/>
        <v>3</v>
      </c>
      <c r="E5" s="31">
        <f ca="1">VLOOKUP(A5,Rankings!$B$1:$H$651,6,FALSE)+(RAND()*0.00001)</f>
        <v>527.29333987710106</v>
      </c>
      <c r="F5" s="31">
        <f ca="1">E5-VLOOKUP(Settings!$K$6,D$2:E$500,2,FALSE)</f>
        <v>273.93722282811211</v>
      </c>
      <c r="G5" s="138">
        <f t="shared" ca="1" si="1"/>
        <v>3</v>
      </c>
      <c r="H5" s="31">
        <f ca="1">VLOOKUP(A5,Rankings!$B$1:$H$651,7,FALSE)+(RAND()*0.00001)</f>
        <v>9.890053777702926</v>
      </c>
      <c r="I5" s="31">
        <f ca="1">H5-VLOOKUP(Settings!$K$6,G$2:H$139,2,FALSE)</f>
        <v>10.046979763823277</v>
      </c>
      <c r="J5" s="31" t="str">
        <f>VLOOKUP(A5,Rankings!B:D,3,FALSE)</f>
        <v>AL</v>
      </c>
    </row>
    <row r="6" spans="1:10" ht="18.600000000000001" customHeight="1">
      <c r="A6" s="26" t="s">
        <v>72</v>
      </c>
      <c r="B6" s="27" t="s">
        <v>73</v>
      </c>
      <c r="C6" s="123" t="s">
        <v>23</v>
      </c>
      <c r="D6" s="138">
        <f t="shared" ca="1" si="0"/>
        <v>5</v>
      </c>
      <c r="E6" s="31">
        <f ca="1">VLOOKUP(A6,Rankings!$B$1:$H$651,6,FALSE)+(RAND()*0.00001)</f>
        <v>520.00611726479451</v>
      </c>
      <c r="F6" s="31">
        <f ca="1">E6-VLOOKUP(Settings!$K$6,D$2:E$500,2,FALSE)</f>
        <v>266.65000021580556</v>
      </c>
      <c r="G6" s="138">
        <f t="shared" ca="1" si="1"/>
        <v>2</v>
      </c>
      <c r="H6" s="31">
        <f ca="1">VLOOKUP(A6,Rankings!$B$1:$H$651,7,FALSE)+(RAND()*0.00001)</f>
        <v>11.038814235896309</v>
      </c>
      <c r="I6" s="31">
        <f ca="1">H6-VLOOKUP(Settings!$K$6,G$2:H$139,2,FALSE)</f>
        <v>11.19574022201666</v>
      </c>
      <c r="J6" s="31" t="str">
        <f>VLOOKUP(A6,Rankings!B:D,3,FALSE)</f>
        <v>NL</v>
      </c>
    </row>
    <row r="7" spans="1:10" ht="18.600000000000001" customHeight="1">
      <c r="A7" s="26" t="s">
        <v>79</v>
      </c>
      <c r="B7" s="27" t="s">
        <v>78</v>
      </c>
      <c r="C7" s="123" t="s">
        <v>23</v>
      </c>
      <c r="D7" s="138">
        <f t="shared" ca="1" si="0"/>
        <v>6</v>
      </c>
      <c r="E7" s="31">
        <f ca="1">VLOOKUP(A7,Rankings!$B$1:$H$651,6,FALSE)+(RAND()*0.00001)</f>
        <v>497.43556225876728</v>
      </c>
      <c r="F7" s="31">
        <f ca="1">E7-VLOOKUP(Settings!$K$6,D$2:E$500,2,FALSE)</f>
        <v>244.07944520977833</v>
      </c>
      <c r="G7" s="138">
        <f t="shared" ca="1" si="1"/>
        <v>7</v>
      </c>
      <c r="H7" s="31">
        <f ca="1">VLOOKUP(A7,Rankings!$B$1:$H$651,7,FALSE)+(RAND()*0.00001)</f>
        <v>8.4257411090486389</v>
      </c>
      <c r="I7" s="31">
        <f ca="1">H7-VLOOKUP(Settings!$K$6,G$2:H$139,2,FALSE)</f>
        <v>8.5826670951689898</v>
      </c>
      <c r="J7" s="31" t="str">
        <f>VLOOKUP(A7,Rankings!B:D,3,FALSE)</f>
        <v>AL</v>
      </c>
    </row>
    <row r="8" spans="1:10" ht="18.600000000000001" customHeight="1">
      <c r="A8" s="26" t="s">
        <v>89</v>
      </c>
      <c r="B8" s="27" t="s">
        <v>84</v>
      </c>
      <c r="C8" s="123" t="s">
        <v>23</v>
      </c>
      <c r="D8" s="138">
        <f t="shared" ca="1" si="0"/>
        <v>8</v>
      </c>
      <c r="E8" s="31">
        <f ca="1">VLOOKUP(A8,Rankings!$B$1:$H$651,6,FALSE)+(RAND()*0.00001)</f>
        <v>486.66945389517082</v>
      </c>
      <c r="F8" s="31">
        <f ca="1">E8-VLOOKUP(Settings!$K$6,D$2:E$500,2,FALSE)</f>
        <v>233.31333684618187</v>
      </c>
      <c r="G8" s="138">
        <f t="shared" ca="1" si="1"/>
        <v>8</v>
      </c>
      <c r="H8" s="31">
        <f ca="1">VLOOKUP(A8,Rankings!$B$1:$H$651,7,FALSE)+(RAND()*0.00001)</f>
        <v>7.7341475681010792</v>
      </c>
      <c r="I8" s="31">
        <f ca="1">H8-VLOOKUP(Settings!$K$6,G$2:H$139,2,FALSE)</f>
        <v>7.8910735542214301</v>
      </c>
      <c r="J8" s="31" t="str">
        <f>VLOOKUP(A8,Rankings!B:D,3,FALSE)</f>
        <v>AL</v>
      </c>
    </row>
    <row r="9" spans="1:10" ht="20.100000000000001" customHeight="1">
      <c r="A9" s="26" t="s">
        <v>70</v>
      </c>
      <c r="B9" s="27" t="s">
        <v>71</v>
      </c>
      <c r="C9" s="123" t="s">
        <v>23</v>
      </c>
      <c r="D9" s="138">
        <f t="shared" ca="1" si="0"/>
        <v>7</v>
      </c>
      <c r="E9" s="31">
        <f ca="1">VLOOKUP(A9,Rankings!$B$1:$H$651,6,FALSE)+(RAND()*0.00001)</f>
        <v>486.95389626389078</v>
      </c>
      <c r="F9" s="31">
        <f ca="1">E9-VLOOKUP(Settings!$K$6,D$2:E$500,2,FALSE)</f>
        <v>233.59777921490183</v>
      </c>
      <c r="G9" s="138">
        <f t="shared" ca="1" si="1"/>
        <v>4</v>
      </c>
      <c r="H9" s="31">
        <f ca="1">VLOOKUP(A9,Rankings!$B$1:$H$651,7,FALSE)+(RAND()*0.00001)</f>
        <v>9.6965562706633417</v>
      </c>
      <c r="I9" s="31">
        <f ca="1">H9-VLOOKUP(Settings!$K$6,G$2:H$139,2,FALSE)</f>
        <v>9.8534822567836926</v>
      </c>
      <c r="J9" s="31" t="str">
        <f>VLOOKUP(A9,Rankings!B:D,3,FALSE)</f>
        <v>AL</v>
      </c>
    </row>
    <row r="10" spans="1:10" ht="18.600000000000001" customHeight="1">
      <c r="A10" s="26" t="s">
        <v>125</v>
      </c>
      <c r="B10" s="27" t="s">
        <v>91</v>
      </c>
      <c r="C10" s="123" t="s">
        <v>23</v>
      </c>
      <c r="D10" s="138">
        <f t="shared" ca="1" si="0"/>
        <v>9</v>
      </c>
      <c r="E10" s="31">
        <f ca="1">VLOOKUP(A10,Rankings!$B$1:$H$651,6,FALSE)+(RAND()*0.00001)</f>
        <v>452.22000635067121</v>
      </c>
      <c r="F10" s="31">
        <f ca="1">E10-VLOOKUP(Settings!$K$6,D$2:E$500,2,FALSE)</f>
        <v>198.86388930168226</v>
      </c>
      <c r="G10" s="138">
        <f t="shared" ca="1" si="1"/>
        <v>13</v>
      </c>
      <c r="H10" s="31">
        <f ca="1">VLOOKUP(A10,Rankings!$B$1:$H$651,7,FALSE)+(RAND()*0.00001)</f>
        <v>6.0632968059959955</v>
      </c>
      <c r="I10" s="31">
        <f ca="1">H10-VLOOKUP(Settings!$K$6,G$2:H$139,2,FALSE)</f>
        <v>6.2202227921163464</v>
      </c>
      <c r="J10" s="31" t="str">
        <f>VLOOKUP(A10,Rankings!B:D,3,FALSE)</f>
        <v>NL</v>
      </c>
    </row>
    <row r="11" spans="1:10" ht="18.600000000000001" customHeight="1">
      <c r="A11" s="26" t="s">
        <v>98</v>
      </c>
      <c r="B11" s="27" t="s">
        <v>99</v>
      </c>
      <c r="C11" s="123" t="s">
        <v>23</v>
      </c>
      <c r="D11" s="138">
        <f t="shared" ca="1" si="0"/>
        <v>10</v>
      </c>
      <c r="E11" s="31">
        <f ca="1">VLOOKUP(A11,Rankings!$B$1:$H$651,6,FALSE)+(RAND()*0.00001)</f>
        <v>446.12223202069754</v>
      </c>
      <c r="F11" s="31">
        <f ca="1">E11-VLOOKUP(Settings!$K$6,D$2:E$500,2,FALSE)</f>
        <v>192.76611497170859</v>
      </c>
      <c r="G11" s="138">
        <f t="shared" ca="1" si="1"/>
        <v>11</v>
      </c>
      <c r="H11" s="31">
        <f ca="1">VLOOKUP(A11,Rankings!$B$1:$H$651,7,FALSE)+(RAND()*0.00001)</f>
        <v>7.0213885925064812</v>
      </c>
      <c r="I11" s="31">
        <f ca="1">H11-VLOOKUP(Settings!$K$6,G$2:H$139,2,FALSE)</f>
        <v>7.1783145786268321</v>
      </c>
      <c r="J11" s="31" t="str">
        <f>VLOOKUP(A11,Rankings!B:D,3,FALSE)</f>
        <v>AL</v>
      </c>
    </row>
    <row r="12" spans="1:10" ht="18.600000000000001" customHeight="1">
      <c r="A12" s="26" t="s">
        <v>136</v>
      </c>
      <c r="B12" s="27" t="s">
        <v>137</v>
      </c>
      <c r="C12" s="123" t="s">
        <v>23</v>
      </c>
      <c r="D12" s="138">
        <f t="shared" ca="1" si="0"/>
        <v>11</v>
      </c>
      <c r="E12" s="31">
        <f ca="1">VLOOKUP(A12,Rankings!$B$1:$H$651,6,FALSE)+(RAND()*0.00001)</f>
        <v>438.21222273288674</v>
      </c>
      <c r="F12" s="31">
        <f ca="1">E12-VLOOKUP(Settings!$K$6,D$2:E$500,2,FALSE)</f>
        <v>184.85610568389779</v>
      </c>
      <c r="G12" s="138">
        <f t="shared" ca="1" si="1"/>
        <v>16</v>
      </c>
      <c r="H12" s="31">
        <f ca="1">VLOOKUP(A12,Rankings!$B$1:$H$651,7,FALSE)+(RAND()*0.00001)</f>
        <v>5.5272191543650884</v>
      </c>
      <c r="I12" s="31">
        <f ca="1">H12-VLOOKUP(Settings!$K$6,G$2:H$139,2,FALSE)</f>
        <v>5.6841451404854393</v>
      </c>
      <c r="J12" s="31" t="str">
        <f>VLOOKUP(A12,Rankings!B:D,3,FALSE)</f>
        <v>NL</v>
      </c>
    </row>
    <row r="13" spans="1:10" ht="18.600000000000001" customHeight="1">
      <c r="A13" s="26" t="s">
        <v>118</v>
      </c>
      <c r="B13" s="27" t="s">
        <v>94</v>
      </c>
      <c r="C13" s="123" t="s">
        <v>23</v>
      </c>
      <c r="D13" s="138">
        <f t="shared" ca="1" si="0"/>
        <v>13</v>
      </c>
      <c r="E13" s="31">
        <f ca="1">VLOOKUP(A13,Rankings!$B$1:$H$651,6,FALSE)+(RAND()*0.00001)</f>
        <v>432.1788906279524</v>
      </c>
      <c r="F13" s="31">
        <f ca="1">E13-VLOOKUP(Settings!$K$6,D$2:E$500,2,FALSE)</f>
        <v>178.82277357896345</v>
      </c>
      <c r="G13" s="138">
        <f t="shared" ca="1" si="1"/>
        <v>15</v>
      </c>
      <c r="H13" s="31">
        <f ca="1">VLOOKUP(A13,Rankings!$B$1:$H$651,7,FALSE)+(RAND()*0.00001)</f>
        <v>5.6847362879820951</v>
      </c>
      <c r="I13" s="31">
        <f ca="1">H13-VLOOKUP(Settings!$K$6,G$2:H$139,2,FALSE)</f>
        <v>5.841662274102446</v>
      </c>
      <c r="J13" s="31" t="str">
        <f>VLOOKUP(A13,Rankings!B:D,3,FALSE)</f>
        <v>AL</v>
      </c>
    </row>
    <row r="14" spans="1:10" ht="18.600000000000001" customHeight="1">
      <c r="A14" s="26" t="s">
        <v>100</v>
      </c>
      <c r="B14" s="27" t="s">
        <v>101</v>
      </c>
      <c r="C14" s="123" t="s">
        <v>23</v>
      </c>
      <c r="D14" s="138">
        <f t="shared" ca="1" si="0"/>
        <v>12</v>
      </c>
      <c r="E14" s="31">
        <f ca="1">VLOOKUP(A14,Rankings!$B$1:$H$651,6,FALSE)+(RAND()*0.00001)</f>
        <v>437.24833533827257</v>
      </c>
      <c r="F14" s="31">
        <f ca="1">E14-VLOOKUP(Settings!$K$6,D$2:E$500,2,FALSE)</f>
        <v>183.89221828928362</v>
      </c>
      <c r="G14" s="138">
        <f t="shared" ca="1" si="1"/>
        <v>9</v>
      </c>
      <c r="H14" s="31">
        <f ca="1">VLOOKUP(A14,Rankings!$B$1:$H$651,7,FALSE)+(RAND()*0.00001)</f>
        <v>7.3744361709879476</v>
      </c>
      <c r="I14" s="31">
        <f ca="1">H14-VLOOKUP(Settings!$K$6,G$2:H$139,2,FALSE)</f>
        <v>7.5313621571082985</v>
      </c>
      <c r="J14" s="31" t="str">
        <f>VLOOKUP(A14,Rankings!B:D,3,FALSE)</f>
        <v>AL</v>
      </c>
    </row>
    <row r="15" spans="1:10" ht="18.600000000000001" customHeight="1">
      <c r="A15" s="26" t="s">
        <v>87</v>
      </c>
      <c r="B15" s="27" t="s">
        <v>73</v>
      </c>
      <c r="C15" s="123" t="s">
        <v>23</v>
      </c>
      <c r="D15" s="138">
        <f t="shared" ca="1" si="0"/>
        <v>14</v>
      </c>
      <c r="E15" s="31">
        <f ca="1">VLOOKUP(A15,Rankings!$B$1:$H$651,6,FALSE)+(RAND()*0.00001)</f>
        <v>423.7577803132354</v>
      </c>
      <c r="F15" s="31">
        <f ca="1">E15-VLOOKUP(Settings!$K$6,D$2:E$500,2,FALSE)</f>
        <v>170.40166326424645</v>
      </c>
      <c r="G15" s="138">
        <f t="shared" ca="1" si="1"/>
        <v>10</v>
      </c>
      <c r="H15" s="31">
        <f ca="1">VLOOKUP(A15,Rankings!$B$1:$H$651,7,FALSE)+(RAND()*0.00001)</f>
        <v>7.0725092697876502</v>
      </c>
      <c r="I15" s="31">
        <f ca="1">H15-VLOOKUP(Settings!$K$6,G$2:H$139,2,FALSE)</f>
        <v>7.2294352559080011</v>
      </c>
      <c r="J15" s="31" t="str">
        <f>VLOOKUP(A15,Rankings!B:D,3,FALSE)</f>
        <v>NL</v>
      </c>
    </row>
    <row r="16" spans="1:10" ht="20.100000000000001" customHeight="1">
      <c r="A16" s="26" t="s">
        <v>165</v>
      </c>
      <c r="B16" s="27" t="s">
        <v>97</v>
      </c>
      <c r="C16" s="123" t="s">
        <v>23</v>
      </c>
      <c r="D16" s="138">
        <f t="shared" ca="1" si="0"/>
        <v>16</v>
      </c>
      <c r="E16" s="31">
        <f ca="1">VLOOKUP(A16,Rankings!$B$1:$H$651,6,FALSE)+(RAND()*0.00001)</f>
        <v>412.52777995856678</v>
      </c>
      <c r="F16" s="31">
        <f ca="1">E16-VLOOKUP(Settings!$K$6,D$2:E$500,2,FALSE)</f>
        <v>159.17166290957783</v>
      </c>
      <c r="G16" s="138">
        <f t="shared" ca="1" si="1"/>
        <v>23</v>
      </c>
      <c r="H16" s="31">
        <f ca="1">VLOOKUP(A16,Rankings!$B$1:$H$651,7,FALSE)+(RAND()*0.00001)</f>
        <v>4.3990453326393615</v>
      </c>
      <c r="I16" s="31">
        <f ca="1">H16-VLOOKUP(Settings!$K$6,G$2:H$139,2,FALSE)</f>
        <v>4.5559713187597124</v>
      </c>
      <c r="J16" s="31" t="str">
        <f>VLOOKUP(A16,Rankings!B:D,3,FALSE)</f>
        <v>NL</v>
      </c>
    </row>
    <row r="17" spans="1:10" ht="18.600000000000001" customHeight="1">
      <c r="A17" s="26" t="s">
        <v>141</v>
      </c>
      <c r="B17" s="27" t="s">
        <v>76</v>
      </c>
      <c r="C17" s="123" t="s">
        <v>23</v>
      </c>
      <c r="D17" s="138">
        <f t="shared" ca="1" si="0"/>
        <v>15</v>
      </c>
      <c r="E17" s="31">
        <f ca="1">VLOOKUP(A17,Rankings!$B$1:$H$651,6,FALSE)+(RAND()*0.00001)</f>
        <v>413.97722917788104</v>
      </c>
      <c r="F17" s="31">
        <f ca="1">E17-VLOOKUP(Settings!$K$6,D$2:E$500,2,FALSE)</f>
        <v>160.62111212889209</v>
      </c>
      <c r="G17" s="138">
        <f t="shared" ca="1" si="1"/>
        <v>24</v>
      </c>
      <c r="H17" s="31">
        <f ca="1">VLOOKUP(A17,Rankings!$B$1:$H$651,7,FALSE)+(RAND()*0.00001)</f>
        <v>4.2396762653379785</v>
      </c>
      <c r="I17" s="31">
        <f ca="1">H17-VLOOKUP(Settings!$K$6,G$2:H$139,2,FALSE)</f>
        <v>4.3966022514583294</v>
      </c>
      <c r="J17" s="31" t="str">
        <f>VLOOKUP(A17,Rankings!B:D,3,FALSE)</f>
        <v>AL</v>
      </c>
    </row>
    <row r="18" spans="1:10" ht="18.600000000000001" customHeight="1">
      <c r="A18" s="26" t="s">
        <v>166</v>
      </c>
      <c r="B18" s="27" t="s">
        <v>99</v>
      </c>
      <c r="C18" s="123" t="s">
        <v>23</v>
      </c>
      <c r="D18" s="138">
        <f t="shared" ca="1" si="0"/>
        <v>18</v>
      </c>
      <c r="E18" s="31">
        <f ca="1">VLOOKUP(A18,Rankings!$B$1:$H$651,6,FALSE)+(RAND()*0.00001)</f>
        <v>405.94111682196848</v>
      </c>
      <c r="F18" s="31">
        <f ca="1">E18-VLOOKUP(Settings!$K$6,D$2:E$500,2,FALSE)</f>
        <v>152.58499977297953</v>
      </c>
      <c r="G18" s="138">
        <f t="shared" ca="1" si="1"/>
        <v>27</v>
      </c>
      <c r="H18" s="31">
        <f ca="1">VLOOKUP(A18,Rankings!$B$1:$H$651,7,FALSE)+(RAND()*0.00001)</f>
        <v>3.9080449813227864</v>
      </c>
      <c r="I18" s="31">
        <f ca="1">H18-VLOOKUP(Settings!$K$6,G$2:H$139,2,FALSE)</f>
        <v>4.0649709674431369</v>
      </c>
      <c r="J18" s="31" t="str">
        <f>VLOOKUP(A18,Rankings!B:D,3,FALSE)</f>
        <v>AL</v>
      </c>
    </row>
    <row r="19" spans="1:10" ht="18.600000000000001" customHeight="1">
      <c r="A19" s="26" t="s">
        <v>113</v>
      </c>
      <c r="B19" s="27" t="s">
        <v>114</v>
      </c>
      <c r="C19" s="123" t="s">
        <v>23</v>
      </c>
      <c r="D19" s="138">
        <f t="shared" ca="1" si="0"/>
        <v>17</v>
      </c>
      <c r="E19" s="31">
        <f ca="1">VLOOKUP(A19,Rankings!$B$1:$H$651,6,FALSE)+(RAND()*0.00001)</f>
        <v>406.08639521498554</v>
      </c>
      <c r="F19" s="31">
        <f ca="1">E19-VLOOKUP(Settings!$K$6,D$2:E$500,2,FALSE)</f>
        <v>152.73027816599659</v>
      </c>
      <c r="G19" s="138">
        <f t="shared" ca="1" si="1"/>
        <v>12</v>
      </c>
      <c r="H19" s="31">
        <f ca="1">VLOOKUP(A19,Rankings!$B$1:$H$651,7,FALSE)+(RAND()*0.00001)</f>
        <v>6.4546549846721604</v>
      </c>
      <c r="I19" s="31">
        <f ca="1">H19-VLOOKUP(Settings!$K$6,G$2:H$139,2,FALSE)</f>
        <v>6.6115809707925113</v>
      </c>
      <c r="J19" s="31" t="str">
        <f>VLOOKUP(A19,Rankings!B:D,3,FALSE)</f>
        <v>AL</v>
      </c>
    </row>
    <row r="20" spans="1:10" ht="18.600000000000001" customHeight="1">
      <c r="A20" s="26" t="s">
        <v>194</v>
      </c>
      <c r="B20" s="27" t="s">
        <v>95</v>
      </c>
      <c r="C20" s="123" t="s">
        <v>23</v>
      </c>
      <c r="D20" s="138">
        <f t="shared" ca="1" si="0"/>
        <v>19</v>
      </c>
      <c r="E20" s="31">
        <f ca="1">VLOOKUP(A20,Rankings!$B$1:$H$651,6,FALSE)+(RAND()*0.00001)</f>
        <v>401.55445391005674</v>
      </c>
      <c r="F20" s="31">
        <f ca="1">E20-VLOOKUP(Settings!$K$6,D$2:E$500,2,FALSE)</f>
        <v>148.19833686106779</v>
      </c>
      <c r="G20" s="138">
        <f t="shared" ca="1" si="1"/>
        <v>33</v>
      </c>
      <c r="H20" s="31">
        <f ca="1">VLOOKUP(A20,Rankings!$B$1:$H$651,7,FALSE)+(RAND()*0.00001)</f>
        <v>3.2710736722670388</v>
      </c>
      <c r="I20" s="31">
        <f ca="1">H20-VLOOKUP(Settings!$K$6,G$2:H$139,2,FALSE)</f>
        <v>3.4279996583873893</v>
      </c>
      <c r="J20" s="31" t="str">
        <f>VLOOKUP(A20,Rankings!B:D,3,FALSE)</f>
        <v>NL</v>
      </c>
    </row>
    <row r="21" spans="1:10" ht="18.600000000000001" customHeight="1">
      <c r="A21" s="26" t="s">
        <v>168</v>
      </c>
      <c r="B21" s="27" t="s">
        <v>84</v>
      </c>
      <c r="C21" s="123" t="s">
        <v>23</v>
      </c>
      <c r="D21" s="138">
        <f t="shared" ca="1" si="0"/>
        <v>20</v>
      </c>
      <c r="E21" s="31">
        <f ca="1">VLOOKUP(A21,Rankings!$B$1:$H$651,6,FALSE)+(RAND()*0.00001)</f>
        <v>395.97834065163249</v>
      </c>
      <c r="F21" s="31">
        <f ca="1">E21-VLOOKUP(Settings!$K$6,D$2:E$500,2,FALSE)</f>
        <v>142.62222360264354</v>
      </c>
      <c r="G21" s="138">
        <f t="shared" ca="1" si="1"/>
        <v>25</v>
      </c>
      <c r="H21" s="31">
        <f ca="1">VLOOKUP(A21,Rankings!$B$1:$H$651,7,FALSE)+(RAND()*0.00001)</f>
        <v>4.1224441668623788</v>
      </c>
      <c r="I21" s="31">
        <f ca="1">H21-VLOOKUP(Settings!$K$6,G$2:H$139,2,FALSE)</f>
        <v>4.2793701529827297</v>
      </c>
      <c r="J21" s="31" t="str">
        <f>VLOOKUP(A21,Rankings!B:D,3,FALSE)</f>
        <v>AL</v>
      </c>
    </row>
    <row r="22" spans="1:10" ht="18.600000000000001" customHeight="1">
      <c r="A22" s="26" t="s">
        <v>135</v>
      </c>
      <c r="B22" s="27" t="s">
        <v>114</v>
      </c>
      <c r="C22" s="123" t="s">
        <v>23</v>
      </c>
      <c r="D22" s="138">
        <f t="shared" ca="1" si="0"/>
        <v>22</v>
      </c>
      <c r="E22" s="31">
        <f ca="1">VLOOKUP(A22,Rankings!$B$1:$H$651,6,FALSE)+(RAND()*0.00001)</f>
        <v>391.27444796859072</v>
      </c>
      <c r="F22" s="31">
        <f ca="1">E22-VLOOKUP(Settings!$K$6,D$2:E$500,2,FALSE)</f>
        <v>137.91833091960177</v>
      </c>
      <c r="G22" s="138">
        <f t="shared" ca="1" si="1"/>
        <v>22</v>
      </c>
      <c r="H22" s="31">
        <f ca="1">VLOOKUP(A22,Rankings!$B$1:$H$651,7,FALSE)+(RAND()*0.00001)</f>
        <v>4.6770737915205158</v>
      </c>
      <c r="I22" s="31">
        <f ca="1">H22-VLOOKUP(Settings!$K$6,G$2:H$139,2,FALSE)</f>
        <v>4.8339997776408667</v>
      </c>
      <c r="J22" s="31" t="str">
        <f>VLOOKUP(A22,Rankings!B:D,3,FALSE)</f>
        <v>AL</v>
      </c>
    </row>
    <row r="23" spans="1:10" ht="18.600000000000001" customHeight="1">
      <c r="A23" s="26" t="s">
        <v>131</v>
      </c>
      <c r="B23" s="27" t="s">
        <v>71</v>
      </c>
      <c r="C23" s="123" t="s">
        <v>23</v>
      </c>
      <c r="D23" s="138">
        <f t="shared" ca="1" si="0"/>
        <v>21</v>
      </c>
      <c r="E23" s="31">
        <f ca="1">VLOOKUP(A23,Rankings!$B$1:$H$651,6,FALSE)+(RAND()*0.00001)</f>
        <v>394.34833737559853</v>
      </c>
      <c r="F23" s="31">
        <f ca="1">E23-VLOOKUP(Settings!$K$6,D$2:E$500,2,FALSE)</f>
        <v>140.99222032660958</v>
      </c>
      <c r="G23" s="138">
        <f t="shared" ca="1" si="1"/>
        <v>17</v>
      </c>
      <c r="H23" s="31">
        <f ca="1">VLOOKUP(A23,Rankings!$B$1:$H$651,7,FALSE)+(RAND()*0.00001)</f>
        <v>5.4298321925883055</v>
      </c>
      <c r="I23" s="31">
        <f ca="1">H23-VLOOKUP(Settings!$K$6,G$2:H$139,2,FALSE)</f>
        <v>5.5867581787086564</v>
      </c>
      <c r="J23" s="31" t="str">
        <f>VLOOKUP(A23,Rankings!B:D,3,FALSE)</f>
        <v>AL</v>
      </c>
    </row>
    <row r="24" spans="1:10" ht="18.600000000000001" customHeight="1">
      <c r="A24" s="26" t="s">
        <v>130</v>
      </c>
      <c r="B24" s="27" t="s">
        <v>86</v>
      </c>
      <c r="C24" s="123" t="s">
        <v>23</v>
      </c>
      <c r="D24" s="138">
        <f t="shared" ca="1" si="0"/>
        <v>23</v>
      </c>
      <c r="E24" s="31">
        <f ca="1">VLOOKUP(A24,Rankings!$B$1:$H$651,6,FALSE)+(RAND()*0.00001)</f>
        <v>390.9050037415422</v>
      </c>
      <c r="F24" s="31">
        <f ca="1">E24-VLOOKUP(Settings!$K$6,D$2:E$500,2,FALSE)</f>
        <v>137.54888669255325</v>
      </c>
      <c r="G24" s="138">
        <f t="shared" ca="1" si="1"/>
        <v>18</v>
      </c>
      <c r="H24" s="31">
        <f ca="1">VLOOKUP(A24,Rankings!$B$1:$H$651,7,FALSE)+(RAND()*0.00001)</f>
        <v>5.3360568657346468</v>
      </c>
      <c r="I24" s="31">
        <f ca="1">H24-VLOOKUP(Settings!$K$6,G$2:H$139,2,FALSE)</f>
        <v>5.4929828518549977</v>
      </c>
      <c r="J24" s="31" t="str">
        <f>VLOOKUP(A24,Rankings!B:D,3,FALSE)</f>
        <v>AL</v>
      </c>
    </row>
    <row r="25" spans="1:10" ht="18.600000000000001" customHeight="1">
      <c r="A25" s="26" t="s">
        <v>108</v>
      </c>
      <c r="B25" s="27" t="s">
        <v>95</v>
      </c>
      <c r="C25" s="123" t="s">
        <v>23</v>
      </c>
      <c r="D25" s="138">
        <f t="shared" ca="1" si="0"/>
        <v>24</v>
      </c>
      <c r="E25" s="31">
        <f ca="1">VLOOKUP(A25,Rankings!$B$1:$H$651,6,FALSE)+(RAND()*0.00001)</f>
        <v>388.54334000253078</v>
      </c>
      <c r="F25" s="31">
        <f ca="1">E25-VLOOKUP(Settings!$K$6,D$2:E$500,2,FALSE)</f>
        <v>135.18722295354183</v>
      </c>
      <c r="G25" s="138">
        <f t="shared" ca="1" si="1"/>
        <v>14</v>
      </c>
      <c r="H25" s="31">
        <f ca="1">VLOOKUP(A25,Rankings!$B$1:$H$651,7,FALSE)+(RAND()*0.00001)</f>
        <v>6.0491923643140497</v>
      </c>
      <c r="I25" s="31">
        <f ca="1">H25-VLOOKUP(Settings!$K$6,G$2:H$139,2,FALSE)</f>
        <v>6.2061183504344006</v>
      </c>
      <c r="J25" s="31" t="str">
        <f>VLOOKUP(A25,Rankings!B:D,3,FALSE)</f>
        <v>NL</v>
      </c>
    </row>
    <row r="26" spans="1:10" ht="18.600000000000001" customHeight="1">
      <c r="A26" s="26" t="s">
        <v>175</v>
      </c>
      <c r="B26" s="27" t="s">
        <v>176</v>
      </c>
      <c r="C26" s="123" t="s">
        <v>23</v>
      </c>
      <c r="D26" s="138">
        <f t="shared" ca="1" si="0"/>
        <v>26</v>
      </c>
      <c r="E26" s="31">
        <f ca="1">VLOOKUP(A26,Rankings!$B$1:$H$651,6,FALSE)+(RAND()*0.00001)</f>
        <v>381.73000426470668</v>
      </c>
      <c r="F26" s="31">
        <f ca="1">E26-VLOOKUP(Settings!$K$6,D$2:E$500,2,FALSE)</f>
        <v>128.37388721571773</v>
      </c>
      <c r="G26" s="138">
        <f t="shared" ca="1" si="1"/>
        <v>26</v>
      </c>
      <c r="H26" s="31">
        <f ca="1">VLOOKUP(A26,Rankings!$B$1:$H$651,7,FALSE)+(RAND()*0.00001)</f>
        <v>4.0481385271655492</v>
      </c>
      <c r="I26" s="31">
        <f ca="1">H26-VLOOKUP(Settings!$K$6,G$2:H$139,2,FALSE)</f>
        <v>4.2050645132859001</v>
      </c>
      <c r="J26" s="31" t="str">
        <f>VLOOKUP(A26,Rankings!B:D,3,FALSE)</f>
        <v>NL</v>
      </c>
    </row>
    <row r="27" spans="1:10" ht="18.600000000000001" customHeight="1">
      <c r="A27" s="26" t="s">
        <v>184</v>
      </c>
      <c r="B27" s="27" t="s">
        <v>103</v>
      </c>
      <c r="C27" s="123" t="s">
        <v>23</v>
      </c>
      <c r="D27" s="138">
        <f t="shared" ca="1" si="0"/>
        <v>27</v>
      </c>
      <c r="E27" s="31">
        <f ca="1">VLOOKUP(A27,Rankings!$B$1:$H$651,6,FALSE)+(RAND()*0.00001)</f>
        <v>381.00612087520102</v>
      </c>
      <c r="F27" s="31">
        <f ca="1">E27-VLOOKUP(Settings!$K$6,D$2:E$500,2,FALSE)</f>
        <v>127.65000382621207</v>
      </c>
      <c r="G27" s="138">
        <f t="shared" ca="1" si="1"/>
        <v>34</v>
      </c>
      <c r="H27" s="31">
        <f ca="1">VLOOKUP(A27,Rankings!$B$1:$H$651,7,FALSE)+(RAND()*0.00001)</f>
        <v>3.1852197802624151</v>
      </c>
      <c r="I27" s="31">
        <f ca="1">H27-VLOOKUP(Settings!$K$6,G$2:H$139,2,FALSE)</f>
        <v>3.3421457663827656</v>
      </c>
      <c r="J27" s="31" t="str">
        <f>VLOOKUP(A27,Rankings!B:D,3,FALSE)</f>
        <v>AL</v>
      </c>
    </row>
    <row r="28" spans="1:10" ht="18.600000000000001" customHeight="1">
      <c r="A28" s="26" t="s">
        <v>155</v>
      </c>
      <c r="B28" s="27" t="s">
        <v>156</v>
      </c>
      <c r="C28" s="123" t="s">
        <v>23</v>
      </c>
      <c r="D28" s="138">
        <f t="shared" ca="1" si="0"/>
        <v>29</v>
      </c>
      <c r="E28" s="31">
        <f ca="1">VLOOKUP(A28,Rankings!$B$1:$H$651,6,FALSE)+(RAND()*0.00001)</f>
        <v>378.49734127254885</v>
      </c>
      <c r="F28" s="31">
        <f ca="1">E28-VLOOKUP(Settings!$K$6,D$2:E$500,2,FALSE)</f>
        <v>125.1412242235599</v>
      </c>
      <c r="G28" s="138">
        <f t="shared" ca="1" si="1"/>
        <v>21</v>
      </c>
      <c r="H28" s="31">
        <f ca="1">VLOOKUP(A28,Rankings!$B$1:$H$651,7,FALSE)+(RAND()*0.00001)</f>
        <v>4.8279803889975286</v>
      </c>
      <c r="I28" s="31">
        <f ca="1">H28-VLOOKUP(Settings!$K$6,G$2:H$139,2,FALSE)</f>
        <v>4.9849063751178795</v>
      </c>
      <c r="J28" s="31" t="str">
        <f>VLOOKUP(A28,Rankings!B:D,3,FALSE)</f>
        <v>AL</v>
      </c>
    </row>
    <row r="29" spans="1:10" ht="18.600000000000001" customHeight="1">
      <c r="A29" s="26" t="s">
        <v>157</v>
      </c>
      <c r="B29" s="27" t="s">
        <v>158</v>
      </c>
      <c r="C29" s="123" t="s">
        <v>23</v>
      </c>
      <c r="D29" s="138">
        <f t="shared" ca="1" si="0"/>
        <v>35</v>
      </c>
      <c r="E29" s="31">
        <f ca="1">VLOOKUP(A29,Rankings!$B$1:$H$651,6,FALSE)+(RAND()*0.00001)</f>
        <v>360.47087945194363</v>
      </c>
      <c r="F29" s="31">
        <f ca="1">E29-VLOOKUP(Settings!$K$6,D$2:E$500,2,FALSE)</f>
        <v>107.11476240295468</v>
      </c>
      <c r="G29" s="138">
        <f t="shared" ca="1" si="1"/>
        <v>31</v>
      </c>
      <c r="H29" s="31">
        <f ca="1">VLOOKUP(A29,Rankings!$B$1:$H$651,7,FALSE)+(RAND()*0.00001)</f>
        <v>3.5531435790757673</v>
      </c>
      <c r="I29" s="31">
        <f ca="1">H29-VLOOKUP(Settings!$K$6,G$2:H$139,2,FALSE)</f>
        <v>3.7100695651961177</v>
      </c>
      <c r="J29" s="31" t="str">
        <f>VLOOKUP(A29,Rankings!B:D,3,FALSE)</f>
        <v>NL</v>
      </c>
    </row>
    <row r="30" spans="1:10" ht="18.600000000000001" customHeight="1">
      <c r="A30" s="26" t="s">
        <v>190</v>
      </c>
      <c r="B30" s="27" t="s">
        <v>158</v>
      </c>
      <c r="C30" s="123" t="s">
        <v>23</v>
      </c>
      <c r="D30" s="138">
        <f t="shared" ca="1" si="0"/>
        <v>25</v>
      </c>
      <c r="E30" s="31">
        <f ca="1">VLOOKUP(A30,Rankings!$B$1:$H$651,6,FALSE)+(RAND()*0.00001)</f>
        <v>382.80444453849674</v>
      </c>
      <c r="F30" s="31">
        <f ca="1">E30-VLOOKUP(Settings!$K$6,D$2:E$500,2,FALSE)</f>
        <v>129.44832748950779</v>
      </c>
      <c r="G30" s="138">
        <f t="shared" ca="1" si="1"/>
        <v>32</v>
      </c>
      <c r="H30" s="31">
        <f ca="1">VLOOKUP(A30,Rankings!$B$1:$H$651,7,FALSE)+(RAND()*0.00001)</f>
        <v>3.4019443979724553</v>
      </c>
      <c r="I30" s="31">
        <f ca="1">H30-VLOOKUP(Settings!$K$6,G$2:H$139,2,FALSE)</f>
        <v>3.5588703840928058</v>
      </c>
      <c r="J30" s="31" t="str">
        <f>VLOOKUP(A30,Rankings!B:D,3,FALSE)</f>
        <v>NL</v>
      </c>
    </row>
    <row r="31" spans="1:10" ht="18.600000000000001" customHeight="1">
      <c r="A31" s="26" t="s">
        <v>191</v>
      </c>
      <c r="B31" s="27" t="s">
        <v>103</v>
      </c>
      <c r="C31" s="123" t="s">
        <v>23</v>
      </c>
      <c r="D31" s="138">
        <f t="shared" ca="1" si="0"/>
        <v>28</v>
      </c>
      <c r="E31" s="31">
        <f ca="1">VLOOKUP(A31,Rankings!$B$1:$H$651,6,FALSE)+(RAND()*0.00001)</f>
        <v>380.83056257863149</v>
      </c>
      <c r="F31" s="31">
        <f ca="1">E31-VLOOKUP(Settings!$K$6,D$2:E$500,2,FALSE)</f>
        <v>127.47444552964254</v>
      </c>
      <c r="G31" s="138">
        <f t="shared" ca="1" si="1"/>
        <v>30</v>
      </c>
      <c r="H31" s="31">
        <f ca="1">VLOOKUP(A31,Rankings!$B$1:$H$651,7,FALSE)+(RAND()*0.00001)</f>
        <v>3.6281664364343116</v>
      </c>
      <c r="I31" s="31">
        <f ca="1">H31-VLOOKUP(Settings!$K$6,G$2:H$139,2,FALSE)</f>
        <v>3.7850924225546621</v>
      </c>
      <c r="J31" s="31" t="str">
        <f>VLOOKUP(A31,Rankings!B:D,3,FALSE)</f>
        <v>AL</v>
      </c>
    </row>
    <row r="32" spans="1:10" ht="20.100000000000001" customHeight="1">
      <c r="A32" s="26" t="s">
        <v>149</v>
      </c>
      <c r="B32" s="27" t="s">
        <v>123</v>
      </c>
      <c r="C32" s="123" t="s">
        <v>23</v>
      </c>
      <c r="D32" s="138">
        <f t="shared" ca="1" si="0"/>
        <v>30</v>
      </c>
      <c r="E32" s="31">
        <f ca="1">VLOOKUP(A32,Rankings!$B$1:$H$651,6,FALSE)+(RAND()*0.00001)</f>
        <v>376.30056183160315</v>
      </c>
      <c r="F32" s="31">
        <f ca="1">E32-VLOOKUP(Settings!$K$6,D$2:E$500,2,FALSE)</f>
        <v>122.9444447826142</v>
      </c>
      <c r="G32" s="138">
        <f t="shared" ca="1" si="1"/>
        <v>19</v>
      </c>
      <c r="H32" s="31">
        <f ca="1">VLOOKUP(A32,Rankings!$B$1:$H$651,7,FALSE)+(RAND()*0.00001)</f>
        <v>5.1193047402599419</v>
      </c>
      <c r="I32" s="31">
        <f ca="1">H32-VLOOKUP(Settings!$K$6,G$2:H$139,2,FALSE)</f>
        <v>5.2762307263802928</v>
      </c>
      <c r="J32" s="31" t="str">
        <f>VLOOKUP(A32,Rankings!B:D,3,FALSE)</f>
        <v>NL</v>
      </c>
    </row>
    <row r="33" spans="1:10" ht="20.100000000000001" customHeight="1">
      <c r="A33" s="26" t="s">
        <v>119</v>
      </c>
      <c r="B33" s="27" t="s">
        <v>120</v>
      </c>
      <c r="C33" s="123" t="s">
        <v>23</v>
      </c>
      <c r="D33" s="138">
        <f t="shared" ca="1" si="0"/>
        <v>31</v>
      </c>
      <c r="E33" s="31">
        <f ca="1">VLOOKUP(A33,Rankings!$B$1:$H$651,6,FALSE)+(RAND()*0.00001)</f>
        <v>373.07111161831955</v>
      </c>
      <c r="F33" s="31">
        <f ca="1">E33-VLOOKUP(Settings!$K$6,D$2:E$500,2,FALSE)</f>
        <v>119.7149945693306</v>
      </c>
      <c r="G33" s="138">
        <f t="shared" ca="1" si="1"/>
        <v>20</v>
      </c>
      <c r="H33" s="31">
        <f ca="1">VLOOKUP(A33,Rankings!$B$1:$H$651,7,FALSE)+(RAND()*0.00001)</f>
        <v>4.9312538013815796</v>
      </c>
      <c r="I33" s="31">
        <f ca="1">H33-VLOOKUP(Settings!$K$6,G$2:H$139,2,FALSE)</f>
        <v>5.0881797875019306</v>
      </c>
      <c r="J33" s="31" t="str">
        <f>VLOOKUP(A33,Rankings!B:D,3,FALSE)</f>
        <v>NL</v>
      </c>
    </row>
    <row r="34" spans="1:10" ht="18.600000000000001" customHeight="1">
      <c r="A34" s="26" t="s">
        <v>187</v>
      </c>
      <c r="B34" s="27" t="s">
        <v>91</v>
      </c>
      <c r="C34" s="123" t="s">
        <v>23</v>
      </c>
      <c r="D34" s="138">
        <f t="shared" ref="D34:D65" ca="1" si="2">RANK(E34,E$2:E$139)</f>
        <v>32</v>
      </c>
      <c r="E34" s="31">
        <f ca="1">VLOOKUP(A34,Rankings!$B$1:$H$651,6,FALSE)+(RAND()*0.00001)</f>
        <v>369.93167265188015</v>
      </c>
      <c r="F34" s="31">
        <f ca="1">E34-VLOOKUP(Settings!$K$6,D$2:E$500,2,FALSE)</f>
        <v>116.5755556028912</v>
      </c>
      <c r="G34" s="138">
        <f t="shared" ref="G34:G65" ca="1" si="3">RANK(H34,H$2:H$500)</f>
        <v>29</v>
      </c>
      <c r="H34" s="31">
        <f ca="1">VLOOKUP(A34,Rankings!$B$1:$H$651,7,FALSE)+(RAND()*0.00001)</f>
        <v>3.6650350674540833</v>
      </c>
      <c r="I34" s="31">
        <f ca="1">H34-VLOOKUP(Settings!$K$6,G$2:H$139,2,FALSE)</f>
        <v>3.8219610535744337</v>
      </c>
      <c r="J34" s="31" t="str">
        <f>VLOOKUP(A34,Rankings!B:D,3,FALSE)</f>
        <v>NL</v>
      </c>
    </row>
    <row r="35" spans="1:10" ht="18.600000000000001" customHeight="1">
      <c r="A35" s="26" t="s">
        <v>178</v>
      </c>
      <c r="B35" s="27" t="s">
        <v>120</v>
      </c>
      <c r="C35" s="123" t="s">
        <v>23</v>
      </c>
      <c r="D35" s="138">
        <f t="shared" ca="1" si="2"/>
        <v>33</v>
      </c>
      <c r="E35" s="31">
        <f ca="1">VLOOKUP(A35,Rankings!$B$1:$H$651,6,FALSE)+(RAND()*0.00001)</f>
        <v>367.32834141194246</v>
      </c>
      <c r="F35" s="31">
        <f ca="1">E35-VLOOKUP(Settings!$K$6,D$2:E$500,2,FALSE)</f>
        <v>113.97222436295351</v>
      </c>
      <c r="G35" s="138">
        <f t="shared" ca="1" si="3"/>
        <v>28</v>
      </c>
      <c r="H35" s="31">
        <f ca="1">VLOOKUP(A35,Rankings!$B$1:$H$651,7,FALSE)+(RAND()*0.00001)</f>
        <v>3.7859953056066433</v>
      </c>
      <c r="I35" s="31">
        <f ca="1">H35-VLOOKUP(Settings!$K$6,G$2:H$139,2,FALSE)</f>
        <v>3.9429212917269938</v>
      </c>
      <c r="J35" s="31" t="str">
        <f>VLOOKUP(A35,Rankings!B:D,3,FALSE)</f>
        <v>NL</v>
      </c>
    </row>
    <row r="36" spans="1:10" ht="18.600000000000001" customHeight="1">
      <c r="A36" s="26" t="s">
        <v>195</v>
      </c>
      <c r="B36" s="27" t="s">
        <v>84</v>
      </c>
      <c r="C36" s="123" t="s">
        <v>23</v>
      </c>
      <c r="D36" s="138">
        <f t="shared" ca="1" si="2"/>
        <v>36</v>
      </c>
      <c r="E36" s="31">
        <f ca="1">VLOOKUP(A36,Rankings!$B$1:$H$651,6,FALSE)+(RAND()*0.00001)</f>
        <v>357.45833428566766</v>
      </c>
      <c r="F36" s="31">
        <f ca="1">E36-VLOOKUP(Settings!$K$6,D$2:E$500,2,FALSE)</f>
        <v>104.10221723667871</v>
      </c>
      <c r="G36" s="138">
        <f t="shared" ca="1" si="3"/>
        <v>36</v>
      </c>
      <c r="H36" s="31">
        <f ca="1">VLOOKUP(A36,Rankings!$B$1:$H$651,7,FALSE)+(RAND()*0.00001)</f>
        <v>2.8677617631288723</v>
      </c>
      <c r="I36" s="31">
        <f ca="1">H36-VLOOKUP(Settings!$K$6,G$2:H$139,2,FALSE)</f>
        <v>3.0246877492492228</v>
      </c>
      <c r="J36" s="31" t="str">
        <f>VLOOKUP(A36,Rankings!B:D,3,FALSE)</f>
        <v>AL</v>
      </c>
    </row>
    <row r="37" spans="1:10" ht="18.600000000000001" customHeight="1">
      <c r="A37" s="26" t="s">
        <v>173</v>
      </c>
      <c r="B37" s="27" t="s">
        <v>68</v>
      </c>
      <c r="C37" s="123" t="s">
        <v>23</v>
      </c>
      <c r="D37" s="138">
        <f t="shared" ca="1" si="2"/>
        <v>37</v>
      </c>
      <c r="E37" s="31">
        <f ca="1">VLOOKUP(A37,Rankings!$B$1:$H$651,6,FALSE)+(RAND()*0.00001)</f>
        <v>353.73445250355388</v>
      </c>
      <c r="F37" s="31">
        <f ca="1">E37-VLOOKUP(Settings!$K$6,D$2:E$500,2,FALSE)</f>
        <v>100.37833545456493</v>
      </c>
      <c r="G37" s="138">
        <f t="shared" ca="1" si="3"/>
        <v>35</v>
      </c>
      <c r="H37" s="31">
        <f ca="1">VLOOKUP(A37,Rankings!$B$1:$H$651,7,FALSE)+(RAND()*0.00001)</f>
        <v>3.1401692123918616</v>
      </c>
      <c r="I37" s="31">
        <f ca="1">H37-VLOOKUP(Settings!$K$6,G$2:H$139,2,FALSE)</f>
        <v>3.2970951985122121</v>
      </c>
      <c r="J37" s="31" t="str">
        <f>VLOOKUP(A37,Rankings!B:D,3,FALSE)</f>
        <v>AL</v>
      </c>
    </row>
    <row r="38" spans="1:10" ht="18.600000000000001" customHeight="1">
      <c r="A38" s="26" t="s">
        <v>216</v>
      </c>
      <c r="B38" s="27" t="s">
        <v>217</v>
      </c>
      <c r="C38" s="123" t="s">
        <v>23</v>
      </c>
      <c r="D38" s="138">
        <f t="shared" ca="1" si="2"/>
        <v>39</v>
      </c>
      <c r="E38" s="31">
        <f ca="1">VLOOKUP(A38,Rankings!$B$1:$H$651,6,FALSE)+(RAND()*0.00001)</f>
        <v>335.48000101398122</v>
      </c>
      <c r="F38" s="31">
        <f ca="1">E38-VLOOKUP(Settings!$K$6,D$2:E$500,2,FALSE)</f>
        <v>82.123883964992274</v>
      </c>
      <c r="G38" s="138">
        <f t="shared" ca="1" si="3"/>
        <v>40</v>
      </c>
      <c r="H38" s="31">
        <f ca="1">VLOOKUP(A38,Rankings!$B$1:$H$651,7,FALSE)+(RAND()*0.00001)</f>
        <v>2.1555931154105736</v>
      </c>
      <c r="I38" s="31">
        <f ca="1">H38-VLOOKUP(Settings!$K$6,G$2:H$139,2,FALSE)</f>
        <v>2.3125191015309241</v>
      </c>
      <c r="J38" s="31" t="str">
        <f>VLOOKUP(A38,Rankings!B:D,3,FALSE)</f>
        <v>NL</v>
      </c>
    </row>
    <row r="39" spans="1:10" ht="18.600000000000001" customHeight="1">
      <c r="A39" s="26" t="s">
        <v>218</v>
      </c>
      <c r="B39" s="27" t="s">
        <v>114</v>
      </c>
      <c r="C39" s="123" t="s">
        <v>23</v>
      </c>
      <c r="D39" s="138">
        <f t="shared" ca="1" si="2"/>
        <v>38</v>
      </c>
      <c r="E39" s="31">
        <f ca="1">VLOOKUP(A39,Rankings!$B$1:$H$651,6,FALSE)+(RAND()*0.00001)</f>
        <v>349.44667666520928</v>
      </c>
      <c r="F39" s="31">
        <f ca="1">E39-VLOOKUP(Settings!$K$6,D$2:E$500,2,FALSE)</f>
        <v>96.090559616220332</v>
      </c>
      <c r="G39" s="138">
        <f t="shared" ca="1" si="3"/>
        <v>37</v>
      </c>
      <c r="H39" s="31">
        <f ca="1">VLOOKUP(A39,Rankings!$B$1:$H$651,7,FALSE)+(RAND()*0.00001)</f>
        <v>2.7154795526289321</v>
      </c>
      <c r="I39" s="31">
        <f ca="1">H39-VLOOKUP(Settings!$K$6,G$2:H$139,2,FALSE)</f>
        <v>2.8724055387492826</v>
      </c>
      <c r="J39" s="31" t="str">
        <f>VLOOKUP(A39,Rankings!B:D,3,FALSE)</f>
        <v>AL</v>
      </c>
    </row>
    <row r="40" spans="1:10" ht="18.600000000000001" customHeight="1">
      <c r="A40" s="26" t="s">
        <v>235</v>
      </c>
      <c r="B40" s="27" t="s">
        <v>99</v>
      </c>
      <c r="C40" s="123" t="s">
        <v>23</v>
      </c>
      <c r="D40" s="138">
        <f t="shared" ca="1" si="2"/>
        <v>40</v>
      </c>
      <c r="E40" s="31">
        <f ca="1">VLOOKUP(A40,Rankings!$B$1:$H$651,6,FALSE)+(RAND()*0.00001)</f>
        <v>329.02833695530791</v>
      </c>
      <c r="F40" s="31">
        <f ca="1">E40-VLOOKUP(Settings!$K$6,D$2:E$500,2,FALSE)</f>
        <v>75.672219906318958</v>
      </c>
      <c r="G40" s="138">
        <f t="shared" ca="1" si="3"/>
        <v>46</v>
      </c>
      <c r="H40" s="31">
        <f ca="1">VLOOKUP(A40,Rankings!$B$1:$H$651,7,FALSE)+(RAND()*0.00001)</f>
        <v>1.6678358827304676</v>
      </c>
      <c r="I40" s="31">
        <f ca="1">H40-VLOOKUP(Settings!$K$6,G$2:H$139,2,FALSE)</f>
        <v>1.8247618688508183</v>
      </c>
      <c r="J40" s="31" t="str">
        <f>VLOOKUP(A40,Rankings!B:D,3,FALSE)</f>
        <v>AL</v>
      </c>
    </row>
    <row r="41" spans="1:10" ht="18.600000000000001" customHeight="1">
      <c r="A41" s="26" t="s">
        <v>276</v>
      </c>
      <c r="B41" s="27" t="s">
        <v>217</v>
      </c>
      <c r="C41" s="123" t="s">
        <v>23</v>
      </c>
      <c r="D41" s="138">
        <f t="shared" ca="1" si="2"/>
        <v>44</v>
      </c>
      <c r="E41" s="31">
        <f ca="1">VLOOKUP(A41,Rankings!$B$1:$H$651,6,FALSE)+(RAND()*0.00001)</f>
        <v>324.05055694304434</v>
      </c>
      <c r="F41" s="31">
        <f ca="1">E41-VLOOKUP(Settings!$K$6,D$2:E$500,2,FALSE)</f>
        <v>70.694439894055392</v>
      </c>
      <c r="G41" s="138">
        <f t="shared" ca="1" si="3"/>
        <v>56</v>
      </c>
      <c r="H41" s="31">
        <f ca="1">VLOOKUP(A41,Rankings!$B$1:$H$651,7,FALSE)+(RAND()*0.00001)</f>
        <v>0.73572344301694437</v>
      </c>
      <c r="I41" s="31">
        <f ca="1">H41-VLOOKUP(Settings!$K$6,G$2:H$139,2,FALSE)</f>
        <v>0.89264942913729506</v>
      </c>
      <c r="J41" s="31" t="str">
        <f>VLOOKUP(A41,Rankings!B:D,3,FALSE)</f>
        <v>NL</v>
      </c>
    </row>
    <row r="42" spans="1:10" ht="18.600000000000001" customHeight="1">
      <c r="A42" s="26" t="s">
        <v>250</v>
      </c>
      <c r="B42" s="27" t="s">
        <v>140</v>
      </c>
      <c r="C42" s="123" t="s">
        <v>23</v>
      </c>
      <c r="D42" s="138">
        <f t="shared" ca="1" si="2"/>
        <v>41</v>
      </c>
      <c r="E42" s="31">
        <f ca="1">VLOOKUP(A42,Rankings!$B$1:$H$651,6,FALSE)+(RAND()*0.00001)</f>
        <v>327.77778588379249</v>
      </c>
      <c r="F42" s="31">
        <f ca="1">E42-VLOOKUP(Settings!$K$6,D$2:E$500,2,FALSE)</f>
        <v>74.42166883480354</v>
      </c>
      <c r="G42" s="138">
        <f t="shared" ca="1" si="3"/>
        <v>38</v>
      </c>
      <c r="H42" s="31">
        <f ca="1">VLOOKUP(A42,Rankings!$B$1:$H$651,7,FALSE)+(RAND()*0.00001)</f>
        <v>2.3325057367806363</v>
      </c>
      <c r="I42" s="31">
        <f ca="1">H42-VLOOKUP(Settings!$K$6,G$2:H$139,2,FALSE)</f>
        <v>2.4894317229009868</v>
      </c>
      <c r="J42" s="31" t="str">
        <f>VLOOKUP(A42,Rankings!B:D,3,FALSE)</f>
        <v>AL</v>
      </c>
    </row>
    <row r="43" spans="1:10" ht="18.600000000000001" customHeight="1">
      <c r="A43" s="26" t="s">
        <v>257</v>
      </c>
      <c r="B43" s="27" t="s">
        <v>258</v>
      </c>
      <c r="C43" s="123" t="s">
        <v>23</v>
      </c>
      <c r="D43" s="138">
        <f t="shared" ca="1" si="2"/>
        <v>43</v>
      </c>
      <c r="E43" s="31">
        <f ca="1">VLOOKUP(A43,Rankings!$B$1:$H$651,6,FALSE)+(RAND()*0.00001)</f>
        <v>326.48611371821221</v>
      </c>
      <c r="F43" s="31">
        <f ca="1">E43-VLOOKUP(Settings!$K$6,D$2:E$500,2,FALSE)</f>
        <v>73.12999666922326</v>
      </c>
      <c r="G43" s="138">
        <f t="shared" ca="1" si="3"/>
        <v>47</v>
      </c>
      <c r="H43" s="31">
        <f ca="1">VLOOKUP(A43,Rankings!$B$1:$H$651,7,FALSE)+(RAND()*0.00001)</f>
        <v>1.4920999087554077</v>
      </c>
      <c r="I43" s="31">
        <f ca="1">H43-VLOOKUP(Settings!$K$6,G$2:H$139,2,FALSE)</f>
        <v>1.6490258948757583</v>
      </c>
      <c r="J43" s="31" t="str">
        <f>VLOOKUP(A43,Rankings!B:D,3,FALSE)</f>
        <v>AL</v>
      </c>
    </row>
    <row r="44" spans="1:10" ht="18.600000000000001" customHeight="1">
      <c r="A44" s="26" t="s">
        <v>205</v>
      </c>
      <c r="B44" s="27" t="s">
        <v>68</v>
      </c>
      <c r="C44" s="123" t="s">
        <v>23</v>
      </c>
      <c r="D44" s="138">
        <f t="shared" ca="1" si="2"/>
        <v>61</v>
      </c>
      <c r="E44" s="31">
        <f ca="1">VLOOKUP(A44,Rankings!$B$1:$H$651,6,FALSE)+(RAND()*0.00001)</f>
        <v>300.29296238637755</v>
      </c>
      <c r="F44" s="31">
        <f ca="1">E44-VLOOKUP(Settings!$K$6,D$2:E$500,2,FALSE)</f>
        <v>46.936845337388604</v>
      </c>
      <c r="G44" s="138">
        <f t="shared" ca="1" si="3"/>
        <v>43</v>
      </c>
      <c r="H44" s="31">
        <f ca="1">VLOOKUP(A44,Rankings!$B$1:$H$651,7,FALSE)+(RAND()*0.00001)</f>
        <v>1.9378584503565033</v>
      </c>
      <c r="I44" s="31">
        <f ca="1">H44-VLOOKUP(Settings!$K$6,G$2:H$139,2,FALSE)</f>
        <v>2.094784436476854</v>
      </c>
      <c r="J44" s="31" t="str">
        <f>VLOOKUP(A44,Rankings!B:D,3,FALSE)</f>
        <v>AL</v>
      </c>
    </row>
    <row r="45" spans="1:10" ht="18.600000000000001" customHeight="1">
      <c r="A45" s="26" t="s">
        <v>311</v>
      </c>
      <c r="B45" s="27" t="s">
        <v>258</v>
      </c>
      <c r="C45" s="123" t="s">
        <v>23</v>
      </c>
      <c r="D45" s="138">
        <f t="shared" ca="1" si="2"/>
        <v>45</v>
      </c>
      <c r="E45" s="31">
        <f ca="1">VLOOKUP(A45,Rankings!$B$1:$H$651,6,FALSE)+(RAND()*0.00001)</f>
        <v>323.19056251066337</v>
      </c>
      <c r="F45" s="31">
        <f ca="1">E45-VLOOKUP(Settings!$K$6,D$2:E$500,2,FALSE)</f>
        <v>69.83444546167442</v>
      </c>
      <c r="G45" s="138">
        <f t="shared" ca="1" si="3"/>
        <v>54</v>
      </c>
      <c r="H45" s="31">
        <f ca="1">VLOOKUP(A45,Rankings!$B$1:$H$651,7,FALSE)+(RAND()*0.00001)</f>
        <v>0.94626466031367962</v>
      </c>
      <c r="I45" s="31">
        <f ca="1">H45-VLOOKUP(Settings!$K$6,G$2:H$139,2,FALSE)</f>
        <v>1.1031906464340302</v>
      </c>
      <c r="J45" s="31" t="str">
        <f>VLOOKUP(A45,Rankings!B:D,3,FALSE)</f>
        <v>AL</v>
      </c>
    </row>
    <row r="46" spans="1:10" ht="18.600000000000001" customHeight="1">
      <c r="A46" s="26" t="s">
        <v>215</v>
      </c>
      <c r="B46" s="27" t="s">
        <v>120</v>
      </c>
      <c r="C46" s="123" t="s">
        <v>23</v>
      </c>
      <c r="D46" s="138">
        <f t="shared" ca="1" si="2"/>
        <v>47</v>
      </c>
      <c r="E46" s="31">
        <f ca="1">VLOOKUP(A46,Rankings!$B$1:$H$651,6,FALSE)+(RAND()*0.00001)</f>
        <v>322.22667411071245</v>
      </c>
      <c r="F46" s="31">
        <f ca="1">E46-VLOOKUP(Settings!$K$6,D$2:E$500,2,FALSE)</f>
        <v>68.870557061723503</v>
      </c>
      <c r="G46" s="138">
        <f t="shared" ca="1" si="3"/>
        <v>39</v>
      </c>
      <c r="H46" s="31">
        <f ca="1">VLOOKUP(A46,Rankings!$B$1:$H$651,7,FALSE)+(RAND()*0.00001)</f>
        <v>2.1764008462161959</v>
      </c>
      <c r="I46" s="31">
        <f ca="1">H46-VLOOKUP(Settings!$K$6,G$2:H$139,2,FALSE)</f>
        <v>2.3333268323365464</v>
      </c>
      <c r="J46" s="31" t="str">
        <f>VLOOKUP(A46,Rankings!B:D,3,FALSE)</f>
        <v>NL</v>
      </c>
    </row>
    <row r="47" spans="1:10" ht="18.600000000000001" customHeight="1">
      <c r="A47" s="26" t="s">
        <v>259</v>
      </c>
      <c r="B47" s="27" t="s">
        <v>217</v>
      </c>
      <c r="C47" s="123" t="s">
        <v>23</v>
      </c>
      <c r="D47" s="138">
        <f t="shared" ca="1" si="2"/>
        <v>42</v>
      </c>
      <c r="E47" s="31">
        <f ca="1">VLOOKUP(A47,Rankings!$B$1:$H$651,6,FALSE)+(RAND()*0.00001)</f>
        <v>327.0508420945016</v>
      </c>
      <c r="F47" s="31">
        <f ca="1">E47-VLOOKUP(Settings!$K$6,D$2:E$500,2,FALSE)</f>
        <v>73.694725045512655</v>
      </c>
      <c r="G47" s="138">
        <f t="shared" ca="1" si="3"/>
        <v>44</v>
      </c>
      <c r="H47" s="31">
        <f ca="1">VLOOKUP(A47,Rankings!$B$1:$H$651,7,FALSE)+(RAND()*0.00001)</f>
        <v>1.8287209170379715</v>
      </c>
      <c r="I47" s="31">
        <f ca="1">H47-VLOOKUP(Settings!$K$6,G$2:H$139,2,FALSE)</f>
        <v>1.9856469031583222</v>
      </c>
      <c r="J47" s="31" t="str">
        <f>VLOOKUP(A47,Rankings!B:D,3,FALSE)</f>
        <v>NL</v>
      </c>
    </row>
    <row r="48" spans="1:10" ht="18.600000000000001" customHeight="1">
      <c r="A48" s="26" t="s">
        <v>308</v>
      </c>
      <c r="B48" s="27" t="s">
        <v>97</v>
      </c>
      <c r="C48" s="123" t="s">
        <v>23</v>
      </c>
      <c r="D48" s="138">
        <f t="shared" ca="1" si="2"/>
        <v>49</v>
      </c>
      <c r="E48" s="31">
        <f ca="1">VLOOKUP(A48,Rankings!$B$1:$H$651,6,FALSE)+(RAND()*0.00001)</f>
        <v>318.50000831167443</v>
      </c>
      <c r="F48" s="31">
        <f ca="1">E48-VLOOKUP(Settings!$K$6,D$2:E$500,2,FALSE)</f>
        <v>65.143891262685486</v>
      </c>
      <c r="G48" s="138">
        <f t="shared" ca="1" si="3"/>
        <v>59</v>
      </c>
      <c r="H48" s="31">
        <f ca="1">VLOOKUP(A48,Rankings!$B$1:$H$651,7,FALSE)+(RAND()*0.00001)</f>
        <v>0.52701509005274294</v>
      </c>
      <c r="I48" s="31">
        <f ca="1">H48-VLOOKUP(Settings!$K$6,G$2:H$139,2,FALSE)</f>
        <v>0.68394107617309352</v>
      </c>
      <c r="J48" s="31" t="str">
        <f>VLOOKUP(A48,Rankings!B:D,3,FALSE)</f>
        <v>NL</v>
      </c>
    </row>
    <row r="49" spans="1:10" ht="18.600000000000001" customHeight="1">
      <c r="A49" s="26" t="s">
        <v>204</v>
      </c>
      <c r="B49" s="27" t="s">
        <v>76</v>
      </c>
      <c r="C49" s="123" t="s">
        <v>23</v>
      </c>
      <c r="D49" s="138">
        <f t="shared" ca="1" si="2"/>
        <v>53</v>
      </c>
      <c r="E49" s="31">
        <f ca="1">VLOOKUP(A49,Rankings!$B$1:$H$651,6,FALSE)+(RAND()*0.00001)</f>
        <v>312.63389520511907</v>
      </c>
      <c r="F49" s="31">
        <f ca="1">E49-VLOOKUP(Settings!$K$6,D$2:E$500,2,FALSE)</f>
        <v>59.277778156130125</v>
      </c>
      <c r="G49" s="138">
        <f t="shared" ca="1" si="3"/>
        <v>42</v>
      </c>
      <c r="H49" s="31">
        <f ca="1">VLOOKUP(A49,Rankings!$B$1:$H$651,7,FALSE)+(RAND()*0.00001)</f>
        <v>1.9388298441185818</v>
      </c>
      <c r="I49" s="31">
        <f ca="1">H49-VLOOKUP(Settings!$K$6,G$2:H$139,2,FALSE)</f>
        <v>2.0957558302389323</v>
      </c>
      <c r="J49" s="31" t="str">
        <f>VLOOKUP(A49,Rankings!B:D,3,FALSE)</f>
        <v>AL</v>
      </c>
    </row>
    <row r="50" spans="1:10" ht="18.600000000000001" customHeight="1">
      <c r="A50" s="26" t="s">
        <v>212</v>
      </c>
      <c r="B50" s="27" t="s">
        <v>176</v>
      </c>
      <c r="C50" s="123" t="s">
        <v>23</v>
      </c>
      <c r="D50" s="138">
        <f t="shared" ca="1" si="2"/>
        <v>48</v>
      </c>
      <c r="E50" s="31">
        <f ca="1">VLOOKUP(A50,Rankings!$B$1:$H$651,6,FALSE)+(RAND()*0.00001)</f>
        <v>319.76445181408411</v>
      </c>
      <c r="F50" s="31">
        <f ca="1">E50-VLOOKUP(Settings!$K$6,D$2:E$500,2,FALSE)</f>
        <v>66.408334765095162</v>
      </c>
      <c r="G50" s="138">
        <f t="shared" ca="1" si="3"/>
        <v>45</v>
      </c>
      <c r="H50" s="31">
        <f ca="1">VLOOKUP(A50,Rankings!$B$1:$H$651,7,FALSE)+(RAND()*0.00001)</f>
        <v>1.7356208412241756</v>
      </c>
      <c r="I50" s="31">
        <f ca="1">H50-VLOOKUP(Settings!$K$6,G$2:H$139,2,FALSE)</f>
        <v>1.8925468273445263</v>
      </c>
      <c r="J50" s="31" t="str">
        <f>VLOOKUP(A50,Rankings!B:D,3,FALSE)</f>
        <v>NL</v>
      </c>
    </row>
    <row r="51" spans="1:10" ht="18.600000000000001" customHeight="1">
      <c r="A51" s="26" t="s">
        <v>315</v>
      </c>
      <c r="B51" s="27" t="s">
        <v>123</v>
      </c>
      <c r="C51" s="123" t="s">
        <v>23</v>
      </c>
      <c r="D51" s="138">
        <f t="shared" ca="1" si="2"/>
        <v>46</v>
      </c>
      <c r="E51" s="31">
        <f ca="1">VLOOKUP(A51,Rankings!$B$1:$H$651,6,FALSE)+(RAND()*0.00001)</f>
        <v>322.92167279949939</v>
      </c>
      <c r="F51" s="31">
        <f ca="1">E51-VLOOKUP(Settings!$K$6,D$2:E$500,2,FALSE)</f>
        <v>69.565555750510441</v>
      </c>
      <c r="G51" s="138">
        <f t="shared" ca="1" si="3"/>
        <v>52</v>
      </c>
      <c r="H51" s="31">
        <f ca="1">VLOOKUP(A51,Rankings!$B$1:$H$651,7,FALSE)+(RAND()*0.00001)</f>
        <v>1.1237247785761164</v>
      </c>
      <c r="I51" s="31">
        <f ca="1">H51-VLOOKUP(Settings!$K$6,G$2:H$139,2,FALSE)</f>
        <v>1.2806507646964671</v>
      </c>
      <c r="J51" s="31" t="str">
        <f>VLOOKUP(A51,Rankings!B:D,3,FALSE)</f>
        <v>NL</v>
      </c>
    </row>
    <row r="52" spans="1:10" ht="18.600000000000001" customHeight="1">
      <c r="A52" s="26" t="s">
        <v>294</v>
      </c>
      <c r="B52" s="27" t="s">
        <v>158</v>
      </c>
      <c r="C52" s="123" t="s">
        <v>23</v>
      </c>
      <c r="D52" s="138">
        <f t="shared" ca="1" si="2"/>
        <v>50</v>
      </c>
      <c r="E52" s="31">
        <f ca="1">VLOOKUP(A52,Rankings!$B$1:$H$651,6,FALSE)+(RAND()*0.00001)</f>
        <v>316.95333361518607</v>
      </c>
      <c r="F52" s="31">
        <f ca="1">E52-VLOOKUP(Settings!$K$6,D$2:E$500,2,FALSE)</f>
        <v>63.597216566197119</v>
      </c>
      <c r="G52" s="138">
        <f t="shared" ca="1" si="3"/>
        <v>49</v>
      </c>
      <c r="H52" s="31">
        <f ca="1">VLOOKUP(A52,Rankings!$B$1:$H$651,7,FALSE)+(RAND()*0.00001)</f>
        <v>1.3734690148995992</v>
      </c>
      <c r="I52" s="31">
        <f ca="1">H52-VLOOKUP(Settings!$K$6,G$2:H$139,2,FALSE)</f>
        <v>1.5303950010199499</v>
      </c>
      <c r="J52" s="31" t="str">
        <f>VLOOKUP(A52,Rankings!B:D,3,FALSE)</f>
        <v>NL</v>
      </c>
    </row>
    <row r="53" spans="1:10" ht="18.600000000000001" customHeight="1">
      <c r="A53" s="26" t="s">
        <v>287</v>
      </c>
      <c r="B53" s="27" t="s">
        <v>63</v>
      </c>
      <c r="C53" s="123" t="s">
        <v>23</v>
      </c>
      <c r="D53" s="138">
        <f t="shared" ca="1" si="2"/>
        <v>54</v>
      </c>
      <c r="E53" s="31">
        <f ca="1">VLOOKUP(A53,Rankings!$B$1:$H$651,6,FALSE)+(RAND()*0.00001)</f>
        <v>312.2877804120572</v>
      </c>
      <c r="F53" s="31">
        <f ca="1">E53-VLOOKUP(Settings!$K$6,D$2:E$500,2,FALSE)</f>
        <v>58.931663363068253</v>
      </c>
      <c r="G53" s="138">
        <f t="shared" ca="1" si="3"/>
        <v>57</v>
      </c>
      <c r="H53" s="31">
        <f ca="1">VLOOKUP(A53,Rankings!$B$1:$H$651,7,FALSE)+(RAND()*0.00001)</f>
        <v>0.64464625999399583</v>
      </c>
      <c r="I53" s="31">
        <f ca="1">H53-VLOOKUP(Settings!$K$6,G$2:H$139,2,FALSE)</f>
        <v>0.80157224611434641</v>
      </c>
      <c r="J53" s="31" t="str">
        <f>VLOOKUP(A53,Rankings!B:D,3,FALSE)</f>
        <v>NL</v>
      </c>
    </row>
    <row r="54" spans="1:10" ht="20.100000000000001" customHeight="1">
      <c r="A54" s="26" t="s">
        <v>370</v>
      </c>
      <c r="B54" s="27" t="s">
        <v>156</v>
      </c>
      <c r="C54" s="123" t="s">
        <v>23</v>
      </c>
      <c r="D54" s="138">
        <f t="shared" ca="1" si="2"/>
        <v>51</v>
      </c>
      <c r="E54" s="31">
        <f ca="1">VLOOKUP(A54,Rankings!$B$1:$H$651,6,FALSE)+(RAND()*0.00001)</f>
        <v>315.92500048619337</v>
      </c>
      <c r="F54" s="31">
        <f ca="1">E54-VLOOKUP(Settings!$K$6,D$2:E$500,2,FALSE)</f>
        <v>62.56888343720442</v>
      </c>
      <c r="G54" s="138">
        <f t="shared" ca="1" si="3"/>
        <v>69</v>
      </c>
      <c r="H54" s="31">
        <f ca="1">VLOOKUP(A54,Rankings!$B$1:$H$651,7,FALSE)+(RAND()*0.00001)</f>
        <v>0.26118809452958613</v>
      </c>
      <c r="I54" s="31">
        <f ca="1">H54-VLOOKUP(Settings!$K$6,G$2:H$139,2,FALSE)</f>
        <v>0.41811408064993677</v>
      </c>
      <c r="J54" s="31" t="str">
        <f>VLOOKUP(A54,Rankings!B:D,3,FALSE)</f>
        <v>AL</v>
      </c>
    </row>
    <row r="55" spans="1:10" ht="18.600000000000001" customHeight="1">
      <c r="A55" s="26" t="s">
        <v>279</v>
      </c>
      <c r="B55" s="27" t="s">
        <v>217</v>
      </c>
      <c r="C55" s="123" t="s">
        <v>23</v>
      </c>
      <c r="D55" s="138">
        <f t="shared" ca="1" si="2"/>
        <v>34</v>
      </c>
      <c r="E55" s="31">
        <f ca="1">VLOOKUP(A55,Rankings!$B$1:$H$651,6,FALSE)+(RAND()*0.00001)</f>
        <v>362.07194576054746</v>
      </c>
      <c r="F55" s="31">
        <f ca="1">E55-VLOOKUP(Settings!$K$6,D$2:E$500,2,FALSE)</f>
        <v>108.71582871155852</v>
      </c>
      <c r="G55" s="138">
        <f t="shared" ca="1" si="3"/>
        <v>41</v>
      </c>
      <c r="H55" s="31">
        <f ca="1">VLOOKUP(A55,Rankings!$B$1:$H$651,7,FALSE)+(RAND()*0.00001)</f>
        <v>2.0116572251830411</v>
      </c>
      <c r="I55" s="31">
        <f ca="1">H55-VLOOKUP(Settings!$K$6,G$2:H$139,2,FALSE)</f>
        <v>2.1685832113033916</v>
      </c>
      <c r="J55" s="31" t="str">
        <f>VLOOKUP(A55,Rankings!B:D,3,FALSE)</f>
        <v>NL</v>
      </c>
    </row>
    <row r="56" spans="1:10" ht="18.600000000000001" customHeight="1">
      <c r="A56" s="26" t="s">
        <v>292</v>
      </c>
      <c r="B56" s="27" t="s">
        <v>123</v>
      </c>
      <c r="C56" s="123" t="s">
        <v>23</v>
      </c>
      <c r="D56" s="138">
        <f t="shared" ca="1" si="2"/>
        <v>60</v>
      </c>
      <c r="E56" s="31">
        <f ca="1">VLOOKUP(A56,Rankings!$B$1:$H$651,6,FALSE)+(RAND()*0.00001)</f>
        <v>301.92000005824519</v>
      </c>
      <c r="F56" s="31">
        <f ca="1">E56-VLOOKUP(Settings!$K$6,D$2:E$500,2,FALSE)</f>
        <v>48.563883009256244</v>
      </c>
      <c r="G56" s="138">
        <f t="shared" ca="1" si="3"/>
        <v>63</v>
      </c>
      <c r="H56" s="31">
        <f ca="1">VLOOKUP(A56,Rankings!$B$1:$H$651,7,FALSE)+(RAND()*0.00001)</f>
        <v>0.42666444081784088</v>
      </c>
      <c r="I56" s="31">
        <f ca="1">H56-VLOOKUP(Settings!$K$6,G$2:H$139,2,FALSE)</f>
        <v>0.58359042693819152</v>
      </c>
      <c r="J56" s="31" t="str">
        <f>VLOOKUP(A56,Rankings!B:D,3,FALSE)</f>
        <v>NL</v>
      </c>
    </row>
    <row r="57" spans="1:10" ht="20.100000000000001" customHeight="1">
      <c r="A57" s="26" t="s">
        <v>305</v>
      </c>
      <c r="B57" s="27" t="s">
        <v>306</v>
      </c>
      <c r="C57" s="123" t="s">
        <v>23</v>
      </c>
      <c r="D57" s="138">
        <f t="shared" ca="1" si="2"/>
        <v>52</v>
      </c>
      <c r="E57" s="31">
        <f ca="1">VLOOKUP(A57,Rankings!$B$1:$H$651,6,FALSE)+(RAND()*0.00001)</f>
        <v>313.85389887841279</v>
      </c>
      <c r="F57" s="31">
        <f ca="1">E57-VLOOKUP(Settings!$K$6,D$2:E$500,2,FALSE)</f>
        <v>60.497781829423843</v>
      </c>
      <c r="G57" s="138">
        <f t="shared" ca="1" si="3"/>
        <v>51</v>
      </c>
      <c r="H57" s="31">
        <f ca="1">VLOOKUP(A57,Rankings!$B$1:$H$651,7,FALSE)+(RAND()*0.00001)</f>
        <v>1.1540837721527137</v>
      </c>
      <c r="I57" s="31">
        <f ca="1">H57-VLOOKUP(Settings!$K$6,G$2:H$139,2,FALSE)</f>
        <v>1.3110097582730644</v>
      </c>
      <c r="J57" s="31" t="str">
        <f>VLOOKUP(A57,Rankings!B:D,3,FALSE)</f>
        <v>NL</v>
      </c>
    </row>
    <row r="58" spans="1:10" ht="18.600000000000001" customHeight="1">
      <c r="A58" s="26" t="s">
        <v>323</v>
      </c>
      <c r="B58" s="27" t="s">
        <v>134</v>
      </c>
      <c r="C58" s="123" t="s">
        <v>23</v>
      </c>
      <c r="D58" s="138">
        <f t="shared" ca="1" si="2"/>
        <v>55</v>
      </c>
      <c r="E58" s="31">
        <f ca="1">VLOOKUP(A58,Rankings!$B$1:$H$651,6,FALSE)+(RAND()*0.00001)</f>
        <v>307.27167032805346</v>
      </c>
      <c r="F58" s="31">
        <f ca="1">E58-VLOOKUP(Settings!$K$6,D$2:E$500,2,FALSE)</f>
        <v>53.915553279064511</v>
      </c>
      <c r="G58" s="138">
        <f t="shared" ca="1" si="3"/>
        <v>60</v>
      </c>
      <c r="H58" s="31">
        <f ca="1">VLOOKUP(A58,Rankings!$B$1:$H$651,7,FALSE)+(RAND()*0.00001)</f>
        <v>0.52647086996956516</v>
      </c>
      <c r="I58" s="31">
        <f ca="1">H58-VLOOKUP(Settings!$K$6,G$2:H$139,2,FALSE)</f>
        <v>0.68339685608991574</v>
      </c>
      <c r="J58" s="31" t="str">
        <f>VLOOKUP(A58,Rankings!B:D,3,FALSE)</f>
        <v>NL</v>
      </c>
    </row>
    <row r="59" spans="1:10" ht="18.600000000000001" customHeight="1">
      <c r="A59" s="26" t="s">
        <v>380</v>
      </c>
      <c r="B59" s="27" t="s">
        <v>103</v>
      </c>
      <c r="C59" s="123" t="s">
        <v>23</v>
      </c>
      <c r="D59" s="138">
        <f t="shared" ca="1" si="2"/>
        <v>56</v>
      </c>
      <c r="E59" s="31">
        <f ca="1">VLOOKUP(A59,Rankings!$B$1:$H$651,6,FALSE)+(RAND()*0.00001)</f>
        <v>305.89584080130857</v>
      </c>
      <c r="F59" s="31">
        <f ca="1">E59-VLOOKUP(Settings!$K$6,D$2:E$500,2,FALSE)</f>
        <v>52.539723752319617</v>
      </c>
      <c r="G59" s="138">
        <f t="shared" ca="1" si="3"/>
        <v>76</v>
      </c>
      <c r="H59" s="31">
        <f ca="1">VLOOKUP(A59,Rankings!$B$1:$H$651,7,FALSE)+(RAND()*0.00001)</f>
        <v>-0.26648267171609868</v>
      </c>
      <c r="I59" s="31">
        <f ca="1">H59-VLOOKUP(Settings!$K$6,G$2:H$139,2,FALSE)</f>
        <v>-0.10955668559574805</v>
      </c>
      <c r="J59" s="31" t="str">
        <f>VLOOKUP(A59,Rankings!B:D,3,FALSE)</f>
        <v>AL</v>
      </c>
    </row>
    <row r="60" spans="1:10" ht="18.600000000000001" customHeight="1">
      <c r="A60" s="26" t="s">
        <v>280</v>
      </c>
      <c r="B60" s="27" t="s">
        <v>95</v>
      </c>
      <c r="C60" s="123" t="s">
        <v>23</v>
      </c>
      <c r="D60" s="138">
        <f t="shared" ca="1" si="2"/>
        <v>57</v>
      </c>
      <c r="E60" s="31">
        <f ca="1">VLOOKUP(A60,Rankings!$B$1:$H$651,6,FALSE)+(RAND()*0.00001)</f>
        <v>305.5455558861297</v>
      </c>
      <c r="F60" s="31">
        <f ca="1">E60-VLOOKUP(Settings!$K$6,D$2:E$500,2,FALSE)</f>
        <v>52.189438837140756</v>
      </c>
      <c r="G60" s="138">
        <f t="shared" ca="1" si="3"/>
        <v>67</v>
      </c>
      <c r="H60" s="31">
        <f ca="1">VLOOKUP(A60,Rankings!$B$1:$H$651,7,FALSE)+(RAND()*0.00001)</f>
        <v>0.27635411154422707</v>
      </c>
      <c r="I60" s="31">
        <f ca="1">H60-VLOOKUP(Settings!$K$6,G$2:H$139,2,FALSE)</f>
        <v>0.4332800976645777</v>
      </c>
      <c r="J60" s="31" t="str">
        <f>VLOOKUP(A60,Rankings!B:D,3,FALSE)</f>
        <v>NL</v>
      </c>
    </row>
    <row r="61" spans="1:10" ht="18.600000000000001" customHeight="1">
      <c r="A61" s="26" t="s">
        <v>297</v>
      </c>
      <c r="B61" s="27" t="s">
        <v>101</v>
      </c>
      <c r="C61" s="123" t="s">
        <v>23</v>
      </c>
      <c r="D61" s="138">
        <f t="shared" ca="1" si="2"/>
        <v>59</v>
      </c>
      <c r="E61" s="31">
        <f ca="1">VLOOKUP(A61,Rankings!$B$1:$H$651,6,FALSE)+(RAND()*0.00001)</f>
        <v>305.45805907822762</v>
      </c>
      <c r="F61" s="31">
        <f ca="1">E61-VLOOKUP(Settings!$K$6,D$2:E$500,2,FALSE)</f>
        <v>52.101942029238671</v>
      </c>
      <c r="G61" s="138">
        <f t="shared" ca="1" si="3"/>
        <v>50</v>
      </c>
      <c r="H61" s="31">
        <f ca="1">VLOOKUP(A61,Rankings!$B$1:$H$651,7,FALSE)+(RAND()*0.00001)</f>
        <v>1.3232891040750163</v>
      </c>
      <c r="I61" s="31">
        <f ca="1">H61-VLOOKUP(Settings!$K$6,G$2:H$139,2,FALSE)</f>
        <v>1.480215090195367</v>
      </c>
      <c r="J61" s="31" t="str">
        <f>VLOOKUP(A61,Rankings!B:D,3,FALSE)</f>
        <v>AL</v>
      </c>
    </row>
    <row r="62" spans="1:10" ht="18.600000000000001" customHeight="1">
      <c r="A62" s="26" t="s">
        <v>304</v>
      </c>
      <c r="B62" s="27" t="s">
        <v>137</v>
      </c>
      <c r="C62" s="123" t="s">
        <v>23</v>
      </c>
      <c r="D62" s="138">
        <f t="shared" ca="1" si="2"/>
        <v>58</v>
      </c>
      <c r="E62" s="31">
        <f ca="1">VLOOKUP(A62,Rankings!$B$1:$H$651,6,FALSE)+(RAND()*0.00001)</f>
        <v>305.47417523358178</v>
      </c>
      <c r="F62" s="31">
        <f ca="1">E62-VLOOKUP(Settings!$K$6,D$2:E$500,2,FALSE)</f>
        <v>52.118058184592826</v>
      </c>
      <c r="G62" s="138">
        <f t="shared" ca="1" si="3"/>
        <v>61</v>
      </c>
      <c r="H62" s="31">
        <f ca="1">VLOOKUP(A62,Rankings!$B$1:$H$651,7,FALSE)+(RAND()*0.00001)</f>
        <v>0.49822173886348137</v>
      </c>
      <c r="I62" s="31">
        <f ca="1">H62-VLOOKUP(Settings!$K$6,G$2:H$139,2,FALSE)</f>
        <v>0.655147724983832</v>
      </c>
      <c r="J62" s="31" t="str">
        <f>VLOOKUP(A62,Rankings!B:D,3,FALSE)</f>
        <v>NL</v>
      </c>
    </row>
    <row r="63" spans="1:10" ht="18.600000000000001" customHeight="1">
      <c r="A63" s="26" t="s">
        <v>229</v>
      </c>
      <c r="B63" s="27" t="s">
        <v>176</v>
      </c>
      <c r="C63" s="123" t="s">
        <v>23</v>
      </c>
      <c r="D63" s="138">
        <f t="shared" ca="1" si="2"/>
        <v>62</v>
      </c>
      <c r="E63" s="31">
        <f ca="1">VLOOKUP(A63,Rankings!$B$1:$H$651,6,FALSE)+(RAND()*0.00001)</f>
        <v>292.91778084955604</v>
      </c>
      <c r="F63" s="31">
        <f ca="1">E63-VLOOKUP(Settings!$K$6,D$2:E$500,2,FALSE)</f>
        <v>39.561663800567089</v>
      </c>
      <c r="G63" s="138">
        <f t="shared" ca="1" si="3"/>
        <v>48</v>
      </c>
      <c r="H63" s="31">
        <f ca="1">VLOOKUP(A63,Rankings!$B$1:$H$651,7,FALSE)+(RAND()*0.00001)</f>
        <v>1.3907974318521039</v>
      </c>
      <c r="I63" s="31">
        <f ca="1">H63-VLOOKUP(Settings!$K$6,G$2:H$139,2,FALSE)</f>
        <v>1.5477234179724546</v>
      </c>
      <c r="J63" s="31" t="str">
        <f>VLOOKUP(A63,Rankings!B:D,3,FALSE)</f>
        <v>NL</v>
      </c>
    </row>
    <row r="64" spans="1:10" ht="18.600000000000001" customHeight="1">
      <c r="A64" s="26" t="s">
        <v>604</v>
      </c>
      <c r="B64" s="27" t="s">
        <v>176</v>
      </c>
      <c r="C64" s="123" t="s">
        <v>23</v>
      </c>
      <c r="D64" s="138">
        <f t="shared" ca="1" si="2"/>
        <v>99</v>
      </c>
      <c r="E64" s="31">
        <f ca="1">VLOOKUP(A64,Rankings!$B$1:$H$651,6,FALSE)+(RAND()*0.00001)</f>
        <v>214.79611574739025</v>
      </c>
      <c r="F64" s="31">
        <f ca="1">E64-VLOOKUP(Settings!$K$6,D$2:E$500,2,FALSE)</f>
        <v>-38.560001301598703</v>
      </c>
      <c r="G64" s="138">
        <f t="shared" ca="1" si="3"/>
        <v>92</v>
      </c>
      <c r="H64" s="31">
        <f ca="1">VLOOKUP(A64,Rankings!$B$1:$H$651,7,FALSE)+(RAND()*0.00001)</f>
        <v>-1.1498051143773718</v>
      </c>
      <c r="I64" s="31">
        <f ca="1">H64-VLOOKUP(Settings!$K$6,G$2:H$139,2,FALSE)</f>
        <v>-0.99287912825702107</v>
      </c>
      <c r="J64" s="31" t="str">
        <f>VLOOKUP(A64,Rankings!B:D,3,FALSE)</f>
        <v>NL</v>
      </c>
    </row>
    <row r="65" spans="1:10" ht="18.600000000000001" customHeight="1">
      <c r="A65" s="26" t="s">
        <v>264</v>
      </c>
      <c r="B65" s="27" t="s">
        <v>223</v>
      </c>
      <c r="C65" s="123" t="s">
        <v>23</v>
      </c>
      <c r="D65" s="138">
        <f t="shared" ca="1" si="2"/>
        <v>63</v>
      </c>
      <c r="E65" s="31">
        <f ca="1">VLOOKUP(A65,Rankings!$B$1:$H$651,6,FALSE)+(RAND()*0.00001)</f>
        <v>286.87000528807977</v>
      </c>
      <c r="F65" s="31">
        <f ca="1">E65-VLOOKUP(Settings!$K$6,D$2:E$500,2,FALSE)</f>
        <v>33.513888239090818</v>
      </c>
      <c r="G65" s="138">
        <f t="shared" ca="1" si="3"/>
        <v>53</v>
      </c>
      <c r="H65" s="31">
        <f ca="1">VLOOKUP(A65,Rankings!$B$1:$H$651,7,FALSE)+(RAND()*0.00001)</f>
        <v>0.99136496835777155</v>
      </c>
      <c r="I65" s="31">
        <f ca="1">H65-VLOOKUP(Settings!$K$6,G$2:H$139,2,FALSE)</f>
        <v>1.1482909544781221</v>
      </c>
      <c r="J65" s="31" t="str">
        <f>VLOOKUP(A65,Rankings!B:D,3,FALSE)</f>
        <v>NL</v>
      </c>
    </row>
    <row r="66" spans="1:10" ht="18.600000000000001" customHeight="1">
      <c r="A66" s="26" t="s">
        <v>266</v>
      </c>
      <c r="B66" s="27" t="s">
        <v>78</v>
      </c>
      <c r="C66" s="123" t="s">
        <v>23</v>
      </c>
      <c r="D66" s="138">
        <f t="shared" ref="D66:D97" ca="1" si="4">RANK(E66,E$2:E$139)</f>
        <v>68</v>
      </c>
      <c r="E66" s="31">
        <f ca="1">VLOOKUP(A66,Rankings!$B$1:$H$651,6,FALSE)+(RAND()*0.00001)</f>
        <v>275.54834010682123</v>
      </c>
      <c r="F66" s="31">
        <f ca="1">E66-VLOOKUP(Settings!$K$6,D$2:E$500,2,FALSE)</f>
        <v>22.19222305783228</v>
      </c>
      <c r="G66" s="138">
        <f t="shared" ref="G66:G97" ca="1" si="5">RANK(H66,H$2:H$500)</f>
        <v>66</v>
      </c>
      <c r="H66" s="31">
        <f ca="1">VLOOKUP(A66,Rankings!$B$1:$H$651,7,FALSE)+(RAND()*0.00001)</f>
        <v>0.32797888405392378</v>
      </c>
      <c r="I66" s="31">
        <f ca="1">H66-VLOOKUP(Settings!$K$6,G$2:H$139,2,FALSE)</f>
        <v>0.48490487017427442</v>
      </c>
      <c r="J66" s="31" t="str">
        <f>VLOOKUP(A66,Rankings!B:D,3,FALSE)</f>
        <v>AL</v>
      </c>
    </row>
    <row r="67" spans="1:10" ht="18.600000000000001" customHeight="1">
      <c r="A67" s="26" t="s">
        <v>303</v>
      </c>
      <c r="B67" s="27" t="s">
        <v>223</v>
      </c>
      <c r="C67" s="123" t="s">
        <v>23</v>
      </c>
      <c r="D67" s="138">
        <f t="shared" ca="1" si="4"/>
        <v>66</v>
      </c>
      <c r="E67" s="31">
        <f ca="1">VLOOKUP(A67,Rankings!$B$1:$H$651,6,FALSE)+(RAND()*0.00001)</f>
        <v>277.97278538863384</v>
      </c>
      <c r="F67" s="31">
        <f ca="1">E67-VLOOKUP(Settings!$K$6,D$2:E$500,2,FALSE)</f>
        <v>24.616668339644889</v>
      </c>
      <c r="G67" s="138">
        <f t="shared" ca="1" si="5"/>
        <v>65</v>
      </c>
      <c r="H67" s="31">
        <f ca="1">VLOOKUP(A67,Rankings!$B$1:$H$651,7,FALSE)+(RAND()*0.00001)</f>
        <v>0.3549169023820572</v>
      </c>
      <c r="I67" s="31">
        <f ca="1">H67-VLOOKUP(Settings!$K$6,G$2:H$139,2,FALSE)</f>
        <v>0.51184288850240778</v>
      </c>
      <c r="J67" s="31" t="str">
        <f>VLOOKUP(A67,Rankings!B:D,3,FALSE)</f>
        <v>NL</v>
      </c>
    </row>
    <row r="68" spans="1:10" ht="18.600000000000001" customHeight="1">
      <c r="A68" s="26" t="s">
        <v>291</v>
      </c>
      <c r="B68" s="27" t="s">
        <v>134</v>
      </c>
      <c r="C68" s="123" t="s">
        <v>23</v>
      </c>
      <c r="D68" s="138">
        <f t="shared" ca="1" si="4"/>
        <v>64</v>
      </c>
      <c r="E68" s="31">
        <f ca="1">VLOOKUP(A68,Rankings!$B$1:$H$651,6,FALSE)+(RAND()*0.00001)</f>
        <v>283.14889760570128</v>
      </c>
      <c r="F68" s="31">
        <f ca="1">E68-VLOOKUP(Settings!$K$6,D$2:E$500,2,FALSE)</f>
        <v>29.79278055671233</v>
      </c>
      <c r="G68" s="138">
        <f t="shared" ca="1" si="5"/>
        <v>55</v>
      </c>
      <c r="H68" s="31">
        <f ca="1">VLOOKUP(A68,Rankings!$B$1:$H$651,7,FALSE)+(RAND()*0.00001)</f>
        <v>0.94163557965664246</v>
      </c>
      <c r="I68" s="31">
        <f ca="1">H68-VLOOKUP(Settings!$K$6,G$2:H$139,2,FALSE)</f>
        <v>1.0985615657769932</v>
      </c>
      <c r="J68" s="31" t="str">
        <f>VLOOKUP(A68,Rankings!B:D,3,FALSE)</f>
        <v>NL</v>
      </c>
    </row>
    <row r="69" spans="1:10" ht="18.600000000000001" customHeight="1">
      <c r="A69" s="26" t="s">
        <v>428</v>
      </c>
      <c r="B69" s="27" t="s">
        <v>156</v>
      </c>
      <c r="C69" s="123" t="s">
        <v>23</v>
      </c>
      <c r="D69" s="138">
        <f t="shared" ca="1" si="4"/>
        <v>69</v>
      </c>
      <c r="E69" s="31">
        <f ca="1">VLOOKUP(A69,Rankings!$B$1:$H$651,6,FALSE)+(RAND()*0.00001)</f>
        <v>275.5211128585122</v>
      </c>
      <c r="F69" s="31">
        <f ca="1">E69-VLOOKUP(Settings!$K$6,D$2:E$500,2,FALSE)</f>
        <v>22.164995809523248</v>
      </c>
      <c r="G69" s="138">
        <f t="shared" ca="1" si="5"/>
        <v>94</v>
      </c>
      <c r="H69" s="31">
        <f ca="1">VLOOKUP(A69,Rankings!$B$1:$H$651,7,FALSE)+(RAND()*0.00001)</f>
        <v>-1.277754585077713</v>
      </c>
      <c r="I69" s="31">
        <f ca="1">H69-VLOOKUP(Settings!$K$6,G$2:H$139,2,FALSE)</f>
        <v>-1.1208285989573623</v>
      </c>
      <c r="J69" s="31" t="str">
        <f>VLOOKUP(A69,Rankings!B:D,3,FALSE)</f>
        <v>AL</v>
      </c>
    </row>
    <row r="70" spans="1:10" ht="18.600000000000001" customHeight="1">
      <c r="A70" s="26" t="s">
        <v>321</v>
      </c>
      <c r="B70" s="27" t="s">
        <v>76</v>
      </c>
      <c r="C70" s="123" t="s">
        <v>23</v>
      </c>
      <c r="D70" s="138">
        <f t="shared" ca="1" si="4"/>
        <v>65</v>
      </c>
      <c r="E70" s="31">
        <f ca="1">VLOOKUP(A70,Rankings!$B$1:$H$651,6,FALSE)+(RAND()*0.00001)</f>
        <v>279.85056213878272</v>
      </c>
      <c r="F70" s="31">
        <f ca="1">E70-VLOOKUP(Settings!$K$6,D$2:E$500,2,FALSE)</f>
        <v>26.494445089793771</v>
      </c>
      <c r="G70" s="138">
        <f t="shared" ca="1" si="5"/>
        <v>64</v>
      </c>
      <c r="H70" s="31">
        <f ca="1">VLOOKUP(A70,Rankings!$B$1:$H$651,7,FALSE)+(RAND()*0.00001)</f>
        <v>0.41893087973236526</v>
      </c>
      <c r="I70" s="31">
        <f ca="1">H70-VLOOKUP(Settings!$K$6,G$2:H$139,2,FALSE)</f>
        <v>0.57585686585271589</v>
      </c>
      <c r="J70" s="31" t="str">
        <f>VLOOKUP(A70,Rankings!B:D,3,FALSE)</f>
        <v>AL</v>
      </c>
    </row>
    <row r="71" spans="1:10" ht="18.600000000000001" customHeight="1">
      <c r="A71" s="26" t="s">
        <v>395</v>
      </c>
      <c r="B71" s="27" t="s">
        <v>71</v>
      </c>
      <c r="C71" s="123" t="s">
        <v>23</v>
      </c>
      <c r="D71" s="138">
        <f t="shared" ca="1" si="4"/>
        <v>67</v>
      </c>
      <c r="E71" s="31">
        <f ca="1">VLOOKUP(A71,Rankings!$B$1:$H$651,6,FALSE)+(RAND()*0.00001)</f>
        <v>275.85231644959759</v>
      </c>
      <c r="F71" s="31">
        <f ca="1">E71-VLOOKUP(Settings!$K$6,D$2:E$500,2,FALSE)</f>
        <v>22.496199400608646</v>
      </c>
      <c r="G71" s="138">
        <f t="shared" ca="1" si="5"/>
        <v>72</v>
      </c>
      <c r="H71" s="31">
        <f ca="1">VLOOKUP(A71,Rankings!$B$1:$H$651,7,FALSE)+(RAND()*0.00001)</f>
        <v>-0.11288850326310945</v>
      </c>
      <c r="I71" s="31">
        <f ca="1">H71-VLOOKUP(Settings!$K$6,G$2:H$139,2,FALSE)</f>
        <v>4.4037482857241184E-2</v>
      </c>
      <c r="J71" s="31" t="str">
        <f>VLOOKUP(A71,Rankings!B:D,3,FALSE)</f>
        <v>AL</v>
      </c>
    </row>
    <row r="72" spans="1:10" ht="20.100000000000001" customHeight="1">
      <c r="A72" s="26" t="s">
        <v>429</v>
      </c>
      <c r="B72" s="27" t="s">
        <v>156</v>
      </c>
      <c r="C72" s="123" t="s">
        <v>23</v>
      </c>
      <c r="D72" s="138">
        <f t="shared" ca="1" si="4"/>
        <v>74</v>
      </c>
      <c r="E72" s="31">
        <f ca="1">VLOOKUP(A72,Rankings!$B$1:$H$651,6,FALSE)+(RAND()*0.00001)</f>
        <v>253.75078068108559</v>
      </c>
      <c r="F72" s="31">
        <f ca="1">E72-VLOOKUP(Settings!$K$6,D$2:E$500,2,FALSE)</f>
        <v>0.39466363209663768</v>
      </c>
      <c r="G72" s="138">
        <f t="shared" ca="1" si="5"/>
        <v>73</v>
      </c>
      <c r="H72" s="31">
        <f ca="1">VLOOKUP(A72,Rankings!$B$1:$H$651,7,FALSE)+(RAND()*0.00001)</f>
        <v>-0.11776713757399399</v>
      </c>
      <c r="I72" s="31">
        <f ca="1">H72-VLOOKUP(Settings!$K$6,G$2:H$139,2,FALSE)</f>
        <v>3.915884854635665E-2</v>
      </c>
      <c r="J72" s="31" t="str">
        <f>VLOOKUP(A72,Rankings!B:D,3,FALSE)</f>
        <v>AL</v>
      </c>
    </row>
    <row r="73" spans="1:10" ht="18.600000000000001" customHeight="1">
      <c r="A73" s="26" t="s">
        <v>317</v>
      </c>
      <c r="B73" s="27" t="s">
        <v>134</v>
      </c>
      <c r="C73" s="123" t="s">
        <v>23</v>
      </c>
      <c r="D73" s="138">
        <f t="shared" ca="1" si="4"/>
        <v>71</v>
      </c>
      <c r="E73" s="31">
        <f ca="1">VLOOKUP(A73,Rankings!$B$1:$H$651,6,FALSE)+(RAND()*0.00001)</f>
        <v>259.92417426254787</v>
      </c>
      <c r="F73" s="31">
        <f ca="1">E73-VLOOKUP(Settings!$K$6,D$2:E$500,2,FALSE)</f>
        <v>6.5680572135589159</v>
      </c>
      <c r="G73" s="138">
        <f t="shared" ca="1" si="5"/>
        <v>68</v>
      </c>
      <c r="H73" s="31">
        <f ca="1">VLOOKUP(A73,Rankings!$B$1:$H$651,7,FALSE)+(RAND()*0.00001)</f>
        <v>0.27285754618281327</v>
      </c>
      <c r="I73" s="31">
        <f ca="1">H73-VLOOKUP(Settings!$K$6,G$2:H$139,2,FALSE)</f>
        <v>0.42978353230316391</v>
      </c>
      <c r="J73" s="31" t="str">
        <f>VLOOKUP(A73,Rankings!B:D,3,FALSE)</f>
        <v>NL</v>
      </c>
    </row>
    <row r="74" spans="1:10" ht="18.600000000000001" customHeight="1">
      <c r="A74" s="26" t="s">
        <v>139</v>
      </c>
      <c r="B74" s="27" t="s">
        <v>140</v>
      </c>
      <c r="C74" s="123" t="s">
        <v>23</v>
      </c>
      <c r="D74" s="138">
        <f t="shared" ca="1" si="4"/>
        <v>76</v>
      </c>
      <c r="E74" s="31">
        <f ca="1">VLOOKUP(A74,Rankings!$B$1:$H$651,6,FALSE)+(RAND()*0.00001)</f>
        <v>250.1845042800762</v>
      </c>
      <c r="F74" s="31">
        <f ca="1">E74-VLOOKUP(Settings!$K$6,D$2:E$500,2,FALSE)</f>
        <v>-3.1716127689127518</v>
      </c>
      <c r="G74" s="138">
        <f t="shared" ca="1" si="5"/>
        <v>58</v>
      </c>
      <c r="H74" s="31">
        <f ca="1">VLOOKUP(A74,Rankings!$B$1:$H$651,7,FALSE)+(RAND()*0.00001)</f>
        <v>0.55026890778124915</v>
      </c>
      <c r="I74" s="31">
        <f ca="1">H74-VLOOKUP(Settings!$K$6,G$2:H$139,2,FALSE)</f>
        <v>0.70719489390159973</v>
      </c>
      <c r="J74" s="31" t="str">
        <f>VLOOKUP(A74,Rankings!B:D,3,FALSE)</f>
        <v>AL</v>
      </c>
    </row>
    <row r="75" spans="1:10" ht="18.600000000000001" customHeight="1">
      <c r="A75" s="26" t="s">
        <v>387</v>
      </c>
      <c r="B75" s="27" t="s">
        <v>86</v>
      </c>
      <c r="C75" s="123" t="s">
        <v>23</v>
      </c>
      <c r="D75" s="138">
        <f t="shared" ca="1" si="4"/>
        <v>75</v>
      </c>
      <c r="E75" s="31">
        <f ca="1">VLOOKUP(A75,Rankings!$B$1:$H$651,6,FALSE)+(RAND()*0.00001)</f>
        <v>253.35611704898895</v>
      </c>
      <c r="F75" s="31">
        <f ca="1">E75-VLOOKUP(Settings!$K$6,D$2:E$500,2,FALSE)</f>
        <v>0</v>
      </c>
      <c r="G75" s="138">
        <f t="shared" ca="1" si="5"/>
        <v>74</v>
      </c>
      <c r="H75" s="31">
        <f ca="1">VLOOKUP(A75,Rankings!$B$1:$H$651,7,FALSE)+(RAND()*0.00001)</f>
        <v>-0.11918037148762993</v>
      </c>
      <c r="I75" s="31">
        <f ca="1">H75-VLOOKUP(Settings!$K$6,G$2:H$139,2,FALSE)</f>
        <v>3.7745614632720706E-2</v>
      </c>
      <c r="J75" s="31" t="str">
        <f>VLOOKUP(A75,Rankings!B:D,3,FALSE)</f>
        <v>AL</v>
      </c>
    </row>
    <row r="76" spans="1:10" ht="18.600000000000001" customHeight="1">
      <c r="A76" s="26" t="s">
        <v>363</v>
      </c>
      <c r="B76" s="27" t="s">
        <v>73</v>
      </c>
      <c r="C76" s="123" t="s">
        <v>23</v>
      </c>
      <c r="D76" s="138">
        <f t="shared" ca="1" si="4"/>
        <v>72</v>
      </c>
      <c r="E76" s="31">
        <f ca="1">VLOOKUP(A76,Rankings!$B$1:$H$651,6,FALSE)+(RAND()*0.00001)</f>
        <v>254.75750957340054</v>
      </c>
      <c r="F76" s="31">
        <f ca="1">E76-VLOOKUP(Settings!$K$6,D$2:E$500,2,FALSE)</f>
        <v>1.401392524411591</v>
      </c>
      <c r="G76" s="138">
        <f t="shared" ca="1" si="5"/>
        <v>77</v>
      </c>
      <c r="H76" s="31">
        <f ca="1">VLOOKUP(A76,Rankings!$B$1:$H$651,7,FALSE)+(RAND()*0.00001)</f>
        <v>-0.28873690264295554</v>
      </c>
      <c r="I76" s="31">
        <f ca="1">H76-VLOOKUP(Settings!$K$6,G$2:H$139,2,FALSE)</f>
        <v>-0.1318109165226049</v>
      </c>
      <c r="J76" s="31" t="str">
        <f>VLOOKUP(A76,Rankings!B:D,3,FALSE)</f>
        <v>NL</v>
      </c>
    </row>
    <row r="77" spans="1:10" ht="18.600000000000001" customHeight="1">
      <c r="A77" s="26" t="s">
        <v>751</v>
      </c>
      <c r="B77" s="27" t="s">
        <v>101</v>
      </c>
      <c r="C77" s="123" t="s">
        <v>23</v>
      </c>
      <c r="D77" s="138">
        <f t="shared" ca="1" si="4"/>
        <v>78</v>
      </c>
      <c r="E77" s="31">
        <f ca="1">VLOOKUP(A77,Rankings!$B$1:$H$651,6,FALSE)+(RAND()*0.00001)</f>
        <v>249.33167608640056</v>
      </c>
      <c r="F77" s="31">
        <f ca="1">E77-VLOOKUP(Settings!$K$6,D$2:E$500,2,FALSE)</f>
        <v>-4.0244409625883861</v>
      </c>
      <c r="G77" s="138">
        <f t="shared" ca="1" si="5"/>
        <v>70</v>
      </c>
      <c r="H77" s="31">
        <f ca="1">VLOOKUP(A77,Rankings!$B$1:$H$651,7,FALSE)+(RAND()*0.00001)</f>
        <v>0.11278399782265269</v>
      </c>
      <c r="I77" s="31">
        <f ca="1">H77-VLOOKUP(Settings!$K$6,G$2:H$139,2,FALSE)</f>
        <v>0.26970998394300333</v>
      </c>
      <c r="J77" s="31" t="str">
        <f>VLOOKUP(A77,Rankings!B:D,3,FALSE)</f>
        <v>AL</v>
      </c>
    </row>
    <row r="78" spans="1:10" ht="18.600000000000001" customHeight="1">
      <c r="A78" s="26" t="s">
        <v>379</v>
      </c>
      <c r="B78" s="27" t="s">
        <v>91</v>
      </c>
      <c r="C78" s="123" t="s">
        <v>23</v>
      </c>
      <c r="D78" s="138">
        <f t="shared" ca="1" si="4"/>
        <v>73</v>
      </c>
      <c r="E78" s="31">
        <f ca="1">VLOOKUP(A78,Rankings!$B$1:$H$651,6,FALSE)+(RAND()*0.00001)</f>
        <v>254.23278105683534</v>
      </c>
      <c r="F78" s="31">
        <f ca="1">E78-VLOOKUP(Settings!$K$6,D$2:E$500,2,FALSE)</f>
        <v>0.87666400784638654</v>
      </c>
      <c r="G78" s="138">
        <f t="shared" ca="1" si="5"/>
        <v>71</v>
      </c>
      <c r="H78" s="31">
        <f ca="1">VLOOKUP(A78,Rankings!$B$1:$H$651,7,FALSE)+(RAND()*0.00001)</f>
        <v>-2.2732509450938704E-2</v>
      </c>
      <c r="I78" s="31">
        <f ca="1">H78-VLOOKUP(Settings!$K$6,G$2:H$139,2,FALSE)</f>
        <v>0.13419347666941192</v>
      </c>
      <c r="J78" s="31" t="str">
        <f>VLOOKUP(A78,Rankings!B:D,3,FALSE)</f>
        <v>NL</v>
      </c>
    </row>
    <row r="79" spans="1:10" ht="18.600000000000001" customHeight="1">
      <c r="A79" s="26" t="s">
        <v>401</v>
      </c>
      <c r="B79" s="27" t="s">
        <v>97</v>
      </c>
      <c r="C79" s="123" t="s">
        <v>23</v>
      </c>
      <c r="D79" s="138">
        <f t="shared" ca="1" si="4"/>
        <v>86</v>
      </c>
      <c r="E79" s="31">
        <f ca="1">VLOOKUP(A79,Rankings!$B$1:$H$651,6,FALSE)+(RAND()*0.00001)</f>
        <v>239.87833745176047</v>
      </c>
      <c r="F79" s="31">
        <f ca="1">E79-VLOOKUP(Settings!$K$6,D$2:E$500,2,FALSE)</f>
        <v>-13.477779597228476</v>
      </c>
      <c r="G79" s="138">
        <f t="shared" ca="1" si="5"/>
        <v>85</v>
      </c>
      <c r="H79" s="31">
        <f ca="1">VLOOKUP(A79,Rankings!$B$1:$H$651,7,FALSE)+(RAND()*0.00001)</f>
        <v>-0.95346474802567827</v>
      </c>
      <c r="I79" s="31">
        <f ca="1">H79-VLOOKUP(Settings!$K$6,G$2:H$139,2,FALSE)</f>
        <v>-0.79653876190532769</v>
      </c>
      <c r="J79" s="31" t="str">
        <f>VLOOKUP(A79,Rankings!B:D,3,FALSE)</f>
        <v>NL</v>
      </c>
    </row>
    <row r="80" spans="1:10" ht="18.600000000000001" customHeight="1">
      <c r="A80" s="26" t="s">
        <v>369</v>
      </c>
      <c r="B80" s="27" t="s">
        <v>117</v>
      </c>
      <c r="C80" s="123" t="s">
        <v>23</v>
      </c>
      <c r="D80" s="138">
        <f t="shared" ca="1" si="4"/>
        <v>79</v>
      </c>
      <c r="E80" s="31">
        <f ca="1">VLOOKUP(A80,Rankings!$B$1:$H$651,6,FALSE)+(RAND()*0.00001)</f>
        <v>248.42667245913006</v>
      </c>
      <c r="F80" s="31">
        <f ca="1">E80-VLOOKUP(Settings!$K$6,D$2:E$500,2,FALSE)</f>
        <v>-4.929444589858889</v>
      </c>
      <c r="G80" s="138">
        <f t="shared" ca="1" si="5"/>
        <v>79</v>
      </c>
      <c r="H80" s="31">
        <f ca="1">VLOOKUP(A80,Rankings!$B$1:$H$651,7,FALSE)+(RAND()*0.00001)</f>
        <v>-0.40813772373210166</v>
      </c>
      <c r="I80" s="31">
        <f ca="1">H80-VLOOKUP(Settings!$K$6,G$2:H$139,2,FALSE)</f>
        <v>-0.25121173761175103</v>
      </c>
      <c r="J80" s="31" t="str">
        <f>VLOOKUP(A80,Rankings!B:D,3,FALSE)</f>
        <v>AL</v>
      </c>
    </row>
    <row r="81" spans="1:10" ht="18.600000000000001" customHeight="1">
      <c r="A81" s="26" t="s">
        <v>396</v>
      </c>
      <c r="B81" s="27"/>
      <c r="C81" s="123" t="s">
        <v>23</v>
      </c>
      <c r="D81" s="138">
        <f t="shared" ca="1" si="4"/>
        <v>70</v>
      </c>
      <c r="E81" s="31">
        <f ca="1">VLOOKUP(A81,Rankings!$B$1:$H$651,6,FALSE)+(RAND()*0.00001)</f>
        <v>260.97111161647092</v>
      </c>
      <c r="F81" s="31">
        <f ca="1">E81-VLOOKUP(Settings!$K$6,D$2:E$500,2,FALSE)</f>
        <v>7.6149945674819719</v>
      </c>
      <c r="G81" s="138">
        <f t="shared" ca="1" si="5"/>
        <v>90</v>
      </c>
      <c r="H81" s="31">
        <f ca="1">VLOOKUP(A81,Rankings!$B$1:$H$651,7,FALSE)+(RAND()*0.00001)</f>
        <v>-1.1330144939138513</v>
      </c>
      <c r="I81" s="31">
        <f ca="1">H81-VLOOKUP(Settings!$K$6,G$2:H$139,2,FALSE)</f>
        <v>-0.97608850779350065</v>
      </c>
      <c r="J81" s="31" t="str">
        <f>VLOOKUP(A81,Rankings!B:D,3,FALSE)</f>
        <v>AL</v>
      </c>
    </row>
    <row r="82" spans="1:10" ht="18.600000000000001" customHeight="1">
      <c r="A82" s="26" t="s">
        <v>342</v>
      </c>
      <c r="B82" s="27" t="s">
        <v>101</v>
      </c>
      <c r="C82" s="123" t="s">
        <v>23</v>
      </c>
      <c r="D82" s="138">
        <f t="shared" ca="1" si="4"/>
        <v>77</v>
      </c>
      <c r="E82" s="31">
        <f ca="1">VLOOKUP(A82,Rankings!$B$1:$H$651,6,FALSE)+(RAND()*0.00001)</f>
        <v>249.57667418147128</v>
      </c>
      <c r="F82" s="31">
        <f ca="1">E82-VLOOKUP(Settings!$K$6,D$2:E$500,2,FALSE)</f>
        <v>-3.7794428675176732</v>
      </c>
      <c r="G82" s="138">
        <f t="shared" ca="1" si="5"/>
        <v>62</v>
      </c>
      <c r="H82" s="31">
        <f ca="1">VLOOKUP(A82,Rankings!$B$1:$H$651,7,FALSE)+(RAND()*0.00001)</f>
        <v>0.453059727421603</v>
      </c>
      <c r="I82" s="31">
        <f ca="1">H82-VLOOKUP(Settings!$K$6,G$2:H$139,2,FALSE)</f>
        <v>0.60998571354195363</v>
      </c>
      <c r="J82" s="31" t="str">
        <f>VLOOKUP(A82,Rankings!B:D,3,FALSE)</f>
        <v>AL</v>
      </c>
    </row>
    <row r="83" spans="1:10" ht="18.600000000000001" customHeight="1">
      <c r="A83" s="26" t="s">
        <v>416</v>
      </c>
      <c r="B83" s="27" t="s">
        <v>223</v>
      </c>
      <c r="C83" s="123" t="s">
        <v>23</v>
      </c>
      <c r="D83" s="138">
        <f t="shared" ca="1" si="4"/>
        <v>81</v>
      </c>
      <c r="E83" s="31">
        <f ca="1">VLOOKUP(A83,Rankings!$B$1:$H$651,6,FALSE)+(RAND()*0.00001)</f>
        <v>241.8327860848504</v>
      </c>
      <c r="F83" s="31">
        <f ca="1">E83-VLOOKUP(Settings!$K$6,D$2:E$500,2,FALSE)</f>
        <v>-11.523330964138552</v>
      </c>
      <c r="G83" s="138">
        <f t="shared" ca="1" si="5"/>
        <v>83</v>
      </c>
      <c r="H83" s="31">
        <f ca="1">VLOOKUP(A83,Rankings!$B$1:$H$651,7,FALSE)+(RAND()*0.00001)</f>
        <v>-0.84321017569181944</v>
      </c>
      <c r="I83" s="31">
        <f ca="1">H83-VLOOKUP(Settings!$K$6,G$2:H$139,2,FALSE)</f>
        <v>-0.68628418957146886</v>
      </c>
      <c r="J83" s="31" t="str">
        <f>VLOOKUP(A83,Rankings!B:D,3,FALSE)</f>
        <v>NL</v>
      </c>
    </row>
    <row r="84" spans="1:10" ht="20.100000000000001" customHeight="1">
      <c r="A84" s="26" t="s">
        <v>373</v>
      </c>
      <c r="B84" s="27" t="s">
        <v>258</v>
      </c>
      <c r="C84" s="123" t="s">
        <v>23</v>
      </c>
      <c r="D84" s="138">
        <f t="shared" ca="1" si="4"/>
        <v>90</v>
      </c>
      <c r="E84" s="31">
        <f ca="1">VLOOKUP(A84,Rankings!$B$1:$H$651,6,FALSE)+(RAND()*0.00001)</f>
        <v>230.03611409776829</v>
      </c>
      <c r="F84" s="31">
        <f ca="1">E84-VLOOKUP(Settings!$K$6,D$2:E$500,2,FALSE)</f>
        <v>-23.320002951220658</v>
      </c>
      <c r="G84" s="138">
        <f t="shared" ca="1" si="5"/>
        <v>88</v>
      </c>
      <c r="H84" s="31">
        <f ca="1">VLOOKUP(A84,Rankings!$B$1:$H$651,7,FALSE)+(RAND()*0.00001)</f>
        <v>-1.0578432893635317</v>
      </c>
      <c r="I84" s="31">
        <f ca="1">H84-VLOOKUP(Settings!$K$6,G$2:H$139,2,FALSE)</f>
        <v>-0.90091730324318098</v>
      </c>
      <c r="J84" s="31" t="str">
        <f>VLOOKUP(A84,Rankings!B:D,3,FALSE)</f>
        <v>AL</v>
      </c>
    </row>
    <row r="85" spans="1:10" ht="18.600000000000001" customHeight="1">
      <c r="A85" s="26" t="s">
        <v>327</v>
      </c>
      <c r="B85" s="27" t="s">
        <v>258</v>
      </c>
      <c r="C85" s="123" t="s">
        <v>23</v>
      </c>
      <c r="D85" s="138">
        <f t="shared" ca="1" si="4"/>
        <v>84</v>
      </c>
      <c r="E85" s="31">
        <f ca="1">VLOOKUP(A85,Rankings!$B$1:$H$651,6,FALSE)+(RAND()*0.00001)</f>
        <v>240.79833681874427</v>
      </c>
      <c r="F85" s="31">
        <f ca="1">E85-VLOOKUP(Settings!$K$6,D$2:E$500,2,FALSE)</f>
        <v>-12.557780230244674</v>
      </c>
      <c r="G85" s="138">
        <f t="shared" ca="1" si="5"/>
        <v>81</v>
      </c>
      <c r="H85" s="31">
        <f ca="1">VLOOKUP(A85,Rankings!$B$1:$H$651,7,FALSE)+(RAND()*0.00001)</f>
        <v>-0.76458433344147503</v>
      </c>
      <c r="I85" s="31">
        <f ca="1">H85-VLOOKUP(Settings!$K$6,G$2:H$139,2,FALSE)</f>
        <v>-0.60765834732112434</v>
      </c>
      <c r="J85" s="31" t="str">
        <f>VLOOKUP(A85,Rankings!B:D,3,FALSE)</f>
        <v>AL</v>
      </c>
    </row>
    <row r="86" spans="1:10" ht="18.600000000000001" customHeight="1">
      <c r="A86" s="26" t="s">
        <v>372</v>
      </c>
      <c r="B86" s="27" t="s">
        <v>78</v>
      </c>
      <c r="C86" s="123" t="s">
        <v>23</v>
      </c>
      <c r="D86" s="138">
        <f t="shared" ca="1" si="4"/>
        <v>83</v>
      </c>
      <c r="E86" s="31">
        <f ca="1">VLOOKUP(A86,Rankings!$B$1:$H$651,6,FALSE)+(RAND()*0.00001)</f>
        <v>241.12500663795569</v>
      </c>
      <c r="F86" s="31">
        <f ca="1">E86-VLOOKUP(Settings!$K$6,D$2:E$500,2,FALSE)</f>
        <v>-12.231110411033256</v>
      </c>
      <c r="G86" s="138">
        <f t="shared" ca="1" si="5"/>
        <v>87</v>
      </c>
      <c r="H86" s="31">
        <f ca="1">VLOOKUP(A86,Rankings!$B$1:$H$651,7,FALSE)+(RAND()*0.00001)</f>
        <v>-1.0506557349542578</v>
      </c>
      <c r="I86" s="31">
        <f ca="1">H86-VLOOKUP(Settings!$K$6,G$2:H$139,2,FALSE)</f>
        <v>-0.8937297488339071</v>
      </c>
      <c r="J86" s="31" t="str">
        <f>VLOOKUP(A86,Rankings!B:D,3,FALSE)</f>
        <v>AL</v>
      </c>
    </row>
    <row r="87" spans="1:10" ht="18.600000000000001" customHeight="1">
      <c r="A87" s="26" t="s">
        <v>419</v>
      </c>
      <c r="B87" s="27" t="s">
        <v>103</v>
      </c>
      <c r="C87" s="123" t="s">
        <v>23</v>
      </c>
      <c r="D87" s="138">
        <f t="shared" ca="1" si="4"/>
        <v>85</v>
      </c>
      <c r="E87" s="31">
        <f ca="1">VLOOKUP(A87,Rankings!$B$1:$H$651,6,FALSE)+(RAND()*0.00001)</f>
        <v>240.21944708053755</v>
      </c>
      <c r="F87" s="31">
        <f ca="1">E87-VLOOKUP(Settings!$K$6,D$2:E$500,2,FALSE)</f>
        <v>-13.1366699684514</v>
      </c>
      <c r="G87" s="138">
        <f t="shared" ca="1" si="5"/>
        <v>91</v>
      </c>
      <c r="H87" s="31">
        <f ca="1">VLOOKUP(A87,Rankings!$B$1:$H$651,7,FALSE)+(RAND()*0.00001)</f>
        <v>-1.1429269868471825</v>
      </c>
      <c r="I87" s="31">
        <f ca="1">H87-VLOOKUP(Settings!$K$6,G$2:H$139,2,FALSE)</f>
        <v>-0.98600100072683183</v>
      </c>
      <c r="J87" s="31" t="str">
        <f>VLOOKUP(A87,Rankings!B:D,3,FALSE)</f>
        <v>AL</v>
      </c>
    </row>
    <row r="88" spans="1:10" ht="18.600000000000001" customHeight="1">
      <c r="A88" s="26" t="s">
        <v>398</v>
      </c>
      <c r="B88" s="27" t="s">
        <v>176</v>
      </c>
      <c r="C88" s="123" t="s">
        <v>23</v>
      </c>
      <c r="D88" s="138">
        <f t="shared" ca="1" si="4"/>
        <v>88</v>
      </c>
      <c r="E88" s="31">
        <f ca="1">VLOOKUP(A88,Rankings!$B$1:$H$651,6,FALSE)+(RAND()*0.00001)</f>
        <v>236.99056393384427</v>
      </c>
      <c r="F88" s="31">
        <f ca="1">E88-VLOOKUP(Settings!$K$6,D$2:E$500,2,FALSE)</f>
        <v>-16.365553115144678</v>
      </c>
      <c r="G88" s="138">
        <f t="shared" ca="1" si="5"/>
        <v>78</v>
      </c>
      <c r="H88" s="31">
        <f ca="1">VLOOKUP(A88,Rankings!$B$1:$H$651,7,FALSE)+(RAND()*0.00001)</f>
        <v>-0.31774996201641809</v>
      </c>
      <c r="I88" s="31">
        <f ca="1">H88-VLOOKUP(Settings!$K$6,G$2:H$139,2,FALSE)</f>
        <v>-0.16082397589606745</v>
      </c>
      <c r="J88" s="31" t="str">
        <f>VLOOKUP(A88,Rankings!B:D,3,FALSE)</f>
        <v>NL</v>
      </c>
    </row>
    <row r="89" spans="1:10" ht="18.600000000000001" customHeight="1">
      <c r="A89" s="26" t="s">
        <v>392</v>
      </c>
      <c r="B89" s="27" t="s">
        <v>73</v>
      </c>
      <c r="C89" s="123" t="s">
        <v>23</v>
      </c>
      <c r="D89" s="138">
        <f t="shared" ca="1" si="4"/>
        <v>87</v>
      </c>
      <c r="E89" s="31">
        <f ca="1">VLOOKUP(A89,Rankings!$B$1:$H$651,6,FALSE)+(RAND()*0.00001)</f>
        <v>237.01028211714097</v>
      </c>
      <c r="F89" s="31">
        <f ca="1">E89-VLOOKUP(Settings!$K$6,D$2:E$500,2,FALSE)</f>
        <v>-16.345834931847975</v>
      </c>
      <c r="G89" s="138">
        <f t="shared" ca="1" si="5"/>
        <v>86</v>
      </c>
      <c r="H89" s="31">
        <f ca="1">VLOOKUP(A89,Rankings!$B$1:$H$651,7,FALSE)+(RAND()*0.00001)</f>
        <v>-1.0272262450810938</v>
      </c>
      <c r="I89" s="31">
        <f ca="1">H89-VLOOKUP(Settings!$K$6,G$2:H$139,2,FALSE)</f>
        <v>-0.87030025896074314</v>
      </c>
      <c r="J89" s="31" t="str">
        <f>VLOOKUP(A89,Rankings!B:D,3,FALSE)</f>
        <v>NL</v>
      </c>
    </row>
    <row r="90" spans="1:10" ht="18.600000000000001" customHeight="1">
      <c r="A90" s="26" t="s">
        <v>413</v>
      </c>
      <c r="B90" s="27"/>
      <c r="C90" s="123" t="s">
        <v>23</v>
      </c>
      <c r="D90" s="138">
        <f t="shared" ca="1" si="4"/>
        <v>82</v>
      </c>
      <c r="E90" s="31">
        <f ca="1">VLOOKUP(A90,Rankings!$B$1:$H$651,6,FALSE)+(RAND()*0.00001)</f>
        <v>241.44611771391092</v>
      </c>
      <c r="F90" s="31">
        <f ca="1">E90-VLOOKUP(Settings!$K$6,D$2:E$500,2,FALSE)</f>
        <v>-11.909999335078027</v>
      </c>
      <c r="G90" s="138">
        <f t="shared" ca="1" si="5"/>
        <v>89</v>
      </c>
      <c r="H90" s="31">
        <f ca="1">VLOOKUP(A90,Rankings!$B$1:$H$651,7,FALSE)+(RAND()*0.00001)</f>
        <v>-1.129751006316345</v>
      </c>
      <c r="I90" s="31">
        <f ca="1">H90-VLOOKUP(Settings!$K$6,G$2:H$139,2,FALSE)</f>
        <v>-0.97282502019599426</v>
      </c>
      <c r="J90" s="31" t="str">
        <f>VLOOKUP(A90,Rankings!B:D,3,FALSE)</f>
        <v>NL</v>
      </c>
    </row>
    <row r="91" spans="1:10" ht="18.600000000000001" customHeight="1">
      <c r="A91" s="26" t="s">
        <v>344</v>
      </c>
      <c r="B91" s="27" t="s">
        <v>97</v>
      </c>
      <c r="C91" s="123" t="s">
        <v>23</v>
      </c>
      <c r="D91" s="138">
        <f t="shared" ca="1" si="4"/>
        <v>89</v>
      </c>
      <c r="E91" s="31">
        <f ca="1">VLOOKUP(A91,Rankings!$B$1:$H$651,6,FALSE)+(RAND()*0.00001)</f>
        <v>235.43291692690096</v>
      </c>
      <c r="F91" s="31">
        <f ca="1">E91-VLOOKUP(Settings!$K$6,D$2:E$500,2,FALSE)</f>
        <v>-17.923200122087991</v>
      </c>
      <c r="G91" s="138">
        <f t="shared" ca="1" si="5"/>
        <v>75</v>
      </c>
      <c r="H91" s="31">
        <f ca="1">VLOOKUP(A91,Rankings!$B$1:$H$651,7,FALSE)+(RAND()*0.00001)</f>
        <v>-0.15692598612035064</v>
      </c>
      <c r="I91" s="31">
        <f ca="1">H91-VLOOKUP(Settings!$K$6,G$2:H$139,2,FALSE)</f>
        <v>0</v>
      </c>
      <c r="J91" s="31" t="str">
        <f>VLOOKUP(A91,Rankings!B:D,3,FALSE)</f>
        <v>NL</v>
      </c>
    </row>
    <row r="92" spans="1:10" ht="18.600000000000001" customHeight="1">
      <c r="A92" s="26" t="s">
        <v>457</v>
      </c>
      <c r="B92" s="27" t="s">
        <v>306</v>
      </c>
      <c r="C92" s="123" t="s">
        <v>23</v>
      </c>
      <c r="D92" s="138">
        <f t="shared" ca="1" si="4"/>
        <v>91</v>
      </c>
      <c r="E92" s="31">
        <f ca="1">VLOOKUP(A92,Rankings!$B$1:$H$651,6,FALSE)+(RAND()*0.00001)</f>
        <v>227.16777945251008</v>
      </c>
      <c r="F92" s="31">
        <f ca="1">E92-VLOOKUP(Settings!$K$6,D$2:E$500,2,FALSE)</f>
        <v>-26.188337596478874</v>
      </c>
      <c r="G92" s="138">
        <f t="shared" ca="1" si="5"/>
        <v>93</v>
      </c>
      <c r="H92" s="31">
        <f ca="1">VLOOKUP(A92,Rankings!$B$1:$H$651,7,FALSE)+(RAND()*0.00001)</f>
        <v>-1.2481447997887813</v>
      </c>
      <c r="I92" s="31">
        <f ca="1">H92-VLOOKUP(Settings!$K$6,G$2:H$139,2,FALSE)</f>
        <v>-1.0912188136684307</v>
      </c>
      <c r="J92" s="31" t="str">
        <f>VLOOKUP(A92,Rankings!B:D,3,FALSE)</f>
        <v>NL</v>
      </c>
    </row>
    <row r="93" spans="1:10" ht="18.600000000000001" customHeight="1">
      <c r="A93" s="26" t="s">
        <v>397</v>
      </c>
      <c r="B93" s="27" t="s">
        <v>114</v>
      </c>
      <c r="C93" s="123" t="s">
        <v>23</v>
      </c>
      <c r="D93" s="138">
        <f t="shared" ca="1" si="4"/>
        <v>80</v>
      </c>
      <c r="E93" s="31">
        <f ca="1">VLOOKUP(A93,Rankings!$B$1:$H$651,6,FALSE)+(RAND()*0.00001)</f>
        <v>243.6391736987255</v>
      </c>
      <c r="F93" s="31">
        <f ca="1">E93-VLOOKUP(Settings!$K$6,D$2:E$500,2,FALSE)</f>
        <v>-9.716943350263449</v>
      </c>
      <c r="G93" s="138">
        <f t="shared" ca="1" si="5"/>
        <v>80</v>
      </c>
      <c r="H93" s="31">
        <f ca="1">VLOOKUP(A93,Rankings!$B$1:$H$651,7,FALSE)+(RAND()*0.00001)</f>
        <v>-0.50184626239920216</v>
      </c>
      <c r="I93" s="31">
        <f ca="1">H93-VLOOKUP(Settings!$K$6,G$2:H$139,2,FALSE)</f>
        <v>-0.34492027627885152</v>
      </c>
      <c r="J93" s="31" t="str">
        <f>VLOOKUP(A93,Rankings!B:D,3,FALSE)</f>
        <v>AL</v>
      </c>
    </row>
    <row r="94" spans="1:10" ht="18.600000000000001" customHeight="1">
      <c r="A94" s="26" t="s">
        <v>368</v>
      </c>
      <c r="B94" s="27" t="s">
        <v>117</v>
      </c>
      <c r="C94" s="123" t="s">
        <v>23</v>
      </c>
      <c r="D94" s="138">
        <f t="shared" ca="1" si="4"/>
        <v>96</v>
      </c>
      <c r="E94" s="31">
        <f ca="1">VLOOKUP(A94,Rankings!$B$1:$H$651,6,FALSE)+(RAND()*0.00001)</f>
        <v>218.28222338516449</v>
      </c>
      <c r="F94" s="31">
        <f ca="1">E94-VLOOKUP(Settings!$K$6,D$2:E$500,2,FALSE)</f>
        <v>-35.073893663824464</v>
      </c>
      <c r="G94" s="138">
        <f t="shared" ca="1" si="5"/>
        <v>82</v>
      </c>
      <c r="H94" s="31">
        <f ca="1">VLOOKUP(A94,Rankings!$B$1:$H$651,7,FALSE)+(RAND()*0.00001)</f>
        <v>-0.822623606779599</v>
      </c>
      <c r="I94" s="31">
        <f ca="1">H94-VLOOKUP(Settings!$K$6,G$2:H$139,2,FALSE)</f>
        <v>-0.66569762065924842</v>
      </c>
      <c r="J94" s="31" t="str">
        <f>VLOOKUP(A94,Rankings!B:D,3,FALSE)</f>
        <v>AL</v>
      </c>
    </row>
    <row r="95" spans="1:10" ht="18.600000000000001" customHeight="1">
      <c r="A95" s="26" t="s">
        <v>471</v>
      </c>
      <c r="B95" s="27" t="s">
        <v>71</v>
      </c>
      <c r="C95" s="123" t="s">
        <v>23</v>
      </c>
      <c r="D95" s="138">
        <f t="shared" ca="1" si="4"/>
        <v>92</v>
      </c>
      <c r="E95" s="31">
        <f ca="1">VLOOKUP(A95,Rankings!$B$1:$H$651,6,FALSE)+(RAND()*0.00001)</f>
        <v>226.31125167293214</v>
      </c>
      <c r="F95" s="31">
        <f ca="1">E95-VLOOKUP(Settings!$K$6,D$2:E$500,2,FALSE)</f>
        <v>-27.044865376056805</v>
      </c>
      <c r="G95" s="138">
        <f t="shared" ca="1" si="5"/>
        <v>95</v>
      </c>
      <c r="H95" s="31">
        <f ca="1">VLOOKUP(A95,Rankings!$B$1:$H$651,7,FALSE)+(RAND()*0.00001)</f>
        <v>-1.2842380185923006</v>
      </c>
      <c r="I95" s="31">
        <f ca="1">H95-VLOOKUP(Settings!$K$6,G$2:H$139,2,FALSE)</f>
        <v>-1.1273120324719499</v>
      </c>
      <c r="J95" s="31" t="str">
        <f>VLOOKUP(A95,Rankings!B:D,3,FALSE)</f>
        <v>AL</v>
      </c>
    </row>
    <row r="96" spans="1:10" ht="18.600000000000001" customHeight="1">
      <c r="A96" s="26" t="s">
        <v>420</v>
      </c>
      <c r="B96" s="27" t="s">
        <v>137</v>
      </c>
      <c r="C96" s="123" t="s">
        <v>23</v>
      </c>
      <c r="D96" s="138">
        <f t="shared" ca="1" si="4"/>
        <v>93</v>
      </c>
      <c r="E96" s="31">
        <f ca="1">VLOOKUP(A96,Rankings!$B$1:$H$651,6,FALSE)+(RAND()*0.00001)</f>
        <v>225.46306016289157</v>
      </c>
      <c r="F96" s="31">
        <f ca="1">E96-VLOOKUP(Settings!$K$6,D$2:E$500,2,FALSE)</f>
        <v>-27.893056886097384</v>
      </c>
      <c r="G96" s="138">
        <f t="shared" ca="1" si="5"/>
        <v>100</v>
      </c>
      <c r="H96" s="31">
        <f ca="1">VLOOKUP(A96,Rankings!$B$1:$H$651,7,FALSE)+(RAND()*0.00001)</f>
        <v>-1.7191547239547342</v>
      </c>
      <c r="I96" s="31">
        <f ca="1">H96-VLOOKUP(Settings!$K$6,G$2:H$139,2,FALSE)</f>
        <v>-1.5622287378343835</v>
      </c>
      <c r="J96" s="31" t="str">
        <f>VLOOKUP(A96,Rankings!B:D,3,FALSE)</f>
        <v>NL</v>
      </c>
    </row>
    <row r="97" spans="1:10" ht="18.600000000000001" customHeight="1">
      <c r="A97" s="26" t="s">
        <v>566</v>
      </c>
      <c r="B97" s="27" t="s">
        <v>68</v>
      </c>
      <c r="C97" s="123" t="s">
        <v>23</v>
      </c>
      <c r="D97" s="138">
        <f t="shared" ca="1" si="4"/>
        <v>97</v>
      </c>
      <c r="E97" s="31">
        <f ca="1">VLOOKUP(A97,Rankings!$B$1:$H$651,6,FALSE)+(RAND()*0.00001)</f>
        <v>217.11167397791485</v>
      </c>
      <c r="F97" s="31">
        <f ca="1">E97-VLOOKUP(Settings!$K$6,D$2:E$500,2,FALSE)</f>
        <v>-36.244443071074102</v>
      </c>
      <c r="G97" s="138">
        <f t="shared" ca="1" si="5"/>
        <v>111</v>
      </c>
      <c r="H97" s="31">
        <f ca="1">VLOOKUP(A97,Rankings!$B$1:$H$651,7,FALSE)+(RAND()*0.00001)</f>
        <v>-2.772391843187298</v>
      </c>
      <c r="I97" s="31">
        <f ca="1">H97-VLOOKUP(Settings!$K$6,G$2:H$139,2,FALSE)</f>
        <v>-2.6154658570669476</v>
      </c>
      <c r="J97" s="31" t="str">
        <f>VLOOKUP(A97,Rankings!B:D,3,FALSE)</f>
        <v>AL</v>
      </c>
    </row>
    <row r="98" spans="1:10" ht="20.100000000000001" customHeight="1">
      <c r="A98" s="26" t="s">
        <v>434</v>
      </c>
      <c r="B98" s="27" t="s">
        <v>68</v>
      </c>
      <c r="C98" s="123" t="s">
        <v>23</v>
      </c>
      <c r="D98" s="138">
        <f t="shared" ref="D98:D129" ca="1" si="6">RANK(E98,E$2:E$139)</f>
        <v>94</v>
      </c>
      <c r="E98" s="31">
        <f ca="1">VLOOKUP(A98,Rankings!$B$1:$H$651,6,FALSE)+(RAND()*0.00001)</f>
        <v>219.95056186068956</v>
      </c>
      <c r="F98" s="31">
        <f ca="1">E98-VLOOKUP(Settings!$K$6,D$2:E$500,2,FALSE)</f>
        <v>-33.405555188299388</v>
      </c>
      <c r="G98" s="138">
        <f t="shared" ref="G98:G129" ca="1" si="7">RANK(H98,H$2:H$500)</f>
        <v>96</v>
      </c>
      <c r="H98" s="31">
        <f ca="1">VLOOKUP(A98,Rankings!$B$1:$H$651,7,FALSE)+(RAND()*0.00001)</f>
        <v>-1.3850266037301597</v>
      </c>
      <c r="I98" s="31">
        <f ca="1">H98-VLOOKUP(Settings!$K$6,G$2:H$139,2,FALSE)</f>
        <v>-1.228100617609809</v>
      </c>
      <c r="J98" s="31" t="str">
        <f>VLOOKUP(A98,Rankings!B:D,3,FALSE)</f>
        <v>AL</v>
      </c>
    </row>
    <row r="99" spans="1:10" ht="18.600000000000001" customHeight="1">
      <c r="A99" s="26" t="s">
        <v>355</v>
      </c>
      <c r="B99" s="27" t="s">
        <v>117</v>
      </c>
      <c r="C99" s="123" t="s">
        <v>23</v>
      </c>
      <c r="D99" s="138">
        <f t="shared" ca="1" si="6"/>
        <v>102</v>
      </c>
      <c r="E99" s="31">
        <f ca="1">VLOOKUP(A99,Rankings!$B$1:$H$651,6,FALSE)+(RAND()*0.00001)</f>
        <v>208.50556317918452</v>
      </c>
      <c r="F99" s="31">
        <f ca="1">E99-VLOOKUP(Settings!$K$6,D$2:E$500,2,FALSE)</f>
        <v>-44.850553869804429</v>
      </c>
      <c r="G99" s="138">
        <f t="shared" ca="1" si="7"/>
        <v>98</v>
      </c>
      <c r="H99" s="31">
        <f ca="1">VLOOKUP(A99,Rankings!$B$1:$H$651,7,FALSE)+(RAND()*0.00001)</f>
        <v>-1.6572806561511642</v>
      </c>
      <c r="I99" s="31">
        <f ca="1">H99-VLOOKUP(Settings!$K$6,G$2:H$139,2,FALSE)</f>
        <v>-1.5003546700308135</v>
      </c>
      <c r="J99" s="31" t="str">
        <f>VLOOKUP(A99,Rankings!B:D,3,FALSE)</f>
        <v>AL</v>
      </c>
    </row>
    <row r="100" spans="1:10" ht="20.100000000000001" customHeight="1">
      <c r="A100" s="26" t="s">
        <v>482</v>
      </c>
      <c r="B100" s="27" t="s">
        <v>94</v>
      </c>
      <c r="C100" s="123" t="s">
        <v>23</v>
      </c>
      <c r="D100" s="138">
        <f t="shared" ca="1" si="6"/>
        <v>101</v>
      </c>
      <c r="E100" s="31">
        <f ca="1">VLOOKUP(A100,Rankings!$B$1:$H$651,6,FALSE)+(RAND()*0.00001)</f>
        <v>210.64555901453912</v>
      </c>
      <c r="F100" s="31">
        <f ca="1">E100-VLOOKUP(Settings!$K$6,D$2:E$500,2,FALSE)</f>
        <v>-42.710558034449832</v>
      </c>
      <c r="G100" s="138">
        <f t="shared" ca="1" si="7"/>
        <v>103</v>
      </c>
      <c r="H100" s="31">
        <f ca="1">VLOOKUP(A100,Rankings!$B$1:$H$651,7,FALSE)+(RAND()*0.00001)</f>
        <v>-1.7981426789403863</v>
      </c>
      <c r="I100" s="31">
        <f ca="1">H100-VLOOKUP(Settings!$K$6,G$2:H$139,2,FALSE)</f>
        <v>-1.6412166928200356</v>
      </c>
      <c r="J100" s="31" t="str">
        <f>VLOOKUP(A100,Rankings!B:D,3,FALSE)</f>
        <v>AL</v>
      </c>
    </row>
    <row r="101" spans="1:10" ht="18.600000000000001" customHeight="1">
      <c r="A101" s="26" t="s">
        <v>357</v>
      </c>
      <c r="B101" s="27" t="s">
        <v>81</v>
      </c>
      <c r="C101" s="123" t="s">
        <v>23</v>
      </c>
      <c r="D101" s="138">
        <f t="shared" ca="1" si="6"/>
        <v>100</v>
      </c>
      <c r="E101" s="31">
        <f ca="1">VLOOKUP(A101,Rankings!$B$1:$H$651,6,FALSE)+(RAND()*0.00001)</f>
        <v>211.61334041860752</v>
      </c>
      <c r="F101" s="31">
        <f ca="1">E101-VLOOKUP(Settings!$K$6,D$2:E$500,2,FALSE)</f>
        <v>-41.742776630381428</v>
      </c>
      <c r="G101" s="138">
        <f t="shared" ca="1" si="7"/>
        <v>105</v>
      </c>
      <c r="H101" s="31">
        <f ca="1">VLOOKUP(A101,Rankings!$B$1:$H$651,7,FALSE)+(RAND()*0.00001)</f>
        <v>-1.944097981827335</v>
      </c>
      <c r="I101" s="31">
        <f ca="1">H101-VLOOKUP(Settings!$K$6,G$2:H$139,2,FALSE)</f>
        <v>-1.7871719957069843</v>
      </c>
      <c r="J101" s="31" t="str">
        <f>VLOOKUP(A101,Rankings!B:D,3,FALSE)</f>
        <v>NL</v>
      </c>
    </row>
    <row r="102" spans="1:10" ht="18.600000000000001" customHeight="1">
      <c r="A102" s="26" t="s">
        <v>460</v>
      </c>
      <c r="B102" s="27" t="s">
        <v>306</v>
      </c>
      <c r="C102" s="123" t="s">
        <v>23</v>
      </c>
      <c r="D102" s="138">
        <f t="shared" ca="1" si="6"/>
        <v>103</v>
      </c>
      <c r="E102" s="31">
        <f ca="1">VLOOKUP(A102,Rankings!$B$1:$H$651,6,FALSE)+(RAND()*0.00001)</f>
        <v>207.00056412662411</v>
      </c>
      <c r="F102" s="31">
        <f ca="1">E102-VLOOKUP(Settings!$K$6,D$2:E$500,2,FALSE)</f>
        <v>-46.355552922364836</v>
      </c>
      <c r="G102" s="138">
        <f t="shared" ca="1" si="7"/>
        <v>101</v>
      </c>
      <c r="H102" s="31">
        <f ca="1">VLOOKUP(A102,Rankings!$B$1:$H$651,7,FALSE)+(RAND()*0.00001)</f>
        <v>-1.7461891607733173</v>
      </c>
      <c r="I102" s="31">
        <f ca="1">H102-VLOOKUP(Settings!$K$6,G$2:H$139,2,FALSE)</f>
        <v>-1.5892631746529666</v>
      </c>
      <c r="J102" s="31" t="str">
        <f>VLOOKUP(A102,Rankings!B:D,3,FALSE)</f>
        <v>NL</v>
      </c>
    </row>
    <row r="103" spans="1:10" ht="18.600000000000001" customHeight="1">
      <c r="A103" s="26" t="s">
        <v>640</v>
      </c>
      <c r="B103" s="27" t="s">
        <v>120</v>
      </c>
      <c r="C103" s="123" t="s">
        <v>23</v>
      </c>
      <c r="D103" s="138">
        <f t="shared" ca="1" si="6"/>
        <v>95</v>
      </c>
      <c r="E103" s="31">
        <f ca="1">VLOOKUP(A103,Rankings!$B$1:$H$651,6,FALSE)+(RAND()*0.00001)</f>
        <v>218.83250645825231</v>
      </c>
      <c r="F103" s="31">
        <f ca="1">E103-VLOOKUP(Settings!$K$6,D$2:E$500,2,FALSE)</f>
        <v>-34.523610590736638</v>
      </c>
      <c r="G103" s="138">
        <f t="shared" ca="1" si="7"/>
        <v>84</v>
      </c>
      <c r="H103" s="31">
        <f ca="1">VLOOKUP(A103,Rankings!$B$1:$H$651,7,FALSE)+(RAND()*0.00001)</f>
        <v>-0.94670879777084038</v>
      </c>
      <c r="I103" s="31">
        <f ca="1">H103-VLOOKUP(Settings!$K$6,G$2:H$139,2,FALSE)</f>
        <v>-0.78978281165048969</v>
      </c>
      <c r="J103" s="31" t="str">
        <f>VLOOKUP(A103,Rankings!B:D,3,FALSE)</f>
        <v>NL</v>
      </c>
    </row>
    <row r="104" spans="1:10" ht="20.100000000000001" customHeight="1">
      <c r="A104" s="26" t="s">
        <v>461</v>
      </c>
      <c r="B104" s="27" t="s">
        <v>95</v>
      </c>
      <c r="C104" s="123" t="s">
        <v>23</v>
      </c>
      <c r="D104" s="138">
        <f t="shared" ca="1" si="6"/>
        <v>98</v>
      </c>
      <c r="E104" s="31">
        <f ca="1">VLOOKUP(A104,Rankings!$B$1:$H$651,6,FALSE)+(RAND()*0.00001)</f>
        <v>216.30861659531121</v>
      </c>
      <c r="F104" s="31">
        <f ca="1">E104-VLOOKUP(Settings!$K$6,D$2:E$500,2,FALSE)</f>
        <v>-37.047500453677742</v>
      </c>
      <c r="G104" s="138">
        <f t="shared" ca="1" si="7"/>
        <v>104</v>
      </c>
      <c r="H104" s="31">
        <f ca="1">VLOOKUP(A104,Rankings!$B$1:$H$651,7,FALSE)+(RAND()*0.00001)</f>
        <v>-1.8934539818799738</v>
      </c>
      <c r="I104" s="31">
        <f ca="1">H104-VLOOKUP(Settings!$K$6,G$2:H$139,2,FALSE)</f>
        <v>-1.7365279957596231</v>
      </c>
      <c r="J104" s="31" t="str">
        <f>VLOOKUP(A104,Rankings!B:D,3,FALSE)</f>
        <v>NL</v>
      </c>
    </row>
    <row r="105" spans="1:10" ht="18.600000000000001" customHeight="1">
      <c r="A105" s="26" t="s">
        <v>412</v>
      </c>
      <c r="B105" s="27" t="s">
        <v>123</v>
      </c>
      <c r="C105" s="123" t="s">
        <v>23</v>
      </c>
      <c r="D105" s="138">
        <f t="shared" ca="1" si="6"/>
        <v>107</v>
      </c>
      <c r="E105" s="31">
        <f ca="1">VLOOKUP(A105,Rankings!$B$1:$H$651,6,FALSE)+(RAND()*0.00001)</f>
        <v>193.02500932032251</v>
      </c>
      <c r="F105" s="31">
        <f ca="1">E105-VLOOKUP(Settings!$K$6,D$2:E$500,2,FALSE)</f>
        <v>-60.331107728666439</v>
      </c>
      <c r="G105" s="138">
        <f t="shared" ca="1" si="7"/>
        <v>106</v>
      </c>
      <c r="H105" s="31">
        <f ca="1">VLOOKUP(A105,Rankings!$B$1:$H$651,7,FALSE)+(RAND()*0.00001)</f>
        <v>-2.0063559776273618</v>
      </c>
      <c r="I105" s="31">
        <f ca="1">H105-VLOOKUP(Settings!$K$6,G$2:H$139,2,FALSE)</f>
        <v>-1.8494299915070112</v>
      </c>
      <c r="J105" s="31" t="str">
        <f>VLOOKUP(A105,Rankings!B:D,3,FALSE)</f>
        <v>NL</v>
      </c>
    </row>
    <row r="106" spans="1:10" ht="18.600000000000001" customHeight="1">
      <c r="A106" s="26" t="s">
        <v>468</v>
      </c>
      <c r="B106" s="27"/>
      <c r="C106" s="123" t="s">
        <v>23</v>
      </c>
      <c r="D106" s="138">
        <f t="shared" ca="1" si="6"/>
        <v>104</v>
      </c>
      <c r="E106" s="31">
        <f ca="1">VLOOKUP(A106,Rankings!$B$1:$H$651,6,FALSE)+(RAND()*0.00001)</f>
        <v>199.5205600012151</v>
      </c>
      <c r="F106" s="31">
        <f ca="1">E106-VLOOKUP(Settings!$K$6,D$2:E$500,2,FALSE)</f>
        <v>-53.835557047773847</v>
      </c>
      <c r="G106" s="138">
        <f t="shared" ca="1" si="7"/>
        <v>118</v>
      </c>
      <c r="H106" s="31">
        <f ca="1">VLOOKUP(A106,Rankings!$B$1:$H$651,7,FALSE)+(RAND()*0.00001)</f>
        <v>-3.2728076121449332</v>
      </c>
      <c r="I106" s="31">
        <f ca="1">H106-VLOOKUP(Settings!$K$6,G$2:H$139,2,FALSE)</f>
        <v>-3.1158816260245827</v>
      </c>
      <c r="J106" s="31" t="str">
        <f>VLOOKUP(A106,Rankings!B:D,3,FALSE)</f>
        <v>AL</v>
      </c>
    </row>
    <row r="107" spans="1:10" ht="18.600000000000001" customHeight="1">
      <c r="A107" s="26" t="s">
        <v>451</v>
      </c>
      <c r="B107" s="27" t="s">
        <v>99</v>
      </c>
      <c r="C107" s="123" t="s">
        <v>23</v>
      </c>
      <c r="D107" s="138">
        <f t="shared" ca="1" si="6"/>
        <v>106</v>
      </c>
      <c r="E107" s="31">
        <f ca="1">VLOOKUP(A107,Rankings!$B$1:$H$651,6,FALSE)+(RAND()*0.00001)</f>
        <v>194.07333340801779</v>
      </c>
      <c r="F107" s="31">
        <f ca="1">E107-VLOOKUP(Settings!$K$6,D$2:E$500,2,FALSE)</f>
        <v>-59.282783640971161</v>
      </c>
      <c r="G107" s="138">
        <f t="shared" ca="1" si="7"/>
        <v>110</v>
      </c>
      <c r="H107" s="31">
        <f ca="1">VLOOKUP(A107,Rankings!$B$1:$H$651,7,FALSE)+(RAND()*0.00001)</f>
        <v>-2.4816027471378934</v>
      </c>
      <c r="I107" s="31">
        <f ca="1">H107-VLOOKUP(Settings!$K$6,G$2:H$139,2,FALSE)</f>
        <v>-2.3246767610175429</v>
      </c>
      <c r="J107" s="31" t="str">
        <f>VLOOKUP(A107,Rankings!B:D,3,FALSE)</f>
        <v>AL</v>
      </c>
    </row>
    <row r="108" spans="1:10" ht="18.600000000000001" customHeight="1">
      <c r="A108" s="26" t="s">
        <v>424</v>
      </c>
      <c r="B108" s="27" t="s">
        <v>114</v>
      </c>
      <c r="C108" s="123" t="s">
        <v>23</v>
      </c>
      <c r="D108" s="138">
        <f t="shared" ca="1" si="6"/>
        <v>109</v>
      </c>
      <c r="E108" s="31">
        <f ca="1">VLOOKUP(A108,Rankings!$B$1:$H$651,6,FALSE)+(RAND()*0.00001)</f>
        <v>190.72444639636743</v>
      </c>
      <c r="F108" s="31">
        <f ca="1">E108-VLOOKUP(Settings!$K$6,D$2:E$500,2,FALSE)</f>
        <v>-62.631670652621523</v>
      </c>
      <c r="G108" s="138">
        <f t="shared" ca="1" si="7"/>
        <v>108</v>
      </c>
      <c r="H108" s="31">
        <f ca="1">VLOOKUP(A108,Rankings!$B$1:$H$651,7,FALSE)+(RAND()*0.00001)</f>
        <v>-2.297040096683133</v>
      </c>
      <c r="I108" s="31">
        <f ca="1">H108-VLOOKUP(Settings!$K$6,G$2:H$139,2,FALSE)</f>
        <v>-2.1401141105627826</v>
      </c>
      <c r="J108" s="31" t="str">
        <f>VLOOKUP(A108,Rankings!B:D,3,FALSE)</f>
        <v>AL</v>
      </c>
    </row>
    <row r="109" spans="1:10" ht="18.600000000000001" customHeight="1">
      <c r="A109" s="26" t="s">
        <v>476</v>
      </c>
      <c r="B109" s="27" t="s">
        <v>258</v>
      </c>
      <c r="C109" s="123" t="s">
        <v>23</v>
      </c>
      <c r="D109" s="138">
        <f t="shared" ca="1" si="6"/>
        <v>105</v>
      </c>
      <c r="E109" s="31">
        <f ca="1">VLOOKUP(A109,Rankings!$B$1:$H$651,6,FALSE)+(RAND()*0.00001)</f>
        <v>194.09861869296296</v>
      </c>
      <c r="F109" s="31">
        <f ca="1">E109-VLOOKUP(Settings!$K$6,D$2:E$500,2,FALSE)</f>
        <v>-59.257498356025991</v>
      </c>
      <c r="G109" s="138">
        <f t="shared" ca="1" si="7"/>
        <v>99</v>
      </c>
      <c r="H109" s="31">
        <f ca="1">VLOOKUP(A109,Rankings!$B$1:$H$651,7,FALSE)+(RAND()*0.00001)</f>
        <v>-1.7165488943507503</v>
      </c>
      <c r="I109" s="31">
        <f ca="1">H109-VLOOKUP(Settings!$K$6,G$2:H$139,2,FALSE)</f>
        <v>-1.5596229082303996</v>
      </c>
      <c r="J109" s="31" t="str">
        <f>VLOOKUP(A109,Rankings!B:D,3,FALSE)</f>
        <v>AL</v>
      </c>
    </row>
    <row r="110" spans="1:10" ht="18.600000000000001" customHeight="1">
      <c r="A110" s="26" t="s">
        <v>565</v>
      </c>
      <c r="B110" s="27" t="s">
        <v>134</v>
      </c>
      <c r="C110" s="123" t="s">
        <v>23</v>
      </c>
      <c r="D110" s="138">
        <f t="shared" ca="1" si="6"/>
        <v>112</v>
      </c>
      <c r="E110" s="31">
        <f ca="1">VLOOKUP(A110,Rankings!$B$1:$H$651,6,FALSE)+(RAND()*0.00001)</f>
        <v>185.76111782010821</v>
      </c>
      <c r="F110" s="31">
        <f ca="1">E110-VLOOKUP(Settings!$K$6,D$2:E$500,2,FALSE)</f>
        <v>-67.594999228880738</v>
      </c>
      <c r="G110" s="138">
        <f t="shared" ca="1" si="7"/>
        <v>109</v>
      </c>
      <c r="H110" s="31">
        <f ca="1">VLOOKUP(A110,Rankings!$B$1:$H$651,7,FALSE)+(RAND()*0.00001)</f>
        <v>-2.3379184939194033</v>
      </c>
      <c r="I110" s="31">
        <f ca="1">H110-VLOOKUP(Settings!$K$6,G$2:H$139,2,FALSE)</f>
        <v>-2.1809925077990528</v>
      </c>
      <c r="J110" s="31" t="str">
        <f>VLOOKUP(A110,Rankings!B:D,3,FALSE)</f>
        <v>NL</v>
      </c>
    </row>
    <row r="111" spans="1:10" ht="18.600000000000001" customHeight="1">
      <c r="A111" s="26" t="s">
        <v>723</v>
      </c>
      <c r="B111" s="27" t="s">
        <v>134</v>
      </c>
      <c r="C111" s="123" t="s">
        <v>23</v>
      </c>
      <c r="D111" s="138">
        <f t="shared" ca="1" si="6"/>
        <v>114</v>
      </c>
      <c r="E111" s="31">
        <f ca="1">VLOOKUP(A111,Rankings!$B$1:$H$651,6,FALSE)+(RAND()*0.00001)</f>
        <v>175.61777888835178</v>
      </c>
      <c r="F111" s="31">
        <f ca="1">E111-VLOOKUP(Settings!$K$6,D$2:E$500,2,FALSE)</f>
        <v>-77.73833816063717</v>
      </c>
      <c r="G111" s="138">
        <f t="shared" ca="1" si="7"/>
        <v>130</v>
      </c>
      <c r="H111" s="31">
        <f ca="1">VLOOKUP(A111,Rankings!$B$1:$H$651,7,FALSE)+(RAND()*0.00001)</f>
        <v>-4.868467655576838</v>
      </c>
      <c r="I111" s="31">
        <f ca="1">H111-VLOOKUP(Settings!$K$6,G$2:H$139,2,FALSE)</f>
        <v>-4.7115416694564871</v>
      </c>
      <c r="J111" s="31" t="str">
        <f>VLOOKUP(A111,Rankings!B:D,3,FALSE)</f>
        <v>NL</v>
      </c>
    </row>
    <row r="112" spans="1:10" ht="18.600000000000001" customHeight="1">
      <c r="A112" s="26" t="s">
        <v>542</v>
      </c>
      <c r="B112" s="27" t="s">
        <v>258</v>
      </c>
      <c r="C112" s="123" t="s">
        <v>23</v>
      </c>
      <c r="D112" s="138">
        <f t="shared" ca="1" si="6"/>
        <v>110</v>
      </c>
      <c r="E112" s="31">
        <f ca="1">VLOOKUP(A112,Rankings!$B$1:$H$651,6,FALSE)+(RAND()*0.00001)</f>
        <v>188.35361865936193</v>
      </c>
      <c r="F112" s="31">
        <f ca="1">E112-VLOOKUP(Settings!$K$6,D$2:E$500,2,FALSE)</f>
        <v>-65.002498389627021</v>
      </c>
      <c r="G112" s="138">
        <f t="shared" ca="1" si="7"/>
        <v>120</v>
      </c>
      <c r="H112" s="31">
        <f ca="1">VLOOKUP(A112,Rankings!$B$1:$H$651,7,FALSE)+(RAND()*0.00001)</f>
        <v>-3.8953747980407427</v>
      </c>
      <c r="I112" s="31">
        <f ca="1">H112-VLOOKUP(Settings!$K$6,G$2:H$139,2,FALSE)</f>
        <v>-3.7384488119203922</v>
      </c>
      <c r="J112" s="31" t="str">
        <f>VLOOKUP(A112,Rankings!B:D,3,FALSE)</f>
        <v>AL</v>
      </c>
    </row>
    <row r="113" spans="1:10" ht="18.600000000000001" customHeight="1">
      <c r="A113" s="26" t="s">
        <v>447</v>
      </c>
      <c r="B113" s="27" t="s">
        <v>137</v>
      </c>
      <c r="C113" s="123" t="s">
        <v>23</v>
      </c>
      <c r="D113" s="138">
        <f t="shared" ca="1" si="6"/>
        <v>113</v>
      </c>
      <c r="E113" s="31">
        <f ca="1">VLOOKUP(A113,Rankings!$B$1:$H$651,6,FALSE)+(RAND()*0.00001)</f>
        <v>184.43000567078505</v>
      </c>
      <c r="F113" s="31">
        <f ca="1">E113-VLOOKUP(Settings!$K$6,D$2:E$500,2,FALSE)</f>
        <v>-68.926111378203899</v>
      </c>
      <c r="G113" s="138">
        <f t="shared" ca="1" si="7"/>
        <v>97</v>
      </c>
      <c r="H113" s="31">
        <f ca="1">VLOOKUP(A113,Rankings!$B$1:$H$651,7,FALSE)+(RAND()*0.00001)</f>
        <v>-1.5308800791506811</v>
      </c>
      <c r="I113" s="31">
        <f ca="1">H113-VLOOKUP(Settings!$K$6,G$2:H$139,2,FALSE)</f>
        <v>-1.3739540930303304</v>
      </c>
      <c r="J113" s="31" t="str">
        <f>VLOOKUP(A113,Rankings!B:D,3,FALSE)</f>
        <v>NL</v>
      </c>
    </row>
    <row r="114" spans="1:10" ht="18.600000000000001" customHeight="1">
      <c r="A114" s="26" t="s">
        <v>489</v>
      </c>
      <c r="B114" s="27" t="s">
        <v>76</v>
      </c>
      <c r="C114" s="123" t="s">
        <v>23</v>
      </c>
      <c r="D114" s="138">
        <f t="shared" ca="1" si="6"/>
        <v>111</v>
      </c>
      <c r="E114" s="31">
        <f ca="1">VLOOKUP(A114,Rankings!$B$1:$H$651,6,FALSE)+(RAND()*0.00001)</f>
        <v>187.83389587635565</v>
      </c>
      <c r="F114" s="31">
        <f ca="1">E114-VLOOKUP(Settings!$K$6,D$2:E$500,2,FALSE)</f>
        <v>-65.522221172633294</v>
      </c>
      <c r="G114" s="138">
        <f t="shared" ca="1" si="7"/>
        <v>102</v>
      </c>
      <c r="H114" s="31">
        <f ca="1">VLOOKUP(A114,Rankings!$B$1:$H$651,7,FALSE)+(RAND()*0.00001)</f>
        <v>-1.7588474592850127</v>
      </c>
      <c r="I114" s="31">
        <f ca="1">H114-VLOOKUP(Settings!$K$6,G$2:H$139,2,FALSE)</f>
        <v>-1.601921473164662</v>
      </c>
      <c r="J114" s="31" t="str">
        <f>VLOOKUP(A114,Rankings!B:D,3,FALSE)</f>
        <v>AL</v>
      </c>
    </row>
    <row r="115" spans="1:10" ht="18.600000000000001" customHeight="1">
      <c r="A115" s="26" t="s">
        <v>602</v>
      </c>
      <c r="B115" s="27" t="s">
        <v>306</v>
      </c>
      <c r="C115" s="123" t="s">
        <v>23</v>
      </c>
      <c r="D115" s="138">
        <f t="shared" ca="1" si="6"/>
        <v>115</v>
      </c>
      <c r="E115" s="31">
        <f ca="1">VLOOKUP(A115,Rankings!$B$1:$H$651,6,FALSE)+(RAND()*0.00001)</f>
        <v>174.29194842418326</v>
      </c>
      <c r="F115" s="31">
        <f ca="1">E115-VLOOKUP(Settings!$K$6,D$2:E$500,2,FALSE)</f>
        <v>-79.064168624805689</v>
      </c>
      <c r="G115" s="138">
        <f t="shared" ca="1" si="7"/>
        <v>116</v>
      </c>
      <c r="H115" s="31">
        <f ca="1">VLOOKUP(A115,Rankings!$B$1:$H$651,7,FALSE)+(RAND()*0.00001)</f>
        <v>-3.2049894350805324</v>
      </c>
      <c r="I115" s="31">
        <f ca="1">H115-VLOOKUP(Settings!$K$6,G$2:H$139,2,FALSE)</f>
        <v>-3.0480634489601819</v>
      </c>
      <c r="J115" s="31" t="str">
        <f>VLOOKUP(A115,Rankings!B:D,3,FALSE)</f>
        <v>NL</v>
      </c>
    </row>
    <row r="116" spans="1:10" ht="18.600000000000001" customHeight="1">
      <c r="A116" s="26" t="s">
        <v>498</v>
      </c>
      <c r="B116" s="27" t="s">
        <v>156</v>
      </c>
      <c r="C116" s="123" t="s">
        <v>23</v>
      </c>
      <c r="D116" s="138">
        <f t="shared" ca="1" si="6"/>
        <v>116</v>
      </c>
      <c r="E116" s="31">
        <f ca="1">VLOOKUP(A116,Rankings!$B$1:$H$651,6,FALSE)+(RAND()*0.00001)</f>
        <v>172.72500713545207</v>
      </c>
      <c r="F116" s="31">
        <f ca="1">E116-VLOOKUP(Settings!$K$6,D$2:E$500,2,FALSE)</f>
        <v>-80.631109913536875</v>
      </c>
      <c r="G116" s="138">
        <f t="shared" ca="1" si="7"/>
        <v>112</v>
      </c>
      <c r="H116" s="31">
        <f ca="1">VLOOKUP(A116,Rankings!$B$1:$H$651,7,FALSE)+(RAND()*0.00001)</f>
        <v>-2.9955221199496522</v>
      </c>
      <c r="I116" s="31">
        <f ca="1">H116-VLOOKUP(Settings!$K$6,G$2:H$139,2,FALSE)</f>
        <v>-2.8385961338293018</v>
      </c>
      <c r="J116" s="31" t="str">
        <f>VLOOKUP(A116,Rankings!B:D,3,FALSE)</f>
        <v>AL</v>
      </c>
    </row>
    <row r="117" spans="1:10" ht="20.100000000000001" customHeight="1">
      <c r="A117" s="26" t="s">
        <v>459</v>
      </c>
      <c r="B117" s="27" t="s">
        <v>217</v>
      </c>
      <c r="C117" s="123" t="s">
        <v>23</v>
      </c>
      <c r="D117" s="138">
        <f t="shared" ca="1" si="6"/>
        <v>117</v>
      </c>
      <c r="E117" s="31">
        <f ca="1">VLOOKUP(A117,Rankings!$B$1:$H$651,6,FALSE)+(RAND()*0.00001)</f>
        <v>168.10889196145561</v>
      </c>
      <c r="F117" s="31">
        <f ca="1">E117-VLOOKUP(Settings!$K$6,D$2:E$500,2,FALSE)</f>
        <v>-85.247225087533337</v>
      </c>
      <c r="G117" s="138">
        <f t="shared" ca="1" si="7"/>
        <v>107</v>
      </c>
      <c r="H117" s="31">
        <f ca="1">VLOOKUP(A117,Rankings!$B$1:$H$651,7,FALSE)+(RAND()*0.00001)</f>
        <v>-2.072618546508965</v>
      </c>
      <c r="I117" s="31">
        <f ca="1">H117-VLOOKUP(Settings!$K$6,G$2:H$139,2,FALSE)</f>
        <v>-1.9156925603886144</v>
      </c>
      <c r="J117" s="31" t="str">
        <f>VLOOKUP(A117,Rankings!B:D,3,FALSE)</f>
        <v>NL</v>
      </c>
    </row>
    <row r="118" spans="1:10" ht="20.100000000000001" customHeight="1">
      <c r="A118" s="26" t="s">
        <v>560</v>
      </c>
      <c r="B118" s="27" t="s">
        <v>137</v>
      </c>
      <c r="C118" s="123" t="s">
        <v>23</v>
      </c>
      <c r="D118" s="138">
        <f t="shared" ca="1" si="6"/>
        <v>120</v>
      </c>
      <c r="E118" s="31">
        <f ca="1">VLOOKUP(A118,Rankings!$B$1:$H$651,6,FALSE)+(RAND()*0.00001)</f>
        <v>145.41556306396373</v>
      </c>
      <c r="F118" s="31">
        <f ca="1">E118-VLOOKUP(Settings!$K$6,D$2:E$500,2,FALSE)</f>
        <v>-107.94055398502522</v>
      </c>
      <c r="G118" s="138">
        <f t="shared" ca="1" si="7"/>
        <v>113</v>
      </c>
      <c r="H118" s="31">
        <f ca="1">VLOOKUP(A118,Rankings!$B$1:$H$651,7,FALSE)+(RAND()*0.00001)</f>
        <v>-3.0063211700826264</v>
      </c>
      <c r="I118" s="31">
        <f ca="1">H118-VLOOKUP(Settings!$K$6,G$2:H$139,2,FALSE)</f>
        <v>-2.849395183962276</v>
      </c>
      <c r="J118" s="31" t="str">
        <f>VLOOKUP(A118,Rankings!B:D,3,FALSE)</f>
        <v>NL</v>
      </c>
    </row>
    <row r="119" spans="1:10" ht="18.600000000000001" customHeight="1">
      <c r="A119" s="26" t="s">
        <v>654</v>
      </c>
      <c r="B119" s="27" t="s">
        <v>101</v>
      </c>
      <c r="C119" s="123" t="s">
        <v>23</v>
      </c>
      <c r="D119" s="138">
        <f t="shared" ca="1" si="6"/>
        <v>118</v>
      </c>
      <c r="E119" s="31">
        <f ca="1">VLOOKUP(A119,Rankings!$B$1:$H$651,6,FALSE)+(RAND()*0.00001)</f>
        <v>163.21444763934954</v>
      </c>
      <c r="F119" s="31">
        <f ca="1">E119-VLOOKUP(Settings!$K$6,D$2:E$500,2,FALSE)</f>
        <v>-90.141669409639405</v>
      </c>
      <c r="G119" s="138">
        <f t="shared" ca="1" si="7"/>
        <v>117</v>
      </c>
      <c r="H119" s="31">
        <f ca="1">VLOOKUP(A119,Rankings!$B$1:$H$651,7,FALSE)+(RAND()*0.00001)</f>
        <v>-3.2491680908822094</v>
      </c>
      <c r="I119" s="31">
        <f ca="1">H119-VLOOKUP(Settings!$K$6,G$2:H$139,2,FALSE)</f>
        <v>-3.0922421047618589</v>
      </c>
      <c r="J119" s="31" t="str">
        <f>VLOOKUP(A119,Rankings!B:D,3,FALSE)</f>
        <v>AL</v>
      </c>
    </row>
    <row r="120" spans="1:10" ht="18.600000000000001" customHeight="1">
      <c r="A120" s="26" t="s">
        <v>514</v>
      </c>
      <c r="B120" s="27" t="s">
        <v>117</v>
      </c>
      <c r="C120" s="123" t="s">
        <v>23</v>
      </c>
      <c r="D120" s="138">
        <f t="shared" ca="1" si="6"/>
        <v>119</v>
      </c>
      <c r="E120" s="31">
        <f ca="1">VLOOKUP(A120,Rankings!$B$1:$H$651,6,FALSE)+(RAND()*0.00001)</f>
        <v>156.45583490572062</v>
      </c>
      <c r="F120" s="31">
        <f ca="1">E120-VLOOKUP(Settings!$K$6,D$2:E$500,2,FALSE)</f>
        <v>-96.900282143268328</v>
      </c>
      <c r="G120" s="138">
        <f t="shared" ca="1" si="7"/>
        <v>114</v>
      </c>
      <c r="H120" s="31">
        <f ca="1">VLOOKUP(A120,Rankings!$B$1:$H$651,7,FALSE)+(RAND()*0.00001)</f>
        <v>-3.0397594519060154</v>
      </c>
      <c r="I120" s="31">
        <f ca="1">H120-VLOOKUP(Settings!$K$6,G$2:H$139,2,FALSE)</f>
        <v>-2.8828334657856649</v>
      </c>
      <c r="J120" s="31" t="str">
        <f>VLOOKUP(A120,Rankings!B:D,3,FALSE)</f>
        <v>AL</v>
      </c>
    </row>
    <row r="121" spans="1:10" ht="18.600000000000001" customHeight="1">
      <c r="A121" s="26" t="s">
        <v>670</v>
      </c>
      <c r="B121" s="27" t="s">
        <v>223</v>
      </c>
      <c r="C121" s="123" t="s">
        <v>23</v>
      </c>
      <c r="D121" s="138">
        <f t="shared" ca="1" si="6"/>
        <v>121</v>
      </c>
      <c r="E121" s="31">
        <f ca="1">VLOOKUP(A121,Rankings!$B$1:$H$651,6,FALSE)+(RAND()*0.00001)</f>
        <v>133.19944757192582</v>
      </c>
      <c r="F121" s="31">
        <f ca="1">E121-VLOOKUP(Settings!$K$6,D$2:E$500,2,FALSE)</f>
        <v>-120.15666947706313</v>
      </c>
      <c r="G121" s="138">
        <f t="shared" ca="1" si="7"/>
        <v>121</v>
      </c>
      <c r="H121" s="31">
        <f ca="1">VLOOKUP(A121,Rankings!$B$1:$H$651,7,FALSE)+(RAND()*0.00001)</f>
        <v>-4.0614037315380109</v>
      </c>
      <c r="I121" s="31">
        <f ca="1">H121-VLOOKUP(Settings!$K$6,G$2:H$139,2,FALSE)</f>
        <v>-3.9044777454176605</v>
      </c>
      <c r="J121" s="31" t="str">
        <f>VLOOKUP(A121,Rankings!B:D,3,FALSE)</f>
        <v>NL</v>
      </c>
    </row>
    <row r="122" spans="1:10" ht="18.600000000000001" customHeight="1">
      <c r="A122" s="26" t="s">
        <v>608</v>
      </c>
      <c r="B122" s="27" t="s">
        <v>63</v>
      </c>
      <c r="C122" s="123" t="s">
        <v>23</v>
      </c>
      <c r="D122" s="138">
        <f t="shared" ca="1" si="6"/>
        <v>123</v>
      </c>
      <c r="E122" s="31">
        <f ca="1">VLOOKUP(A122,Rankings!$B$1:$H$651,6,FALSE)+(RAND()*0.00001)</f>
        <v>128.28334109562704</v>
      </c>
      <c r="F122" s="31">
        <f ca="1">E122-VLOOKUP(Settings!$K$6,D$2:E$500,2,FALSE)</f>
        <v>-125.07277595336191</v>
      </c>
      <c r="G122" s="138">
        <f t="shared" ca="1" si="7"/>
        <v>123</v>
      </c>
      <c r="H122" s="31">
        <f ca="1">VLOOKUP(A122,Rankings!$B$1:$H$651,7,FALSE)+(RAND()*0.00001)</f>
        <v>-4.1466936519195059</v>
      </c>
      <c r="I122" s="31">
        <f ca="1">H122-VLOOKUP(Settings!$K$6,G$2:H$139,2,FALSE)</f>
        <v>-3.9897676657991554</v>
      </c>
      <c r="J122" s="31" t="str">
        <f>VLOOKUP(A122,Rankings!B:D,3,FALSE)</f>
        <v>NL</v>
      </c>
    </row>
    <row r="123" spans="1:10" ht="18.600000000000001" customHeight="1">
      <c r="A123" s="26" t="s">
        <v>504</v>
      </c>
      <c r="B123" s="27" t="s">
        <v>176</v>
      </c>
      <c r="C123" s="123" t="s">
        <v>23</v>
      </c>
      <c r="D123" s="138">
        <f t="shared" ca="1" si="6"/>
        <v>131</v>
      </c>
      <c r="E123" s="31">
        <f ca="1">VLOOKUP(A123,Rankings!$B$1:$H$651,6,FALSE)+(RAND()*0.00001)</f>
        <v>91.452229923952714</v>
      </c>
      <c r="F123" s="31">
        <f ca="1">E123-VLOOKUP(Settings!$K$6,D$2:E$500,2,FALSE)</f>
        <v>-161.90388712503625</v>
      </c>
      <c r="G123" s="138">
        <f t="shared" ca="1" si="7"/>
        <v>127</v>
      </c>
      <c r="H123" s="31">
        <f ca="1">VLOOKUP(A123,Rankings!$B$1:$H$651,7,FALSE)+(RAND()*0.00001)</f>
        <v>-4.7484277229221918</v>
      </c>
      <c r="I123" s="31">
        <f ca="1">H123-VLOOKUP(Settings!$K$6,G$2:H$139,2,FALSE)</f>
        <v>-4.5915017368018409</v>
      </c>
      <c r="J123" s="31" t="str">
        <f>VLOOKUP(A123,Rankings!B:D,3,FALSE)</f>
        <v>NL</v>
      </c>
    </row>
    <row r="124" spans="1:10" ht="18.600000000000001" customHeight="1">
      <c r="A124" s="26" t="s">
        <v>699</v>
      </c>
      <c r="B124" s="27" t="s">
        <v>73</v>
      </c>
      <c r="C124" s="123" t="s">
        <v>23</v>
      </c>
      <c r="D124" s="138">
        <f t="shared" ca="1" si="6"/>
        <v>124</v>
      </c>
      <c r="E124" s="31">
        <f ca="1">VLOOKUP(A124,Rankings!$B$1:$H$651,6,FALSE)+(RAND()*0.00001)</f>
        <v>127.4044519248415</v>
      </c>
      <c r="F124" s="31">
        <f ca="1">E124-VLOOKUP(Settings!$K$6,D$2:E$500,2,FALSE)</f>
        <v>-125.95166512414745</v>
      </c>
      <c r="G124" s="138">
        <f t="shared" ca="1" si="7"/>
        <v>133</v>
      </c>
      <c r="H124" s="31">
        <f ca="1">VLOOKUP(A124,Rankings!$B$1:$H$651,7,FALSE)+(RAND()*0.00001)</f>
        <v>-5.0519748001969864</v>
      </c>
      <c r="I124" s="31">
        <f ca="1">H124-VLOOKUP(Settings!$K$6,G$2:H$139,2,FALSE)</f>
        <v>-4.8950488140766355</v>
      </c>
      <c r="J124" s="31" t="str">
        <f>VLOOKUP(A124,Rankings!B:D,3,FALSE)</f>
        <v>NL</v>
      </c>
    </row>
    <row r="125" spans="1:10" ht="18.600000000000001" customHeight="1">
      <c r="A125" s="26" t="s">
        <v>455</v>
      </c>
      <c r="B125" s="27" t="s">
        <v>81</v>
      </c>
      <c r="C125" s="123" t="s">
        <v>23</v>
      </c>
      <c r="D125" s="138">
        <f t="shared" ca="1" si="6"/>
        <v>125</v>
      </c>
      <c r="E125" s="31">
        <f ca="1">VLOOKUP(A125,Rankings!$B$1:$H$651,6,FALSE)+(RAND()*0.00001)</f>
        <v>126.18112097093335</v>
      </c>
      <c r="F125" s="31">
        <f ca="1">E125-VLOOKUP(Settings!$K$6,D$2:E$500,2,FALSE)</f>
        <v>-127.1749960780556</v>
      </c>
      <c r="G125" s="138">
        <f t="shared" ca="1" si="7"/>
        <v>125</v>
      </c>
      <c r="H125" s="31">
        <f ca="1">VLOOKUP(A125,Rankings!$B$1:$H$651,7,FALSE)+(RAND()*0.00001)</f>
        <v>-4.5230965561568679</v>
      </c>
      <c r="I125" s="31">
        <f ca="1">H125-VLOOKUP(Settings!$K$6,G$2:H$139,2,FALSE)</f>
        <v>-4.366170570036517</v>
      </c>
      <c r="J125" s="31" t="str">
        <f>VLOOKUP(A125,Rankings!B:D,3,FALSE)</f>
        <v>NL</v>
      </c>
    </row>
    <row r="126" spans="1:10" ht="18.600000000000001" customHeight="1">
      <c r="A126" s="26" t="s">
        <v>627</v>
      </c>
      <c r="B126" s="27" t="s">
        <v>78</v>
      </c>
      <c r="C126" s="123" t="s">
        <v>23</v>
      </c>
      <c r="D126" s="138">
        <f t="shared" ca="1" si="6"/>
        <v>126</v>
      </c>
      <c r="E126" s="31">
        <f ca="1">VLOOKUP(A126,Rankings!$B$1:$H$651,6,FALSE)+(RAND()*0.00001)</f>
        <v>125.6122233638126</v>
      </c>
      <c r="F126" s="31">
        <f ca="1">E126-VLOOKUP(Settings!$K$6,D$2:E$500,2,FALSE)</f>
        <v>-127.74389368517635</v>
      </c>
      <c r="G126" s="138">
        <f t="shared" ca="1" si="7"/>
        <v>124</v>
      </c>
      <c r="H126" s="31">
        <f ca="1">VLOOKUP(A126,Rankings!$B$1:$H$651,7,FALSE)+(RAND()*0.00001)</f>
        <v>-4.2926126015159847</v>
      </c>
      <c r="I126" s="31">
        <f ca="1">H126-VLOOKUP(Settings!$K$6,G$2:H$139,2,FALSE)</f>
        <v>-4.1356866153956338</v>
      </c>
      <c r="J126" s="31" t="str">
        <f>VLOOKUP(A126,Rankings!B:D,3,FALSE)</f>
        <v>AL</v>
      </c>
    </row>
    <row r="127" spans="1:10" ht="18.600000000000001" customHeight="1">
      <c r="A127" s="26" t="s">
        <v>682</v>
      </c>
      <c r="B127" s="27" t="s">
        <v>156</v>
      </c>
      <c r="C127" s="123" t="s">
        <v>23</v>
      </c>
      <c r="D127" s="138">
        <f t="shared" ca="1" si="6"/>
        <v>108</v>
      </c>
      <c r="E127" s="31">
        <f ca="1">VLOOKUP(A127,Rankings!$B$1:$H$651,6,FALSE)+(RAND()*0.00001)</f>
        <v>191.42334266461694</v>
      </c>
      <c r="F127" s="31">
        <f ca="1">E127-VLOOKUP(Settings!$K$6,D$2:E$500,2,FALSE)</f>
        <v>-61.93277438437201</v>
      </c>
      <c r="G127" s="138">
        <f t="shared" ca="1" si="7"/>
        <v>115</v>
      </c>
      <c r="H127" s="31">
        <f ca="1">VLOOKUP(A127,Rankings!$B$1:$H$651,7,FALSE)+(RAND()*0.00001)</f>
        <v>-3.1287863633133757</v>
      </c>
      <c r="I127" s="31">
        <f ca="1">H127-VLOOKUP(Settings!$K$6,G$2:H$139,2,FALSE)</f>
        <v>-2.9718603771930252</v>
      </c>
      <c r="J127" s="31" t="str">
        <f>VLOOKUP(A127,Rankings!B:D,3,FALSE)</f>
        <v>AL</v>
      </c>
    </row>
    <row r="128" spans="1:10" ht="18.600000000000001" customHeight="1">
      <c r="A128" s="26" t="s">
        <v>619</v>
      </c>
      <c r="B128" s="27" t="s">
        <v>306</v>
      </c>
      <c r="C128" s="123" t="s">
        <v>23</v>
      </c>
      <c r="D128" s="138">
        <f t="shared" ca="1" si="6"/>
        <v>122</v>
      </c>
      <c r="E128" s="31">
        <f ca="1">VLOOKUP(A128,Rankings!$B$1:$H$651,6,FALSE)+(RAND()*0.00001)</f>
        <v>129.43305571106552</v>
      </c>
      <c r="F128" s="31">
        <f ca="1">E128-VLOOKUP(Settings!$K$6,D$2:E$500,2,FALSE)</f>
        <v>-123.92306133792343</v>
      </c>
      <c r="G128" s="138">
        <f t="shared" ca="1" si="7"/>
        <v>122</v>
      </c>
      <c r="H128" s="31">
        <f ca="1">VLOOKUP(A128,Rankings!$B$1:$H$651,7,FALSE)+(RAND()*0.00001)</f>
        <v>-4.0701075191259717</v>
      </c>
      <c r="I128" s="31">
        <f ca="1">H128-VLOOKUP(Settings!$K$6,G$2:H$139,2,FALSE)</f>
        <v>-3.9131815330056212</v>
      </c>
      <c r="J128" s="31" t="str">
        <f>VLOOKUP(A128,Rankings!B:D,3,FALSE)</f>
        <v>NL</v>
      </c>
    </row>
    <row r="129" spans="1:10" ht="18.600000000000001" customHeight="1">
      <c r="A129" s="26" t="s">
        <v>692</v>
      </c>
      <c r="B129" s="27" t="s">
        <v>176</v>
      </c>
      <c r="C129" s="123" t="s">
        <v>23</v>
      </c>
      <c r="D129" s="138">
        <f t="shared" ca="1" si="6"/>
        <v>129</v>
      </c>
      <c r="E129" s="31">
        <f ca="1">VLOOKUP(A129,Rankings!$B$1:$H$651,6,FALSE)+(RAND()*0.00001)</f>
        <v>112.1638948181529</v>
      </c>
      <c r="F129" s="31">
        <f ca="1">E129-VLOOKUP(Settings!$K$6,D$2:E$500,2,FALSE)</f>
        <v>-141.19222223083605</v>
      </c>
      <c r="G129" s="138">
        <f t="shared" ca="1" si="7"/>
        <v>131</v>
      </c>
      <c r="H129" s="31">
        <f ca="1">VLOOKUP(A129,Rankings!$B$1:$H$651,7,FALSE)+(RAND()*0.00001)</f>
        <v>-4.9060650022022134</v>
      </c>
      <c r="I129" s="31">
        <f ca="1">H129-VLOOKUP(Settings!$K$6,G$2:H$139,2,FALSE)</f>
        <v>-4.7491390160818625</v>
      </c>
      <c r="J129" s="31" t="str">
        <f>VLOOKUP(A129,Rankings!B:D,3,FALSE)</f>
        <v>NL</v>
      </c>
    </row>
    <row r="130" spans="1:10" ht="18.600000000000001" customHeight="1">
      <c r="A130" s="26" t="s">
        <v>438</v>
      </c>
      <c r="B130" s="27" t="s">
        <v>86</v>
      </c>
      <c r="C130" s="123" t="s">
        <v>23</v>
      </c>
      <c r="D130" s="138">
        <f t="shared" ref="D130:D139" ca="1" si="8">RANK(E130,E$2:E$139)</f>
        <v>127</v>
      </c>
      <c r="E130" s="31">
        <f ca="1">VLOOKUP(A130,Rankings!$B$1:$H$651,6,FALSE)+(RAND()*0.00001)</f>
        <v>121.13916917185985</v>
      </c>
      <c r="F130" s="31">
        <f ca="1">E130-VLOOKUP(Settings!$K$6,D$2:E$500,2,FALSE)</f>
        <v>-132.21694787712909</v>
      </c>
      <c r="G130" s="138">
        <f t="shared" ref="G130:G139" ca="1" si="9">RANK(H130,H$2:H$500)</f>
        <v>119</v>
      </c>
      <c r="H130" s="31">
        <f ca="1">VLOOKUP(A130,Rankings!$B$1:$H$651,7,FALSE)+(RAND()*0.00001)</f>
        <v>-3.4761592394376239</v>
      </c>
      <c r="I130" s="31">
        <f ca="1">H130-VLOOKUP(Settings!$K$6,G$2:H$139,2,FALSE)</f>
        <v>-3.3192332533172735</v>
      </c>
      <c r="J130" s="31" t="str">
        <f>VLOOKUP(A130,Rankings!B:D,3,FALSE)</f>
        <v>AL</v>
      </c>
    </row>
    <row r="131" spans="1:10" ht="18.600000000000001" customHeight="1">
      <c r="A131" s="26" t="s">
        <v>669</v>
      </c>
      <c r="B131" s="27" t="s">
        <v>71</v>
      </c>
      <c r="C131" s="123" t="s">
        <v>23</v>
      </c>
      <c r="D131" s="138">
        <f t="shared" ca="1" si="8"/>
        <v>130</v>
      </c>
      <c r="E131" s="31">
        <f ca="1">VLOOKUP(A131,Rankings!$B$1:$H$651,6,FALSE)+(RAND()*0.00001)</f>
        <v>105.06278561883938</v>
      </c>
      <c r="F131" s="31">
        <f ca="1">E131-VLOOKUP(Settings!$K$6,D$2:E$500,2,FALSE)</f>
        <v>-148.29333143014958</v>
      </c>
      <c r="G131" s="138">
        <f t="shared" ca="1" si="9"/>
        <v>132</v>
      </c>
      <c r="H131" s="31">
        <f ca="1">VLOOKUP(A131,Rankings!$B$1:$H$651,7,FALSE)+(RAND()*0.00001)</f>
        <v>-4.9542903537522491</v>
      </c>
      <c r="I131" s="31">
        <f ca="1">H131-VLOOKUP(Settings!$K$6,G$2:H$139,2,FALSE)</f>
        <v>-4.7973643676318982</v>
      </c>
      <c r="J131" s="31" t="str">
        <f>VLOOKUP(A131,Rankings!B:D,3,FALSE)</f>
        <v>AL</v>
      </c>
    </row>
    <row r="132" spans="1:10" ht="18.600000000000001" customHeight="1">
      <c r="A132" s="26" t="s">
        <v>715</v>
      </c>
      <c r="B132" s="27" t="s">
        <v>140</v>
      </c>
      <c r="C132" s="123" t="s">
        <v>23</v>
      </c>
      <c r="D132" s="138">
        <f t="shared" ca="1" si="8"/>
        <v>128</v>
      </c>
      <c r="E132" s="31">
        <f ca="1">VLOOKUP(A132,Rankings!$B$1:$H$651,6,FALSE)+(RAND()*0.00001)</f>
        <v>117.11305649938525</v>
      </c>
      <c r="F132" s="31">
        <f ca="1">E132-VLOOKUP(Settings!$K$6,D$2:E$500,2,FALSE)</f>
        <v>-136.24306054960368</v>
      </c>
      <c r="G132" s="138">
        <f t="shared" ca="1" si="9"/>
        <v>136</v>
      </c>
      <c r="H132" s="31">
        <f ca="1">VLOOKUP(A132,Rankings!$B$1:$H$651,7,FALSE)+(RAND()*0.00001)</f>
        <v>-5.5572832347281071</v>
      </c>
      <c r="I132" s="31">
        <f ca="1">H132-VLOOKUP(Settings!$K$6,G$2:H$139,2,FALSE)</f>
        <v>-5.4003572486077562</v>
      </c>
      <c r="J132" s="31" t="str">
        <f>VLOOKUP(A132,Rankings!B:D,3,FALSE)</f>
        <v>AL</v>
      </c>
    </row>
    <row r="133" spans="1:10" ht="20.100000000000001" customHeight="1">
      <c r="A133" s="26" t="s">
        <v>620</v>
      </c>
      <c r="B133" s="27" t="s">
        <v>103</v>
      </c>
      <c r="C133" s="123" t="s">
        <v>23</v>
      </c>
      <c r="D133" s="138">
        <f t="shared" ca="1" si="8"/>
        <v>133</v>
      </c>
      <c r="E133" s="31">
        <f ca="1">VLOOKUP(A133,Rankings!$B$1:$H$651,6,FALSE)+(RAND()*0.00001)</f>
        <v>89.129453154568651</v>
      </c>
      <c r="F133" s="31">
        <f ca="1">E133-VLOOKUP(Settings!$K$6,D$2:E$500,2,FALSE)</f>
        <v>-164.22666389442031</v>
      </c>
      <c r="G133" s="138">
        <f t="shared" ca="1" si="9"/>
        <v>126</v>
      </c>
      <c r="H133" s="31">
        <f ca="1">VLOOKUP(A133,Rankings!$B$1:$H$651,7,FALSE)+(RAND()*0.00001)</f>
        <v>-4.7297165900956148</v>
      </c>
      <c r="I133" s="31">
        <f ca="1">H133-VLOOKUP(Settings!$K$6,G$2:H$139,2,FALSE)</f>
        <v>-4.5727906039752639</v>
      </c>
      <c r="J133" s="31" t="str">
        <f>VLOOKUP(A133,Rankings!B:D,3,FALSE)</f>
        <v>AL</v>
      </c>
    </row>
    <row r="134" spans="1:10" ht="18.600000000000001" customHeight="1">
      <c r="A134" s="26" t="s">
        <v>662</v>
      </c>
      <c r="B134" s="27" t="s">
        <v>158</v>
      </c>
      <c r="C134" s="123" t="s">
        <v>23</v>
      </c>
      <c r="D134" s="138">
        <f t="shared" ca="1" si="8"/>
        <v>135</v>
      </c>
      <c r="E134" s="31">
        <f ca="1">VLOOKUP(A134,Rankings!$B$1:$H$651,6,FALSE)+(RAND()*0.00001)</f>
        <v>85.555004175743619</v>
      </c>
      <c r="F134" s="31">
        <f ca="1">E134-VLOOKUP(Settings!$K$6,D$2:E$500,2,FALSE)</f>
        <v>-167.80111287324533</v>
      </c>
      <c r="G134" s="138">
        <f t="shared" ca="1" si="9"/>
        <v>137</v>
      </c>
      <c r="H134" s="31">
        <f ca="1">VLOOKUP(A134,Rankings!$B$1:$H$651,7,FALSE)+(RAND()*0.00001)</f>
        <v>-5.9824926297161918</v>
      </c>
      <c r="I134" s="31">
        <f ca="1">H134-VLOOKUP(Settings!$K$6,G$2:H$139,2,FALSE)</f>
        <v>-5.8255666435958409</v>
      </c>
      <c r="J134" s="31" t="str">
        <f>VLOOKUP(A134,Rankings!B:D,3,FALSE)</f>
        <v>NL</v>
      </c>
    </row>
    <row r="135" spans="1:10" ht="20.100000000000001" customHeight="1">
      <c r="A135" s="26" t="s">
        <v>683</v>
      </c>
      <c r="B135" s="27" t="s">
        <v>103</v>
      </c>
      <c r="C135" s="123" t="s">
        <v>23</v>
      </c>
      <c r="D135" s="138">
        <f t="shared" ca="1" si="8"/>
        <v>132</v>
      </c>
      <c r="E135" s="31">
        <f ca="1">VLOOKUP(A135,Rankings!$B$1:$H$651,6,FALSE)+(RAND()*0.00001)</f>
        <v>90.754446927822599</v>
      </c>
      <c r="F135" s="31">
        <f ca="1">E135-VLOOKUP(Settings!$K$6,D$2:E$500,2,FALSE)</f>
        <v>-162.60167012116636</v>
      </c>
      <c r="G135" s="138">
        <f t="shared" ca="1" si="9"/>
        <v>128</v>
      </c>
      <c r="H135" s="31">
        <f ca="1">VLOOKUP(A135,Rankings!$B$1:$H$651,7,FALSE)+(RAND()*0.00001)</f>
        <v>-4.8622397743354382</v>
      </c>
      <c r="I135" s="31">
        <f ca="1">H135-VLOOKUP(Settings!$K$6,G$2:H$139,2,FALSE)</f>
        <v>-4.7053137882150873</v>
      </c>
      <c r="J135" s="31" t="str">
        <f>VLOOKUP(A135,Rankings!B:D,3,FALSE)</f>
        <v>AL</v>
      </c>
    </row>
    <row r="136" spans="1:10" ht="18.600000000000001" customHeight="1">
      <c r="A136" s="26" t="s">
        <v>666</v>
      </c>
      <c r="B136" s="27" t="s">
        <v>223</v>
      </c>
      <c r="C136" s="123" t="s">
        <v>23</v>
      </c>
      <c r="D136" s="138">
        <f t="shared" ca="1" si="8"/>
        <v>136</v>
      </c>
      <c r="E136" s="31">
        <f ca="1">VLOOKUP(A136,Rankings!$B$1:$H$651,6,FALSE)+(RAND()*0.00001)</f>
        <v>79.830002874666988</v>
      </c>
      <c r="F136" s="31">
        <f ca="1">E136-VLOOKUP(Settings!$K$6,D$2:E$500,2,FALSE)</f>
        <v>-173.52611417432195</v>
      </c>
      <c r="G136" s="138">
        <f t="shared" ca="1" si="9"/>
        <v>129</v>
      </c>
      <c r="H136" s="31">
        <f ca="1">VLOOKUP(A136,Rankings!$B$1:$H$651,7,FALSE)+(RAND()*0.00001)</f>
        <v>-4.8682267591649406</v>
      </c>
      <c r="I136" s="31">
        <f ca="1">H136-VLOOKUP(Settings!$K$6,G$2:H$139,2,FALSE)</f>
        <v>-4.7113007730445897</v>
      </c>
      <c r="J136" s="31" t="str">
        <f>VLOOKUP(A136,Rankings!B:D,3,FALSE)</f>
        <v>NL</v>
      </c>
    </row>
    <row r="137" spans="1:10" ht="18.600000000000001" customHeight="1">
      <c r="A137" s="26" t="s">
        <v>675</v>
      </c>
      <c r="B137" s="27" t="s">
        <v>120</v>
      </c>
      <c r="C137" s="123" t="s">
        <v>23</v>
      </c>
      <c r="D137" s="138">
        <f t="shared" ca="1" si="8"/>
        <v>134</v>
      </c>
      <c r="E137" s="31">
        <f ca="1">VLOOKUP(A137,Rankings!$B$1:$H$651,6,FALSE)+(RAND()*0.00001)</f>
        <v>88.164452898037254</v>
      </c>
      <c r="F137" s="31">
        <f ca="1">E137-VLOOKUP(Settings!$K$6,D$2:E$500,2,FALSE)</f>
        <v>-165.19166415095168</v>
      </c>
      <c r="G137" s="138">
        <f t="shared" ca="1" si="9"/>
        <v>134</v>
      </c>
      <c r="H137" s="31">
        <f ca="1">VLOOKUP(A137,Rankings!$B$1:$H$651,7,FALSE)+(RAND()*0.00001)</f>
        <v>-5.0588391655783589</v>
      </c>
      <c r="I137" s="31">
        <f ca="1">H137-VLOOKUP(Settings!$K$6,G$2:H$139,2,FALSE)</f>
        <v>-4.901913179458008</v>
      </c>
      <c r="J137" s="31" t="str">
        <f>VLOOKUP(A137,Rankings!B:D,3,FALSE)</f>
        <v>NL</v>
      </c>
    </row>
    <row r="138" spans="1:10" ht="18.600000000000001" customHeight="1">
      <c r="A138" s="26" t="s">
        <v>719</v>
      </c>
      <c r="B138" s="27" t="s">
        <v>137</v>
      </c>
      <c r="C138" s="123" t="s">
        <v>23</v>
      </c>
      <c r="D138" s="138">
        <f t="shared" ca="1" si="8"/>
        <v>138</v>
      </c>
      <c r="E138" s="31">
        <f ca="1">VLOOKUP(A138,Rankings!$B$1:$H$651,6,FALSE)+(RAND()*0.00001)</f>
        <v>68.719447420093843</v>
      </c>
      <c r="F138" s="31">
        <f ca="1">E138-VLOOKUP(Settings!$K$6,D$2:E$500,2,FALSE)</f>
        <v>-184.63666962889511</v>
      </c>
      <c r="G138" s="138">
        <f t="shared" ca="1" si="9"/>
        <v>138</v>
      </c>
      <c r="H138" s="31">
        <f ca="1">VLOOKUP(A138,Rankings!$B$1:$H$651,7,FALSE)+(RAND()*0.00001)</f>
        <v>-6.1389721509141415</v>
      </c>
      <c r="I138" s="31">
        <f ca="1">H138-VLOOKUP(Settings!$K$6,G$2:H$139,2,FALSE)</f>
        <v>-5.9820461647937906</v>
      </c>
      <c r="J138" s="31" t="str">
        <f>VLOOKUP(A138,Rankings!B:D,3,FALSE)</f>
        <v>NL</v>
      </c>
    </row>
    <row r="139" spans="1:10" ht="18.600000000000001" customHeight="1">
      <c r="A139" s="131" t="s">
        <v>657</v>
      </c>
      <c r="B139" s="132" t="s">
        <v>63</v>
      </c>
      <c r="C139" s="123" t="s">
        <v>23</v>
      </c>
      <c r="D139" s="138">
        <f t="shared" ca="1" si="8"/>
        <v>137</v>
      </c>
      <c r="E139" s="31">
        <f ca="1">VLOOKUP(A139,Rankings!$B$1:$H$651,6,FALSE)+(RAND()*0.00001)</f>
        <v>72.29389428016546</v>
      </c>
      <c r="F139" s="31">
        <f ca="1">E139-VLOOKUP(Settings!$K$6,D$2:E$500,2,FALSE)</f>
        <v>-181.06222276882349</v>
      </c>
      <c r="G139" s="138">
        <f t="shared" ca="1" si="9"/>
        <v>135</v>
      </c>
      <c r="H139" s="31">
        <f ca="1">VLOOKUP(A139,Rankings!$B$1:$H$651,7,FALSE)+(RAND()*0.00001)</f>
        <v>-5.4836812742901246</v>
      </c>
      <c r="I139" s="31">
        <f ca="1">H139-VLOOKUP(Settings!$K$6,G$2:H$139,2,FALSE)</f>
        <v>-5.3267552881697737</v>
      </c>
      <c r="J139" s="31" t="str">
        <f>VLOOKUP(A139,Rankings!B:D,3,FALSE)</f>
        <v>NL</v>
      </c>
    </row>
    <row r="140" spans="1:10" ht="20.100000000000001" customHeight="1">
      <c r="J140" s="31"/>
    </row>
    <row r="141" spans="1:10" ht="20.100000000000001" customHeight="1">
      <c r="J141" s="31"/>
    </row>
    <row r="142" spans="1:10" ht="20.100000000000001" customHeight="1">
      <c r="J142" s="31"/>
    </row>
    <row r="143" spans="1:10" ht="20.100000000000001" customHeight="1">
      <c r="J143" s="31"/>
    </row>
    <row r="144" spans="1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139" xr:uid="{00000000-0001-0000-0900-000000000000}">
    <sortState xmlns:xlrd2="http://schemas.microsoft.com/office/spreadsheetml/2017/richdata2" ref="A2:I139">
      <sortCondition ref="D1:D139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90</v>
      </c>
      <c r="B2" s="27" t="s">
        <v>91</v>
      </c>
      <c r="C2" s="124" t="s">
        <v>27</v>
      </c>
      <c r="D2" s="138">
        <f t="shared" ref="D2:D45" ca="1" si="0">RANK(E2,E$2:E$45)</f>
        <v>1</v>
      </c>
      <c r="E2" s="31">
        <f ca="1">VLOOKUP(A2,Rankings!$B$1:$H$651,6,FALSE)+(RAND()*0.00001)</f>
        <v>510.88945436276697</v>
      </c>
      <c r="F2" s="31">
        <f ca="1">E2-VLOOKUP(Settings!$K$7,D$2:E$500,2,FALSE)</f>
        <v>251.34028129234974</v>
      </c>
      <c r="G2" s="138">
        <f t="shared" ref="G2:G45" ca="1" si="1">RANK(H2,H$2:H$500)</f>
        <v>1</v>
      </c>
      <c r="H2" s="31">
        <f ca="1">VLOOKUP(A2,Rankings!$B$1:$H$651,7,FALSE)+(RAND()*0.00001)</f>
        <v>10.195886276817765</v>
      </c>
      <c r="I2" s="31">
        <f ca="1">H2-VLOOKUP(Settings!$K$7,G$2:H$45,2,FALSE)</f>
        <v>10.189838505176937</v>
      </c>
      <c r="J2" s="31" t="str">
        <f>VLOOKUP(A2,Rankings!B:D,3,FALSE)</f>
        <v>NL</v>
      </c>
    </row>
    <row r="3" spans="1:10" ht="18.600000000000001" customHeight="1">
      <c r="A3" s="26" t="s">
        <v>124</v>
      </c>
      <c r="B3" s="27" t="s">
        <v>94</v>
      </c>
      <c r="C3" s="124" t="s">
        <v>27</v>
      </c>
      <c r="D3" s="138">
        <f t="shared" ca="1" si="0"/>
        <v>2</v>
      </c>
      <c r="E3" s="31">
        <f ca="1">VLOOKUP(A3,Rankings!$B$1:$H$651,6,FALSE)+(RAND()*0.00001)</f>
        <v>480.91222998743143</v>
      </c>
      <c r="F3" s="31">
        <f ca="1">E3-VLOOKUP(Settings!$K$7,D$2:E$500,2,FALSE)</f>
        <v>221.36305691701421</v>
      </c>
      <c r="G3" s="138">
        <f t="shared" ca="1" si="1"/>
        <v>3</v>
      </c>
      <c r="H3" s="31">
        <f ca="1">VLOOKUP(A3,Rankings!$B$1:$H$651,7,FALSE)+(RAND()*0.00001)</f>
        <v>8.6361586421591667</v>
      </c>
      <c r="I3" s="31">
        <f ca="1">H3-VLOOKUP(Settings!$K$7,G$2:H$45,2,FALSE)</f>
        <v>8.6301108705183385</v>
      </c>
      <c r="J3" s="31" t="str">
        <f>VLOOKUP(A3,Rankings!B:D,3,FALSE)</f>
        <v>AL</v>
      </c>
    </row>
    <row r="4" spans="1:10" ht="18.600000000000001" customHeight="1">
      <c r="A4" s="26" t="s">
        <v>116</v>
      </c>
      <c r="B4" s="27" t="s">
        <v>117</v>
      </c>
      <c r="C4" s="124" t="s">
        <v>27</v>
      </c>
      <c r="D4" s="138">
        <f t="shared" ca="1" si="0"/>
        <v>3</v>
      </c>
      <c r="E4" s="31">
        <f ca="1">VLOOKUP(A4,Rankings!$B$1:$H$651,6,FALSE)+(RAND()*0.00001)</f>
        <v>463.75389469446122</v>
      </c>
      <c r="F4" s="31">
        <f ca="1">E4-VLOOKUP(Settings!$K$7,D$2:E$500,2,FALSE)</f>
        <v>204.204721624044</v>
      </c>
      <c r="G4" s="138">
        <f t="shared" ca="1" si="1"/>
        <v>4</v>
      </c>
      <c r="H4" s="31">
        <f ca="1">VLOOKUP(A4,Rankings!$B$1:$H$651,7,FALSE)+(RAND()*0.00001)</f>
        <v>8.2776601736060176</v>
      </c>
      <c r="I4" s="31">
        <f ca="1">H4-VLOOKUP(Settings!$K$7,G$2:H$45,2,FALSE)</f>
        <v>8.2716124019651893</v>
      </c>
      <c r="J4" s="31" t="str">
        <f>VLOOKUP(A4,Rankings!B:D,3,FALSE)</f>
        <v>AL</v>
      </c>
    </row>
    <row r="5" spans="1:10" ht="18.600000000000001" customHeight="1">
      <c r="A5" s="26" t="s">
        <v>126</v>
      </c>
      <c r="B5" s="27" t="s">
        <v>63</v>
      </c>
      <c r="C5" s="124" t="s">
        <v>27</v>
      </c>
      <c r="D5" s="138">
        <f t="shared" ca="1" si="0"/>
        <v>4</v>
      </c>
      <c r="E5" s="31">
        <f ca="1">VLOOKUP(A5,Rankings!$B$1:$H$651,6,FALSE)+(RAND()*0.00001)</f>
        <v>454.76277801244237</v>
      </c>
      <c r="F5" s="31">
        <f ca="1">E5-VLOOKUP(Settings!$K$7,D$2:E$500,2,FALSE)</f>
        <v>195.21360494202514</v>
      </c>
      <c r="G5" s="138">
        <f t="shared" ca="1" si="1"/>
        <v>2</v>
      </c>
      <c r="H5" s="31">
        <f ca="1">VLOOKUP(A5,Rankings!$B$1:$H$651,7,FALSE)+(RAND()*0.00001)</f>
        <v>9.1767982269046335</v>
      </c>
      <c r="I5" s="31">
        <f ca="1">H5-VLOOKUP(Settings!$K$7,G$2:H$45,2,FALSE)</f>
        <v>9.1707504552638053</v>
      </c>
      <c r="J5" s="31" t="str">
        <f>VLOOKUP(A5,Rankings!B:D,3,FALSE)</f>
        <v>NL</v>
      </c>
    </row>
    <row r="6" spans="1:10" ht="18.600000000000001" customHeight="1">
      <c r="A6" s="26" t="s">
        <v>211</v>
      </c>
      <c r="B6" s="27" t="s">
        <v>86</v>
      </c>
      <c r="C6" s="124" t="s">
        <v>27</v>
      </c>
      <c r="D6" s="138">
        <f t="shared" ca="1" si="0"/>
        <v>5</v>
      </c>
      <c r="E6" s="31">
        <f ca="1">VLOOKUP(A6,Rankings!$B$1:$H$651,6,FALSE)+(RAND()*0.00001)</f>
        <v>450.37334149664593</v>
      </c>
      <c r="F6" s="31">
        <f ca="1">E6-VLOOKUP(Settings!$K$7,D$2:E$500,2,FALSE)</f>
        <v>190.82416842622871</v>
      </c>
      <c r="G6" s="138">
        <f t="shared" ca="1" si="1"/>
        <v>7</v>
      </c>
      <c r="H6" s="31">
        <f ca="1">VLOOKUP(A6,Rankings!$B$1:$H$651,7,FALSE)+(RAND()*0.00001)</f>
        <v>5.662142691800744</v>
      </c>
      <c r="I6" s="31">
        <f ca="1">H6-VLOOKUP(Settings!$K$7,G$2:H$45,2,FALSE)</f>
        <v>5.6560949201599167</v>
      </c>
      <c r="J6" s="31" t="str">
        <f>VLOOKUP(A6,Rankings!B:D,3,FALSE)</f>
        <v>AL</v>
      </c>
    </row>
    <row r="7" spans="1:10" ht="18.600000000000001" customHeight="1">
      <c r="A7" s="26" t="s">
        <v>202</v>
      </c>
      <c r="B7" s="27" t="s">
        <v>95</v>
      </c>
      <c r="C7" s="124" t="s">
        <v>27</v>
      </c>
      <c r="D7" s="138">
        <f t="shared" ca="1" si="0"/>
        <v>6</v>
      </c>
      <c r="E7" s="31">
        <f ca="1">VLOOKUP(A7,Rankings!$B$1:$H$651,6,FALSE)+(RAND()*0.00001)</f>
        <v>449.60500879477775</v>
      </c>
      <c r="F7" s="31">
        <f ca="1">E7-VLOOKUP(Settings!$K$7,D$2:E$500,2,FALSE)</f>
        <v>190.05583572436052</v>
      </c>
      <c r="G7" s="138">
        <f t="shared" ca="1" si="1"/>
        <v>6</v>
      </c>
      <c r="H7" s="31">
        <f ca="1">VLOOKUP(A7,Rankings!$B$1:$H$651,7,FALSE)+(RAND()*0.00001)</f>
        <v>5.8731812639532475</v>
      </c>
      <c r="I7" s="31">
        <f ca="1">H7-VLOOKUP(Settings!$K$7,G$2:H$45,2,FALSE)</f>
        <v>5.8671334923124201</v>
      </c>
      <c r="J7" s="31" t="str">
        <f>VLOOKUP(A7,Rankings!B:D,3,FALSE)</f>
        <v>NL</v>
      </c>
    </row>
    <row r="8" spans="1:10" ht="18.600000000000001" customHeight="1">
      <c r="A8" s="26" t="s">
        <v>272</v>
      </c>
      <c r="B8" s="27" t="s">
        <v>101</v>
      </c>
      <c r="C8" s="124" t="s">
        <v>27</v>
      </c>
      <c r="D8" s="138">
        <f t="shared" ca="1" si="0"/>
        <v>7</v>
      </c>
      <c r="E8" s="31">
        <f ca="1">VLOOKUP(A8,Rankings!$B$1:$H$651,6,FALSE)+(RAND()*0.00001)</f>
        <v>436.91611635159165</v>
      </c>
      <c r="F8" s="31">
        <f ca="1">E8-VLOOKUP(Settings!$K$7,D$2:E$500,2,FALSE)</f>
        <v>177.36694328117443</v>
      </c>
      <c r="G8" s="138">
        <f t="shared" ca="1" si="1"/>
        <v>10</v>
      </c>
      <c r="H8" s="31">
        <f ca="1">VLOOKUP(A8,Rankings!$B$1:$H$651,7,FALSE)+(RAND()*0.00001)</f>
        <v>5.0744441367992117</v>
      </c>
      <c r="I8" s="31">
        <f ca="1">H8-VLOOKUP(Settings!$K$7,G$2:H$45,2,FALSE)</f>
        <v>5.0683963651583843</v>
      </c>
      <c r="J8" s="31" t="str">
        <f>VLOOKUP(A8,Rankings!B:D,3,FALSE)</f>
        <v>AL</v>
      </c>
    </row>
    <row r="9" spans="1:10" ht="18.600000000000001" customHeight="1">
      <c r="A9" s="26" t="s">
        <v>226</v>
      </c>
      <c r="B9" s="27" t="s">
        <v>63</v>
      </c>
      <c r="C9" s="124" t="s">
        <v>27</v>
      </c>
      <c r="D9" s="138">
        <f t="shared" ca="1" si="0"/>
        <v>8</v>
      </c>
      <c r="E9" s="31">
        <f ca="1">VLOOKUP(A9,Rankings!$B$1:$H$651,6,FALSE)+(RAND()*0.00001)</f>
        <v>424.21167571519123</v>
      </c>
      <c r="F9" s="31">
        <f ca="1">E9-VLOOKUP(Settings!$K$7,D$2:E$500,2,FALSE)</f>
        <v>164.66250264477401</v>
      </c>
      <c r="G9" s="138">
        <f t="shared" ca="1" si="1"/>
        <v>11</v>
      </c>
      <c r="H9" s="31">
        <f ca="1">VLOOKUP(A9,Rankings!$B$1:$H$651,7,FALSE)+(RAND()*0.00001)</f>
        <v>4.9307045264790839</v>
      </c>
      <c r="I9" s="31">
        <f ca="1">H9-VLOOKUP(Settings!$K$7,G$2:H$45,2,FALSE)</f>
        <v>4.9246567548382565</v>
      </c>
      <c r="J9" s="31" t="str">
        <f>VLOOKUP(A9,Rankings!B:D,3,FALSE)</f>
        <v>NL</v>
      </c>
    </row>
    <row r="10" spans="1:10" ht="18.600000000000001" customHeight="1">
      <c r="A10" s="26" t="s">
        <v>243</v>
      </c>
      <c r="B10" s="27" t="s">
        <v>97</v>
      </c>
      <c r="C10" s="124" t="s">
        <v>27</v>
      </c>
      <c r="D10" s="138">
        <f t="shared" ca="1" si="0"/>
        <v>10</v>
      </c>
      <c r="E10" s="31">
        <f ca="1">VLOOKUP(A10,Rankings!$B$1:$H$651,6,FALSE)+(RAND()*0.00001)</f>
        <v>409.87500909172127</v>
      </c>
      <c r="F10" s="31">
        <f ca="1">E10-VLOOKUP(Settings!$K$7,D$2:E$500,2,FALSE)</f>
        <v>150.32583602130404</v>
      </c>
      <c r="G10" s="138">
        <f t="shared" ca="1" si="1"/>
        <v>12</v>
      </c>
      <c r="H10" s="31">
        <f ca="1">VLOOKUP(A10,Rankings!$B$1:$H$651,7,FALSE)+(RAND()*0.00001)</f>
        <v>4.9253246398196753</v>
      </c>
      <c r="I10" s="31">
        <f ca="1">H10-VLOOKUP(Settings!$K$7,G$2:H$45,2,FALSE)</f>
        <v>4.9192768681788479</v>
      </c>
      <c r="J10" s="31" t="str">
        <f>VLOOKUP(A10,Rankings!B:D,3,FALSE)</f>
        <v>NL</v>
      </c>
    </row>
    <row r="11" spans="1:10" ht="18.600000000000001" customHeight="1">
      <c r="A11" s="26" t="s">
        <v>290</v>
      </c>
      <c r="B11" s="27" t="s">
        <v>156</v>
      </c>
      <c r="C11" s="124" t="s">
        <v>27</v>
      </c>
      <c r="D11" s="138">
        <f t="shared" ca="1" si="0"/>
        <v>9</v>
      </c>
      <c r="E11" s="31">
        <f ca="1">VLOOKUP(A11,Rankings!$B$1:$H$651,6,FALSE)+(RAND()*0.00001)</f>
        <v>412.41139571188296</v>
      </c>
      <c r="F11" s="31">
        <f ca="1">E11-VLOOKUP(Settings!$K$7,D$2:E$500,2,FALSE)</f>
        <v>152.86222264146573</v>
      </c>
      <c r="G11" s="138">
        <f t="shared" ca="1" si="1"/>
        <v>15</v>
      </c>
      <c r="H11" s="31">
        <f ca="1">VLOOKUP(A11,Rankings!$B$1:$H$651,7,FALSE)+(RAND()*0.00001)</f>
        <v>4.2291044023111519</v>
      </c>
      <c r="I11" s="31">
        <f ca="1">H11-VLOOKUP(Settings!$K$7,G$2:H$45,2,FALSE)</f>
        <v>4.2230566306703246</v>
      </c>
      <c r="J11" s="31" t="str">
        <f>VLOOKUP(A11,Rankings!B:D,3,FALSE)</f>
        <v>AL</v>
      </c>
    </row>
    <row r="12" spans="1:10" ht="18.600000000000001" customHeight="1">
      <c r="A12" s="26" t="s">
        <v>209</v>
      </c>
      <c r="B12" s="27" t="s">
        <v>158</v>
      </c>
      <c r="C12" s="124" t="s">
        <v>27</v>
      </c>
      <c r="D12" s="138">
        <f t="shared" ca="1" si="0"/>
        <v>11</v>
      </c>
      <c r="E12" s="31">
        <f ca="1">VLOOKUP(A12,Rankings!$B$1:$H$651,6,FALSE)+(RAND()*0.00001)</f>
        <v>409.225559912959</v>
      </c>
      <c r="F12" s="31">
        <f ca="1">E12-VLOOKUP(Settings!$K$7,D$2:E$500,2,FALSE)</f>
        <v>149.67638684254177</v>
      </c>
      <c r="G12" s="138">
        <f t="shared" ca="1" si="1"/>
        <v>8</v>
      </c>
      <c r="H12" s="31">
        <f ca="1">VLOOKUP(A12,Rankings!$B$1:$H$651,7,FALSE)+(RAND()*0.00001)</f>
        <v>5.2559191523930817</v>
      </c>
      <c r="I12" s="31">
        <f ca="1">H12-VLOOKUP(Settings!$K$7,G$2:H$45,2,FALSE)</f>
        <v>5.2498713807522543</v>
      </c>
      <c r="J12" s="31" t="str">
        <f>VLOOKUP(A12,Rankings!B:D,3,FALSE)</f>
        <v>NL</v>
      </c>
    </row>
    <row r="13" spans="1:10" ht="18.600000000000001" customHeight="1">
      <c r="A13" s="26" t="s">
        <v>246</v>
      </c>
      <c r="B13" s="27" t="s">
        <v>76</v>
      </c>
      <c r="C13" s="124" t="s">
        <v>27</v>
      </c>
      <c r="D13" s="138">
        <f t="shared" ca="1" si="0"/>
        <v>13</v>
      </c>
      <c r="E13" s="31">
        <f ca="1">VLOOKUP(A13,Rankings!$B$1:$H$651,6,FALSE)+(RAND()*0.00001)</f>
        <v>388.85556345514004</v>
      </c>
      <c r="F13" s="31">
        <f ca="1">E13-VLOOKUP(Settings!$K$7,D$2:E$500,2,FALSE)</f>
        <v>129.30639038472282</v>
      </c>
      <c r="G13" s="138">
        <f t="shared" ca="1" si="1"/>
        <v>13</v>
      </c>
      <c r="H13" s="31">
        <f ca="1">VLOOKUP(A13,Rankings!$B$1:$H$651,7,FALSE)+(RAND()*0.00001)</f>
        <v>4.5938667181922135</v>
      </c>
      <c r="I13" s="31">
        <f ca="1">H13-VLOOKUP(Settings!$K$7,G$2:H$45,2,FALSE)</f>
        <v>4.5878189465513861</v>
      </c>
      <c r="J13" s="31" t="str">
        <f>VLOOKUP(A13,Rankings!B:D,3,FALSE)</f>
        <v>AL</v>
      </c>
    </row>
    <row r="14" spans="1:10" ht="18.600000000000001" customHeight="1">
      <c r="A14" s="26" t="s">
        <v>183</v>
      </c>
      <c r="B14" s="27" t="s">
        <v>114</v>
      </c>
      <c r="C14" s="124" t="s">
        <v>27</v>
      </c>
      <c r="D14" s="138">
        <f t="shared" ca="1" si="0"/>
        <v>12</v>
      </c>
      <c r="E14" s="31">
        <f ca="1">VLOOKUP(A14,Rankings!$B$1:$H$651,6,FALSE)+(RAND()*0.00001)</f>
        <v>389.77528223765478</v>
      </c>
      <c r="F14" s="31">
        <f ca="1">E14-VLOOKUP(Settings!$K$7,D$2:E$500,2,FALSE)</f>
        <v>130.22610916723755</v>
      </c>
      <c r="G14" s="138">
        <f t="shared" ca="1" si="1"/>
        <v>5</v>
      </c>
      <c r="H14" s="31">
        <f ca="1">VLOOKUP(A14,Rankings!$B$1:$H$651,7,FALSE)+(RAND()*0.00001)</f>
        <v>5.9808533144066454</v>
      </c>
      <c r="I14" s="31">
        <f ca="1">H14-VLOOKUP(Settings!$K$7,G$2:H$45,2,FALSE)</f>
        <v>5.974805542765818</v>
      </c>
      <c r="J14" s="31" t="str">
        <f>VLOOKUP(A14,Rankings!B:D,3,FALSE)</f>
        <v>AL</v>
      </c>
    </row>
    <row r="15" spans="1:10" ht="18.600000000000001" customHeight="1">
      <c r="A15" s="26" t="s">
        <v>206</v>
      </c>
      <c r="B15" s="27" t="s">
        <v>137</v>
      </c>
      <c r="C15" s="124" t="s">
        <v>27</v>
      </c>
      <c r="D15" s="138">
        <f t="shared" ca="1" si="0"/>
        <v>14</v>
      </c>
      <c r="E15" s="31">
        <f ca="1">VLOOKUP(A15,Rankings!$B$1:$H$651,6,FALSE)+(RAND()*0.00001)</f>
        <v>384.78500928069241</v>
      </c>
      <c r="F15" s="31">
        <f ca="1">E15-VLOOKUP(Settings!$K$7,D$2:E$500,2,FALSE)</f>
        <v>125.23583621027518</v>
      </c>
      <c r="G15" s="138">
        <f t="shared" ca="1" si="1"/>
        <v>9</v>
      </c>
      <c r="H15" s="31">
        <f ca="1">VLOOKUP(A15,Rankings!$B$1:$H$651,7,FALSE)+(RAND()*0.00001)</f>
        <v>5.0758169074464412</v>
      </c>
      <c r="I15" s="31">
        <f ca="1">H15-VLOOKUP(Settings!$K$7,G$2:H$45,2,FALSE)</f>
        <v>5.0697691358056138</v>
      </c>
      <c r="J15" s="31" t="str">
        <f>VLOOKUP(A15,Rankings!B:D,3,FALSE)</f>
        <v>NL</v>
      </c>
    </row>
    <row r="16" spans="1:10" ht="18.600000000000001" customHeight="1">
      <c r="A16" s="26" t="s">
        <v>320</v>
      </c>
      <c r="B16" s="27" t="s">
        <v>158</v>
      </c>
      <c r="C16" s="124" t="s">
        <v>27</v>
      </c>
      <c r="D16" s="138">
        <f t="shared" ca="1" si="0"/>
        <v>15</v>
      </c>
      <c r="E16" s="31">
        <f ca="1">VLOOKUP(A16,Rankings!$B$1:$H$651,6,FALSE)+(RAND()*0.00001)</f>
        <v>377.74528575489398</v>
      </c>
      <c r="F16" s="31">
        <f ca="1">E16-VLOOKUP(Settings!$K$7,D$2:E$500,2,FALSE)</f>
        <v>118.19611268447676</v>
      </c>
      <c r="G16" s="138">
        <f t="shared" ca="1" si="1"/>
        <v>14</v>
      </c>
      <c r="H16" s="31">
        <f ca="1">VLOOKUP(A16,Rankings!$B$1:$H$651,7,FALSE)+(RAND()*0.00001)</f>
        <v>4.2445296740560154</v>
      </c>
      <c r="I16" s="31">
        <f ca="1">H16-VLOOKUP(Settings!$K$7,G$2:H$45,2,FALSE)</f>
        <v>4.2384819024151881</v>
      </c>
      <c r="J16" s="31" t="str">
        <f>VLOOKUP(A16,Rankings!B:D,3,FALSE)</f>
        <v>NL</v>
      </c>
    </row>
    <row r="17" spans="1:10" ht="18.600000000000001" customHeight="1">
      <c r="A17" s="26" t="s">
        <v>332</v>
      </c>
      <c r="B17" s="27" t="s">
        <v>258</v>
      </c>
      <c r="C17" s="124" t="s">
        <v>27</v>
      </c>
      <c r="D17" s="138">
        <f t="shared" ca="1" si="0"/>
        <v>17</v>
      </c>
      <c r="E17" s="31">
        <f ca="1">VLOOKUP(A17,Rankings!$B$1:$H$651,6,FALSE)+(RAND()*0.00001)</f>
        <v>356.16556020265676</v>
      </c>
      <c r="F17" s="31">
        <f ca="1">E17-VLOOKUP(Settings!$K$7,D$2:E$500,2,FALSE)</f>
        <v>96.616387132239538</v>
      </c>
      <c r="G17" s="138">
        <f t="shared" ca="1" si="1"/>
        <v>17</v>
      </c>
      <c r="H17" s="31">
        <f ca="1">VLOOKUP(A17,Rankings!$B$1:$H$651,7,FALSE)+(RAND()*0.00001)</f>
        <v>3.846094005336373</v>
      </c>
      <c r="I17" s="31">
        <f ca="1">H17-VLOOKUP(Settings!$K$7,G$2:H$45,2,FALSE)</f>
        <v>3.8400462336955452</v>
      </c>
      <c r="J17" s="31" t="str">
        <f>VLOOKUP(A17,Rankings!B:D,3,FALSE)</f>
        <v>AL</v>
      </c>
    </row>
    <row r="18" spans="1:10" ht="18.600000000000001" customHeight="1">
      <c r="A18" s="26" t="s">
        <v>300</v>
      </c>
      <c r="B18" s="27" t="s">
        <v>78</v>
      </c>
      <c r="C18" s="124" t="s">
        <v>27</v>
      </c>
      <c r="D18" s="138">
        <f t="shared" ca="1" si="0"/>
        <v>16</v>
      </c>
      <c r="E18" s="31">
        <f ca="1">VLOOKUP(A18,Rankings!$B$1:$H$651,6,FALSE)+(RAND()*0.00001)</f>
        <v>360.37833531101904</v>
      </c>
      <c r="F18" s="31">
        <f ca="1">E18-VLOOKUP(Settings!$K$7,D$2:E$500,2,FALSE)</f>
        <v>100.82916224060182</v>
      </c>
      <c r="G18" s="138">
        <f t="shared" ca="1" si="1"/>
        <v>16</v>
      </c>
      <c r="H18" s="31">
        <f ca="1">VLOOKUP(A18,Rankings!$B$1:$H$651,7,FALSE)+(RAND()*0.00001)</f>
        <v>3.8937336499278508</v>
      </c>
      <c r="I18" s="31">
        <f ca="1">H18-VLOOKUP(Settings!$K$7,G$2:H$45,2,FALSE)</f>
        <v>3.8876858782870229</v>
      </c>
      <c r="J18" s="31" t="str">
        <f>VLOOKUP(A18,Rankings!B:D,3,FALSE)</f>
        <v>AL</v>
      </c>
    </row>
    <row r="19" spans="1:10" ht="18.600000000000001" customHeight="1">
      <c r="A19" s="26" t="s">
        <v>354</v>
      </c>
      <c r="B19" s="27" t="s">
        <v>176</v>
      </c>
      <c r="C19" s="124" t="s">
        <v>27</v>
      </c>
      <c r="D19" s="138">
        <f t="shared" ca="1" si="0"/>
        <v>18</v>
      </c>
      <c r="E19" s="31">
        <f ca="1">VLOOKUP(A19,Rankings!$B$1:$H$651,6,FALSE)+(RAND()*0.00001)</f>
        <v>325.55612022807048</v>
      </c>
      <c r="F19" s="31">
        <f ca="1">E19-VLOOKUP(Settings!$K$7,D$2:E$500,2,FALSE)</f>
        <v>66.006947157653258</v>
      </c>
      <c r="G19" s="138">
        <f t="shared" ca="1" si="1"/>
        <v>18</v>
      </c>
      <c r="H19" s="31">
        <f ca="1">VLOOKUP(A19,Rankings!$B$1:$H$651,7,FALSE)+(RAND()*0.00001)</f>
        <v>3.0637530323479862</v>
      </c>
      <c r="I19" s="31">
        <f ca="1">H19-VLOOKUP(Settings!$K$7,G$2:H$45,2,FALSE)</f>
        <v>3.0577052607071584</v>
      </c>
      <c r="J19" s="31" t="str">
        <f>VLOOKUP(A19,Rankings!B:D,3,FALSE)</f>
        <v>NL</v>
      </c>
    </row>
    <row r="20" spans="1:10" ht="18.600000000000001" customHeight="1">
      <c r="A20" s="26" t="s">
        <v>589</v>
      </c>
      <c r="B20" s="27" t="s">
        <v>71</v>
      </c>
      <c r="C20" s="124" t="s">
        <v>27</v>
      </c>
      <c r="D20" s="138">
        <f t="shared" ca="1" si="0"/>
        <v>19</v>
      </c>
      <c r="E20" s="31">
        <f ca="1">VLOOKUP(A20,Rankings!$B$1:$H$651,6,FALSE)+(RAND()*0.00001)</f>
        <v>319.96278050465793</v>
      </c>
      <c r="F20" s="31">
        <f ca="1">E20-VLOOKUP(Settings!$K$7,D$2:E$500,2,FALSE)</f>
        <v>60.413607434240703</v>
      </c>
      <c r="G20" s="138">
        <f t="shared" ca="1" si="1"/>
        <v>26</v>
      </c>
      <c r="H20" s="31">
        <f ca="1">VLOOKUP(A20,Rankings!$B$1:$H$651,7,FALSE)+(RAND()*0.00001)</f>
        <v>-0.25426924871385831</v>
      </c>
      <c r="I20" s="31">
        <f ca="1">H20-VLOOKUP(Settings!$K$7,G$2:H$45,2,FALSE)</f>
        <v>-0.26031702035468607</v>
      </c>
      <c r="J20" s="31" t="str">
        <f>VLOOKUP(A20,Rankings!B:D,3,FALSE)</f>
        <v>AL</v>
      </c>
    </row>
    <row r="21" spans="1:10" ht="18.600000000000001" customHeight="1">
      <c r="A21" s="26" t="s">
        <v>473</v>
      </c>
      <c r="B21" s="27" t="s">
        <v>306</v>
      </c>
      <c r="C21" s="124" t="s">
        <v>27</v>
      </c>
      <c r="D21" s="138">
        <f t="shared" ca="1" si="0"/>
        <v>20</v>
      </c>
      <c r="E21" s="31">
        <f ca="1">VLOOKUP(A21,Rankings!$B$1:$H$651,6,FALSE)+(RAND()*0.00001)</f>
        <v>302.78445277188348</v>
      </c>
      <c r="F21" s="31">
        <f ca="1">E21-VLOOKUP(Settings!$K$7,D$2:E$500,2,FALSE)</f>
        <v>43.235279701466254</v>
      </c>
      <c r="G21" s="138">
        <f t="shared" ca="1" si="1"/>
        <v>19</v>
      </c>
      <c r="H21" s="31">
        <f ca="1">VLOOKUP(A21,Rankings!$B$1:$H$651,7,FALSE)+(RAND()*0.00001)</f>
        <v>1.7140948753740655</v>
      </c>
      <c r="I21" s="31">
        <f ca="1">H21-VLOOKUP(Settings!$K$7,G$2:H$45,2,FALSE)</f>
        <v>1.7080471037332376</v>
      </c>
      <c r="J21" s="31" t="str">
        <f>VLOOKUP(A21,Rankings!B:D,3,FALSE)</f>
        <v>NL</v>
      </c>
    </row>
    <row r="22" spans="1:10" ht="18.600000000000001" customHeight="1">
      <c r="A22" s="26" t="s">
        <v>508</v>
      </c>
      <c r="B22" s="27" t="s">
        <v>217</v>
      </c>
      <c r="C22" s="124" t="s">
        <v>27</v>
      </c>
      <c r="D22" s="138">
        <f t="shared" ca="1" si="0"/>
        <v>22</v>
      </c>
      <c r="E22" s="31">
        <f ca="1">VLOOKUP(A22,Rankings!$B$1:$H$651,6,FALSE)+(RAND()*0.00001)</f>
        <v>282.978617325529</v>
      </c>
      <c r="F22" s="31">
        <f ca="1">E22-VLOOKUP(Settings!$K$7,D$2:E$500,2,FALSE)</f>
        <v>23.429444255111775</v>
      </c>
      <c r="G22" s="138">
        <f t="shared" ca="1" si="1"/>
        <v>24</v>
      </c>
      <c r="H22" s="31">
        <f ca="1">VLOOKUP(A22,Rankings!$B$1:$H$651,7,FALSE)+(RAND()*0.00001)</f>
        <v>6.0477716408277819E-3</v>
      </c>
      <c r="I22" s="31">
        <f ca="1">H22-VLOOKUP(Settings!$K$7,G$2:H$45,2,FALSE)</f>
        <v>0</v>
      </c>
      <c r="J22" s="31" t="str">
        <f>VLOOKUP(A22,Rankings!B:D,3,FALSE)</f>
        <v>NL</v>
      </c>
    </row>
    <row r="23" spans="1:10" ht="18.600000000000001" customHeight="1">
      <c r="A23" s="26" t="s">
        <v>551</v>
      </c>
      <c r="B23" s="27" t="s">
        <v>114</v>
      </c>
      <c r="C23" s="124" t="s">
        <v>27</v>
      </c>
      <c r="D23" s="138">
        <f t="shared" ca="1" si="0"/>
        <v>21</v>
      </c>
      <c r="E23" s="31">
        <f ca="1">VLOOKUP(A23,Rankings!$B$1:$H$651,6,FALSE)+(RAND()*0.00001)</f>
        <v>283.72722573430735</v>
      </c>
      <c r="F23" s="31">
        <f ca="1">E23-VLOOKUP(Settings!$K$7,D$2:E$500,2,FALSE)</f>
        <v>24.178052663890128</v>
      </c>
      <c r="G23" s="138">
        <f t="shared" ca="1" si="1"/>
        <v>22</v>
      </c>
      <c r="H23" s="31">
        <f ca="1">VLOOKUP(A23,Rankings!$B$1:$H$651,7,FALSE)+(RAND()*0.00001)</f>
        <v>0.62428209734655693</v>
      </c>
      <c r="I23" s="31">
        <f ca="1">H23-VLOOKUP(Settings!$K$7,G$2:H$45,2,FALSE)</f>
        <v>0.61823432570572912</v>
      </c>
      <c r="J23" s="31" t="str">
        <f>VLOOKUP(A23,Rankings!B:D,3,FALSE)</f>
        <v>AL</v>
      </c>
    </row>
    <row r="24" spans="1:10" ht="18.600000000000001" customHeight="1">
      <c r="A24" s="26" t="s">
        <v>528</v>
      </c>
      <c r="B24" s="27" t="s">
        <v>84</v>
      </c>
      <c r="C24" s="124" t="s">
        <v>27</v>
      </c>
      <c r="D24" s="138">
        <f t="shared" ca="1" si="0"/>
        <v>23</v>
      </c>
      <c r="E24" s="31">
        <f ca="1">VLOOKUP(A24,Rankings!$B$1:$H$651,6,FALSE)+(RAND()*0.00001)</f>
        <v>263.33056174739409</v>
      </c>
      <c r="F24" s="31">
        <f ca="1">E24-VLOOKUP(Settings!$K$7,D$2:E$500,2,FALSE)</f>
        <v>3.7813886769768601</v>
      </c>
      <c r="G24" s="138">
        <f t="shared" ca="1" si="1"/>
        <v>23</v>
      </c>
      <c r="H24" s="31">
        <f ca="1">VLOOKUP(A24,Rankings!$B$1:$H$651,7,FALSE)+(RAND()*0.00001)</f>
        <v>0.10032945034366247</v>
      </c>
      <c r="I24" s="31">
        <f ca="1">H24-VLOOKUP(Settings!$K$7,G$2:H$45,2,FALSE)</f>
        <v>9.4281678702834687E-2</v>
      </c>
      <c r="J24" s="31" t="str">
        <f>VLOOKUP(A24,Rankings!B:D,3,FALSE)</f>
        <v>AL</v>
      </c>
    </row>
    <row r="25" spans="1:10" ht="18.600000000000001" customHeight="1">
      <c r="A25" s="26" t="s">
        <v>326</v>
      </c>
      <c r="B25" s="27" t="s">
        <v>103</v>
      </c>
      <c r="C25" s="124" t="s">
        <v>27</v>
      </c>
      <c r="D25" s="138">
        <f t="shared" ca="1" si="0"/>
        <v>27</v>
      </c>
      <c r="E25" s="31">
        <f ca="1">VLOOKUP(A25,Rankings!$B$1:$H$651,6,FALSE)+(RAND()*0.00001)</f>
        <v>246.44306222983496</v>
      </c>
      <c r="F25" s="31">
        <f ca="1">E25-VLOOKUP(Settings!$K$7,D$2:E$500,2,FALSE)</f>
        <v>-13.106110840582261</v>
      </c>
      <c r="G25" s="138">
        <f t="shared" ca="1" si="1"/>
        <v>20</v>
      </c>
      <c r="H25" s="31">
        <f ca="1">VLOOKUP(A25,Rankings!$B$1:$H$651,7,FALSE)+(RAND()*0.00001)</f>
        <v>1.1859496287173243</v>
      </c>
      <c r="I25" s="31">
        <f ca="1">H25-VLOOKUP(Settings!$K$7,G$2:H$45,2,FALSE)</f>
        <v>1.1799018570764965</v>
      </c>
      <c r="J25" s="31" t="str">
        <f>VLOOKUP(A25,Rankings!B:D,3,FALSE)</f>
        <v>AL</v>
      </c>
    </row>
    <row r="26" spans="1:10" ht="18.600000000000001" customHeight="1">
      <c r="A26" s="26" t="s">
        <v>660</v>
      </c>
      <c r="B26" s="27" t="s">
        <v>223</v>
      </c>
      <c r="C26" s="124" t="s">
        <v>27</v>
      </c>
      <c r="D26" s="138">
        <f t="shared" ca="1" si="0"/>
        <v>28</v>
      </c>
      <c r="E26" s="31">
        <f ca="1">VLOOKUP(A26,Rankings!$B$1:$H$651,6,FALSE)+(RAND()*0.00001)</f>
        <v>234.64555903063376</v>
      </c>
      <c r="F26" s="31">
        <f ca="1">E26-VLOOKUP(Settings!$K$7,D$2:E$500,2,FALSE)</f>
        <v>-24.903614039783463</v>
      </c>
      <c r="G26" s="138">
        <f t="shared" ca="1" si="1"/>
        <v>29</v>
      </c>
      <c r="H26" s="31">
        <f ca="1">VLOOKUP(A26,Rankings!$B$1:$H$651,7,FALSE)+(RAND()*0.00001)</f>
        <v>-1.1193190418405139</v>
      </c>
      <c r="I26" s="31">
        <f ca="1">H26-VLOOKUP(Settings!$K$7,G$2:H$45,2,FALSE)</f>
        <v>-1.1253668134813417</v>
      </c>
      <c r="J26" s="31" t="str">
        <f>VLOOKUP(A26,Rankings!B:D,3,FALSE)</f>
        <v>NL</v>
      </c>
    </row>
    <row r="27" spans="1:10" ht="18.600000000000001" customHeight="1">
      <c r="A27" s="26" t="s">
        <v>650</v>
      </c>
      <c r="B27" s="27" t="s">
        <v>81</v>
      </c>
      <c r="C27" s="124" t="s">
        <v>27</v>
      </c>
      <c r="D27" s="138">
        <f t="shared" ca="1" si="0"/>
        <v>24</v>
      </c>
      <c r="E27" s="31">
        <f ca="1">VLOOKUP(A27,Rankings!$B$1:$H$651,6,FALSE)+(RAND()*0.00001)</f>
        <v>259.54917307041723</v>
      </c>
      <c r="F27" s="31">
        <f ca="1">E27-VLOOKUP(Settings!$K$7,D$2:E$500,2,FALSE)</f>
        <v>0</v>
      </c>
      <c r="G27" s="138">
        <f t="shared" ca="1" si="1"/>
        <v>25</v>
      </c>
      <c r="H27" s="31">
        <f ca="1">VLOOKUP(A27,Rankings!$B$1:$H$651,7,FALSE)+(RAND()*0.00001)</f>
        <v>-0.24726698393447655</v>
      </c>
      <c r="I27" s="31">
        <f ca="1">H27-VLOOKUP(Settings!$K$7,G$2:H$45,2,FALSE)</f>
        <v>-0.25331475557530431</v>
      </c>
      <c r="J27" s="31" t="str">
        <f>VLOOKUP(A27,Rankings!B:D,3,FALSE)</f>
        <v>NL</v>
      </c>
    </row>
    <row r="28" spans="1:10" ht="18.600000000000001" customHeight="1">
      <c r="A28" s="26" t="s">
        <v>632</v>
      </c>
      <c r="B28" s="27" t="s">
        <v>97</v>
      </c>
      <c r="C28" s="124" t="s">
        <v>27</v>
      </c>
      <c r="D28" s="138">
        <f t="shared" ca="1" si="0"/>
        <v>31</v>
      </c>
      <c r="E28" s="31">
        <f ca="1">VLOOKUP(A28,Rankings!$B$1:$H$651,6,FALSE)+(RAND()*0.00001)</f>
        <v>207.99334102879578</v>
      </c>
      <c r="F28" s="31">
        <f ca="1">E28-VLOOKUP(Settings!$K$7,D$2:E$500,2,FALSE)</f>
        <v>-51.555832041621443</v>
      </c>
      <c r="G28" s="138">
        <f t="shared" ca="1" si="1"/>
        <v>31</v>
      </c>
      <c r="H28" s="31">
        <f ca="1">VLOOKUP(A28,Rankings!$B$1:$H$651,7,FALSE)+(RAND()*0.00001)</f>
        <v>-1.8719137424779384</v>
      </c>
      <c r="I28" s="31">
        <f ca="1">H28-VLOOKUP(Settings!$K$7,G$2:H$45,2,FALSE)</f>
        <v>-1.8779615141187662</v>
      </c>
      <c r="J28" s="31" t="str">
        <f>VLOOKUP(A28,Rankings!B:D,3,FALSE)</f>
        <v>NL</v>
      </c>
    </row>
    <row r="29" spans="1:10" ht="18.600000000000001" customHeight="1">
      <c r="A29" s="26" t="s">
        <v>714</v>
      </c>
      <c r="B29" s="27" t="s">
        <v>140</v>
      </c>
      <c r="C29" s="124" t="s">
        <v>27</v>
      </c>
      <c r="D29" s="138">
        <f t="shared" ca="1" si="0"/>
        <v>32</v>
      </c>
      <c r="E29" s="31">
        <f ca="1">VLOOKUP(A29,Rankings!$B$1:$H$651,6,FALSE)+(RAND()*0.00001)</f>
        <v>202.45222911891807</v>
      </c>
      <c r="F29" s="31">
        <f ca="1">E29-VLOOKUP(Settings!$K$7,D$2:E$500,2,FALSE)</f>
        <v>-57.096943951499156</v>
      </c>
      <c r="G29" s="138">
        <f t="shared" ca="1" si="1"/>
        <v>37</v>
      </c>
      <c r="H29" s="31">
        <f ca="1">VLOOKUP(A29,Rankings!$B$1:$H$651,7,FALSE)+(RAND()*0.00001)</f>
        <v>-3.2345467522020726</v>
      </c>
      <c r="I29" s="31">
        <f ca="1">H29-VLOOKUP(Settings!$K$7,G$2:H$45,2,FALSE)</f>
        <v>-3.2405945238429004</v>
      </c>
      <c r="J29" s="31" t="str">
        <f>VLOOKUP(A29,Rankings!B:D,3,FALSE)</f>
        <v>AL</v>
      </c>
    </row>
    <row r="30" spans="1:10" ht="18.600000000000001" customHeight="1">
      <c r="A30" s="26" t="s">
        <v>680</v>
      </c>
      <c r="B30" s="27" t="s">
        <v>99</v>
      </c>
      <c r="C30" s="124" t="s">
        <v>27</v>
      </c>
      <c r="D30" s="138">
        <f t="shared" ca="1" si="0"/>
        <v>30</v>
      </c>
      <c r="E30" s="31">
        <f ca="1">VLOOKUP(A30,Rankings!$B$1:$H$651,6,FALSE)+(RAND()*0.00001)</f>
        <v>216.60306364005427</v>
      </c>
      <c r="F30" s="31">
        <f ca="1">E30-VLOOKUP(Settings!$K$7,D$2:E$500,2,FALSE)</f>
        <v>-42.946109430362952</v>
      </c>
      <c r="G30" s="138">
        <f t="shared" ca="1" si="1"/>
        <v>27</v>
      </c>
      <c r="H30" s="31">
        <f ca="1">VLOOKUP(A30,Rankings!$B$1:$H$651,7,FALSE)+(RAND()*0.00001)</f>
        <v>-0.62494029100595583</v>
      </c>
      <c r="I30" s="31">
        <f ca="1">H30-VLOOKUP(Settings!$K$7,G$2:H$45,2,FALSE)</f>
        <v>-0.63098806264678364</v>
      </c>
      <c r="J30" s="31" t="str">
        <f>VLOOKUP(A30,Rankings!B:D,3,FALSE)</f>
        <v>AL</v>
      </c>
    </row>
    <row r="31" spans="1:10" ht="18.600000000000001" customHeight="1">
      <c r="A31" s="26" t="s">
        <v>678</v>
      </c>
      <c r="B31" s="27" t="s">
        <v>120</v>
      </c>
      <c r="C31" s="124" t="s">
        <v>27</v>
      </c>
      <c r="D31" s="138">
        <f t="shared" ca="1" si="0"/>
        <v>33</v>
      </c>
      <c r="E31" s="31">
        <f ca="1">VLOOKUP(A31,Rankings!$B$1:$H$651,6,FALSE)+(RAND()*0.00001)</f>
        <v>195.37667466085725</v>
      </c>
      <c r="F31" s="31">
        <f ca="1">E31-VLOOKUP(Settings!$K$7,D$2:E$500,2,FALSE)</f>
        <v>-64.172498409559978</v>
      </c>
      <c r="G31" s="138">
        <f t="shared" ca="1" si="1"/>
        <v>36</v>
      </c>
      <c r="H31" s="31">
        <f ca="1">VLOOKUP(A31,Rankings!$B$1:$H$651,7,FALSE)+(RAND()*0.00001)</f>
        <v>-2.8721655374300359</v>
      </c>
      <c r="I31" s="31">
        <f ca="1">H31-VLOOKUP(Settings!$K$7,G$2:H$45,2,FALSE)</f>
        <v>-2.8782133090708637</v>
      </c>
      <c r="J31" s="31" t="str">
        <f>VLOOKUP(A31,Rankings!B:D,3,FALSE)</f>
        <v>NL</v>
      </c>
    </row>
    <row r="32" spans="1:10" ht="18.600000000000001" customHeight="1">
      <c r="A32" s="26" t="s">
        <v>637</v>
      </c>
      <c r="B32" s="27"/>
      <c r="C32" s="124" t="s">
        <v>27</v>
      </c>
      <c r="D32" s="138">
        <f t="shared" ca="1" si="0"/>
        <v>34</v>
      </c>
      <c r="E32" s="31">
        <f ca="1">VLOOKUP(A32,Rankings!$B$1:$H$651,6,FALSE)+(RAND()*0.00001)</f>
        <v>173.42889614864242</v>
      </c>
      <c r="F32" s="31">
        <f ca="1">E32-VLOOKUP(Settings!$K$7,D$2:E$500,2,FALSE)</f>
        <v>-86.120276921774803</v>
      </c>
      <c r="G32" s="138">
        <f t="shared" ca="1" si="1"/>
        <v>33</v>
      </c>
      <c r="H32" s="31">
        <f ca="1">VLOOKUP(A32,Rankings!$B$1:$H$651,7,FALSE)+(RAND()*0.00001)</f>
        <v>-2.2190740288524502</v>
      </c>
      <c r="I32" s="31">
        <f ca="1">H32-VLOOKUP(Settings!$K$7,G$2:H$45,2,FALSE)</f>
        <v>-2.225121800493278</v>
      </c>
      <c r="J32" s="31" t="str">
        <f>VLOOKUP(A32,Rankings!B:D,3,FALSE)</f>
        <v>AL</v>
      </c>
    </row>
    <row r="33" spans="1:10" ht="18.600000000000001" customHeight="1">
      <c r="A33" s="26" t="s">
        <v>425</v>
      </c>
      <c r="B33" s="27" t="s">
        <v>223</v>
      </c>
      <c r="C33" s="124" t="s">
        <v>27</v>
      </c>
      <c r="D33" s="138">
        <f t="shared" ca="1" si="0"/>
        <v>36</v>
      </c>
      <c r="E33" s="31">
        <f ca="1">VLOOKUP(A33,Rankings!$B$1:$H$651,6,FALSE)+(RAND()*0.00001)</f>
        <v>151.79000464489098</v>
      </c>
      <c r="F33" s="31">
        <f ca="1">E33-VLOOKUP(Settings!$K$7,D$2:E$500,2,FALSE)</f>
        <v>-107.75916842552624</v>
      </c>
      <c r="G33" s="138">
        <f t="shared" ca="1" si="1"/>
        <v>34</v>
      </c>
      <c r="H33" s="31">
        <f ca="1">VLOOKUP(A33,Rankings!$B$1:$H$651,7,FALSE)+(RAND()*0.00001)</f>
        <v>-2.3425740140571443</v>
      </c>
      <c r="I33" s="31">
        <f ca="1">H33-VLOOKUP(Settings!$K$7,G$2:H$45,2,FALSE)</f>
        <v>-2.3486217856979721</v>
      </c>
      <c r="J33" s="31" t="str">
        <f>VLOOKUP(A33,Rankings!B:D,3,FALSE)</f>
        <v>NL</v>
      </c>
    </row>
    <row r="34" spans="1:10" ht="18.600000000000001" customHeight="1">
      <c r="A34" s="26" t="s">
        <v>651</v>
      </c>
      <c r="B34" s="27" t="s">
        <v>68</v>
      </c>
      <c r="C34" s="124" t="s">
        <v>27</v>
      </c>
      <c r="D34" s="138">
        <f t="shared" ca="1" si="0"/>
        <v>25</v>
      </c>
      <c r="E34" s="31">
        <f ca="1">VLOOKUP(A34,Rankings!$B$1:$H$651,6,FALSE)+(RAND()*0.00001)</f>
        <v>258.86750884049945</v>
      </c>
      <c r="F34" s="31">
        <f ca="1">E34-VLOOKUP(Settings!$K$7,D$2:E$500,2,FALSE)</f>
        <v>-0.68166422991777154</v>
      </c>
      <c r="G34" s="138">
        <f t="shared" ca="1" si="1"/>
        <v>21</v>
      </c>
      <c r="H34" s="31">
        <f ca="1">VLOOKUP(A34,Rankings!$B$1:$H$651,7,FALSE)+(RAND()*0.00001)</f>
        <v>0.65304854734840434</v>
      </c>
      <c r="I34" s="31">
        <f ca="1">H34-VLOOKUP(Settings!$K$7,G$2:H$45,2,FALSE)</f>
        <v>0.64700077570757653</v>
      </c>
      <c r="J34" s="31" t="str">
        <f>VLOOKUP(A34,Rankings!B:D,3,FALSE)</f>
        <v>AL</v>
      </c>
    </row>
    <row r="35" spans="1:10" ht="18.600000000000001" customHeight="1">
      <c r="A35" s="26" t="s">
        <v>702</v>
      </c>
      <c r="B35" s="27" t="s">
        <v>78</v>
      </c>
      <c r="C35" s="124" t="s">
        <v>27</v>
      </c>
      <c r="D35" s="138">
        <f t="shared" ca="1" si="0"/>
        <v>26</v>
      </c>
      <c r="E35" s="31">
        <f ca="1">VLOOKUP(A35,Rankings!$B$1:$H$651,6,FALSE)+(RAND()*0.00001)</f>
        <v>255.1966723964612</v>
      </c>
      <c r="F35" s="31">
        <f ca="1">E35-VLOOKUP(Settings!$K$7,D$2:E$500,2,FALSE)</f>
        <v>-4.3525006739560297</v>
      </c>
      <c r="G35" s="138">
        <f t="shared" ca="1" si="1"/>
        <v>28</v>
      </c>
      <c r="H35" s="31">
        <f ca="1">VLOOKUP(A35,Rankings!$B$1:$H$651,7,FALSE)+(RAND()*0.00001)</f>
        <v>-0.62864057374445315</v>
      </c>
      <c r="I35" s="31">
        <f ca="1">H35-VLOOKUP(Settings!$K$7,G$2:H$45,2,FALSE)</f>
        <v>-0.63468834538528096</v>
      </c>
      <c r="J35" s="31" t="str">
        <f>VLOOKUP(A35,Rankings!B:D,3,FALSE)</f>
        <v>AL</v>
      </c>
    </row>
    <row r="36" spans="1:10" ht="18.600000000000001" customHeight="1">
      <c r="A36" s="26" t="s">
        <v>577</v>
      </c>
      <c r="B36" s="27" t="s">
        <v>68</v>
      </c>
      <c r="C36" s="124" t="s">
        <v>27</v>
      </c>
      <c r="D36" s="138">
        <f t="shared" ca="1" si="0"/>
        <v>35</v>
      </c>
      <c r="E36" s="31">
        <f ca="1">VLOOKUP(A36,Rankings!$B$1:$H$651,6,FALSE)+(RAND()*0.00001)</f>
        <v>161.92334313598494</v>
      </c>
      <c r="F36" s="31">
        <f ca="1">E36-VLOOKUP(Settings!$K$7,D$2:E$500,2,FALSE)</f>
        <v>-97.625829934432289</v>
      </c>
      <c r="G36" s="138">
        <f t="shared" ca="1" si="1"/>
        <v>32</v>
      </c>
      <c r="H36" s="31">
        <f ca="1">VLOOKUP(A36,Rankings!$B$1:$H$651,7,FALSE)+(RAND()*0.00001)</f>
        <v>-2.2180056980478615</v>
      </c>
      <c r="I36" s="31">
        <f ca="1">H36-VLOOKUP(Settings!$K$7,G$2:H$45,2,FALSE)</f>
        <v>-2.2240534696886893</v>
      </c>
      <c r="J36" s="31" t="str">
        <f>VLOOKUP(A36,Rankings!B:D,3,FALSE)</f>
        <v>AL</v>
      </c>
    </row>
    <row r="37" spans="1:10" ht="18.600000000000001" customHeight="1">
      <c r="A37" s="26" t="s">
        <v>689</v>
      </c>
      <c r="B37" s="27" t="s">
        <v>68</v>
      </c>
      <c r="C37" s="124" t="s">
        <v>27</v>
      </c>
      <c r="D37" s="138">
        <f t="shared" ca="1" si="0"/>
        <v>29</v>
      </c>
      <c r="E37" s="31">
        <f ca="1">VLOOKUP(A37,Rankings!$B$1:$H$651,6,FALSE)+(RAND()*0.00001)</f>
        <v>227.82916882433298</v>
      </c>
      <c r="F37" s="31">
        <f ca="1">E37-VLOOKUP(Settings!$K$7,D$2:E$500,2,FALSE)</f>
        <v>-31.720004246084244</v>
      </c>
      <c r="G37" s="138">
        <f t="shared" ca="1" si="1"/>
        <v>30</v>
      </c>
      <c r="H37" s="31">
        <f ca="1">VLOOKUP(A37,Rankings!$B$1:$H$651,7,FALSE)+(RAND()*0.00001)</f>
        <v>-1.2355437968516689</v>
      </c>
      <c r="I37" s="31">
        <f ca="1">H37-VLOOKUP(Settings!$K$7,G$2:H$45,2,FALSE)</f>
        <v>-1.2415915684924967</v>
      </c>
      <c r="J37" s="31" t="str">
        <f>VLOOKUP(A37,Rankings!B:D,3,FALSE)</f>
        <v>AL</v>
      </c>
    </row>
    <row r="38" spans="1:10" ht="18.600000000000001" customHeight="1">
      <c r="A38" s="26" t="s">
        <v>676</v>
      </c>
      <c r="B38" s="27" t="s">
        <v>156</v>
      </c>
      <c r="C38" s="124" t="s">
        <v>27</v>
      </c>
      <c r="D38" s="138">
        <f t="shared" ca="1" si="0"/>
        <v>38</v>
      </c>
      <c r="E38" s="31">
        <f ca="1">VLOOKUP(A38,Rankings!$B$1:$H$651,6,FALSE)+(RAND()*0.00001)</f>
        <v>147.20834278811967</v>
      </c>
      <c r="F38" s="31">
        <f ca="1">E38-VLOOKUP(Settings!$K$7,D$2:E$500,2,FALSE)</f>
        <v>-112.34083028229756</v>
      </c>
      <c r="G38" s="138">
        <f t="shared" ca="1" si="1"/>
        <v>35</v>
      </c>
      <c r="H38" s="31">
        <f ca="1">VLOOKUP(A38,Rankings!$B$1:$H$651,7,FALSE)+(RAND()*0.00001)</f>
        <v>-2.5784590800266076</v>
      </c>
      <c r="I38" s="31">
        <f ca="1">H38-VLOOKUP(Settings!$K$7,G$2:H$45,2,FALSE)</f>
        <v>-2.5845068516674354</v>
      </c>
      <c r="J38" s="31" t="str">
        <f>VLOOKUP(A38,Rankings!B:D,3,FALSE)</f>
        <v>AL</v>
      </c>
    </row>
    <row r="39" spans="1:10" ht="18.600000000000001" customHeight="1">
      <c r="A39" s="26" t="s">
        <v>667</v>
      </c>
      <c r="B39" s="27" t="s">
        <v>156</v>
      </c>
      <c r="C39" s="124" t="s">
        <v>27</v>
      </c>
      <c r="D39" s="138">
        <f t="shared" ca="1" si="0"/>
        <v>37</v>
      </c>
      <c r="E39" s="31">
        <f ca="1">VLOOKUP(A39,Rankings!$B$1:$H$651,6,FALSE)+(RAND()*0.00001)</f>
        <v>150.90611237952794</v>
      </c>
      <c r="F39" s="31">
        <f ca="1">E39-VLOOKUP(Settings!$K$7,D$2:E$500,2,FALSE)</f>
        <v>-108.64306069088929</v>
      </c>
      <c r="G39" s="138">
        <f t="shared" ca="1" si="1"/>
        <v>38</v>
      </c>
      <c r="H39" s="31">
        <f ca="1">VLOOKUP(A39,Rankings!$B$1:$H$651,7,FALSE)+(RAND()*0.00001)</f>
        <v>-3.3992269131411561</v>
      </c>
      <c r="I39" s="31">
        <f ca="1">H39-VLOOKUP(Settings!$K$7,G$2:H$45,2,FALSE)</f>
        <v>-3.4052746847819839</v>
      </c>
      <c r="J39" s="31" t="str">
        <f>VLOOKUP(A39,Rankings!B:D,3,FALSE)</f>
        <v>AL</v>
      </c>
    </row>
    <row r="40" spans="1:10" ht="18.600000000000001" customHeight="1">
      <c r="A40" s="26" t="s">
        <v>731</v>
      </c>
      <c r="B40" s="27" t="s">
        <v>101</v>
      </c>
      <c r="C40" s="124" t="s">
        <v>27</v>
      </c>
      <c r="D40" s="138">
        <f t="shared" ca="1" si="0"/>
        <v>39</v>
      </c>
      <c r="E40" s="31">
        <f ca="1">VLOOKUP(A40,Rankings!$B$1:$H$651,6,FALSE)+(RAND()*0.00001)</f>
        <v>135.26111583734098</v>
      </c>
      <c r="F40" s="31">
        <f ca="1">E40-VLOOKUP(Settings!$K$7,D$2:E$500,2,FALSE)</f>
        <v>-124.28805723307624</v>
      </c>
      <c r="G40" s="138">
        <f t="shared" ca="1" si="1"/>
        <v>40</v>
      </c>
      <c r="H40" s="31">
        <f ca="1">VLOOKUP(A40,Rankings!$B$1:$H$651,7,FALSE)+(RAND()*0.00001)</f>
        <v>-5.4557938134988637</v>
      </c>
      <c r="I40" s="31">
        <f ca="1">H40-VLOOKUP(Settings!$K$7,G$2:H$45,2,FALSE)</f>
        <v>-5.4618415851396911</v>
      </c>
      <c r="J40" s="31" t="str">
        <f>VLOOKUP(A40,Rankings!B:D,3,FALSE)</f>
        <v>AL</v>
      </c>
    </row>
    <row r="41" spans="1:10" ht="18.600000000000001" customHeight="1">
      <c r="A41" s="26" t="s">
        <v>730</v>
      </c>
      <c r="B41" s="27" t="s">
        <v>123</v>
      </c>
      <c r="C41" s="124" t="s">
        <v>27</v>
      </c>
      <c r="D41" s="138">
        <f t="shared" ca="1" si="0"/>
        <v>42</v>
      </c>
      <c r="E41" s="31">
        <f ca="1">VLOOKUP(A41,Rankings!$B$1:$H$651,6,FALSE)+(RAND()*0.00001)</f>
        <v>109.85889606086337</v>
      </c>
      <c r="F41" s="31">
        <f ca="1">E41-VLOOKUP(Settings!$K$7,D$2:E$500,2,FALSE)</f>
        <v>-149.69027700955385</v>
      </c>
      <c r="G41" s="138">
        <f t="shared" ca="1" si="1"/>
        <v>42</v>
      </c>
      <c r="H41" s="31">
        <f ca="1">VLOOKUP(A41,Rankings!$B$1:$H$651,7,FALSE)+(RAND()*0.00001)</f>
        <v>-5.907484211312731</v>
      </c>
      <c r="I41" s="31">
        <f ca="1">H41-VLOOKUP(Settings!$K$7,G$2:H$45,2,FALSE)</f>
        <v>-5.9135319829535584</v>
      </c>
      <c r="J41" s="31" t="str">
        <f>VLOOKUP(A41,Rankings!B:D,3,FALSE)</f>
        <v>NL</v>
      </c>
    </row>
    <row r="42" spans="1:10" ht="18.600000000000001" customHeight="1">
      <c r="A42" s="26" t="s">
        <v>732</v>
      </c>
      <c r="B42" s="27" t="s">
        <v>120</v>
      </c>
      <c r="C42" s="124" t="s">
        <v>27</v>
      </c>
      <c r="D42" s="138">
        <f t="shared" ca="1" si="0"/>
        <v>41</v>
      </c>
      <c r="E42" s="31">
        <f ca="1">VLOOKUP(A42,Rankings!$B$1:$H$651,6,FALSE)+(RAND()*0.00001)</f>
        <v>111.70666929062615</v>
      </c>
      <c r="F42" s="31">
        <f ca="1">E42-VLOOKUP(Settings!$K$7,D$2:E$500,2,FALSE)</f>
        <v>-147.84250377979106</v>
      </c>
      <c r="G42" s="138">
        <f t="shared" ca="1" si="1"/>
        <v>41</v>
      </c>
      <c r="H42" s="31">
        <f ca="1">VLOOKUP(A42,Rankings!$B$1:$H$651,7,FALSE)+(RAND()*0.00001)</f>
        <v>-5.5686446797441267</v>
      </c>
      <c r="I42" s="31">
        <f ca="1">H42-VLOOKUP(Settings!$K$7,G$2:H$45,2,FALSE)</f>
        <v>-5.5746924513849541</v>
      </c>
      <c r="J42" s="31" t="str">
        <f>VLOOKUP(A42,Rankings!B:D,3,FALSE)</f>
        <v>NL</v>
      </c>
    </row>
    <row r="43" spans="1:10" ht="18.600000000000001" customHeight="1">
      <c r="A43" s="26" t="s">
        <v>733</v>
      </c>
      <c r="B43" s="27" t="s">
        <v>258</v>
      </c>
      <c r="C43" s="124" t="s">
        <v>27</v>
      </c>
      <c r="D43" s="138">
        <f t="shared" ca="1" si="0"/>
        <v>43</v>
      </c>
      <c r="E43" s="31">
        <f ca="1">VLOOKUP(A43,Rankings!$B$1:$H$651,6,FALSE)+(RAND()*0.00001)</f>
        <v>91.322785612631861</v>
      </c>
      <c r="F43" s="31">
        <f ca="1">E43-VLOOKUP(Settings!$K$7,D$2:E$500,2,FALSE)</f>
        <v>-168.22638745778536</v>
      </c>
      <c r="G43" s="138">
        <f t="shared" ca="1" si="1"/>
        <v>43</v>
      </c>
      <c r="H43" s="31">
        <f ca="1">VLOOKUP(A43,Rankings!$B$1:$H$651,7,FALSE)+(RAND()*0.00001)</f>
        <v>-6.0931748729005228</v>
      </c>
      <c r="I43" s="31">
        <f ca="1">H43-VLOOKUP(Settings!$K$7,G$2:H$45,2,FALSE)</f>
        <v>-6.0992226445413502</v>
      </c>
      <c r="J43" s="31" t="str">
        <f>VLOOKUP(A43,Rankings!B:D,3,FALSE)</f>
        <v>AL</v>
      </c>
    </row>
    <row r="44" spans="1:10" ht="18.600000000000001" customHeight="1">
      <c r="A44" s="26" t="s">
        <v>729</v>
      </c>
      <c r="B44" s="27" t="s">
        <v>176</v>
      </c>
      <c r="C44" s="124" t="s">
        <v>27</v>
      </c>
      <c r="D44" s="138">
        <f t="shared" ca="1" si="0"/>
        <v>40</v>
      </c>
      <c r="E44" s="31">
        <f ca="1">VLOOKUP(A44,Rankings!$B$1:$H$651,6,FALSE)+(RAND()*0.00001)</f>
        <v>118.93583846222532</v>
      </c>
      <c r="F44" s="31">
        <f ca="1">E44-VLOOKUP(Settings!$K$7,D$2:E$500,2,FALSE)</f>
        <v>-140.61333460819191</v>
      </c>
      <c r="G44" s="138">
        <f t="shared" ca="1" si="1"/>
        <v>39</v>
      </c>
      <c r="H44" s="31">
        <f ca="1">VLOOKUP(A44,Rankings!$B$1:$H$651,7,FALSE)+(RAND()*0.00001)</f>
        <v>-3.9590279225438296</v>
      </c>
      <c r="I44" s="31">
        <f ca="1">H44-VLOOKUP(Settings!$K$7,G$2:H$45,2,FALSE)</f>
        <v>-3.9650756941846574</v>
      </c>
      <c r="J44" s="31" t="str">
        <f>VLOOKUP(A44,Rankings!B:D,3,FALSE)</f>
        <v>NL</v>
      </c>
    </row>
    <row r="45" spans="1:10" ht="18.600000000000001" customHeight="1">
      <c r="A45" s="131" t="s">
        <v>734</v>
      </c>
      <c r="B45" s="132" t="s">
        <v>223</v>
      </c>
      <c r="C45" s="124"/>
      <c r="D45" s="138">
        <f t="shared" ca="1" si="0"/>
        <v>44</v>
      </c>
      <c r="E45" s="31">
        <f ca="1">VLOOKUP(A45,Rankings!$B$1:$H$651,6,FALSE)+(RAND()*0.00001)</f>
        <v>77.527224738586384</v>
      </c>
      <c r="F45" s="31">
        <f ca="1">E45-VLOOKUP(Settings!$K$7,D$2:E$500,2,FALSE)</f>
        <v>-182.02194833183086</v>
      </c>
      <c r="G45" s="138">
        <f t="shared" ca="1" si="1"/>
        <v>44</v>
      </c>
      <c r="H45" s="31">
        <f ca="1">VLOOKUP(A45,Rankings!$B$1:$H$651,7,FALSE)+(RAND()*0.00001)</f>
        <v>-6.4706558975840371</v>
      </c>
      <c r="I45" s="31">
        <f ca="1">H45-VLOOKUP(Settings!$K$7,G$2:H$45,2,FALSE)</f>
        <v>-6.4767036692248645</v>
      </c>
      <c r="J45" s="31" t="str">
        <f>VLOOKUP(A45,Rankings!B:D,3,FALSE)</f>
        <v>NL</v>
      </c>
    </row>
    <row r="46" spans="1:10" ht="20.100000000000001" customHeight="1">
      <c r="J46" s="31"/>
    </row>
    <row r="47" spans="1:10" ht="20.100000000000001" customHeight="1">
      <c r="J47" s="31"/>
    </row>
    <row r="48" spans="1:10" ht="20.100000000000001" customHeight="1">
      <c r="J48" s="31"/>
    </row>
    <row r="49" spans="10:10" ht="20.100000000000001" customHeight="1">
      <c r="J49" s="31"/>
    </row>
    <row r="50" spans="10:10" ht="20.100000000000001" customHeight="1">
      <c r="J50" s="31"/>
    </row>
    <row r="51" spans="10:10" ht="20.100000000000001" customHeight="1">
      <c r="J51" s="31"/>
    </row>
    <row r="52" spans="10:10" ht="20.100000000000001" customHeight="1">
      <c r="J52" s="31"/>
    </row>
    <row r="53" spans="10:10" ht="20.100000000000001" customHeight="1">
      <c r="J53" s="31"/>
    </row>
    <row r="54" spans="10:10" ht="20.100000000000001" customHeight="1">
      <c r="J54" s="31"/>
    </row>
    <row r="55" spans="10:10" ht="20.100000000000001" customHeight="1">
      <c r="J55" s="31"/>
    </row>
    <row r="56" spans="10:10" ht="20.100000000000001" customHeight="1">
      <c r="J56" s="31"/>
    </row>
    <row r="57" spans="10:10" ht="20.100000000000001" customHeight="1">
      <c r="J57" s="31"/>
    </row>
    <row r="58" spans="10:10" ht="20.100000000000001" customHeight="1">
      <c r="J58" s="31"/>
    </row>
    <row r="59" spans="10:10" ht="20.100000000000001" customHeight="1">
      <c r="J59" s="31"/>
    </row>
    <row r="60" spans="10:10" ht="20.100000000000001" customHeight="1">
      <c r="J60" s="31"/>
    </row>
    <row r="61" spans="10:10" ht="20.100000000000001" customHeight="1">
      <c r="J61" s="31"/>
    </row>
    <row r="62" spans="10:10" ht="20.100000000000001" customHeight="1">
      <c r="J62" s="31"/>
    </row>
    <row r="63" spans="10:10" ht="20.100000000000001" customHeight="1">
      <c r="J63" s="31"/>
    </row>
    <row r="64" spans="10:10" ht="20.100000000000001" customHeight="1">
      <c r="J64" s="31"/>
    </row>
    <row r="65" spans="10:10" ht="20.100000000000001" customHeight="1">
      <c r="J65" s="31"/>
    </row>
    <row r="66" spans="10:10" ht="20.100000000000001" customHeight="1">
      <c r="J66" s="31"/>
    </row>
    <row r="67" spans="10:10" ht="20.100000000000001" customHeight="1">
      <c r="J67" s="31"/>
    </row>
    <row r="68" spans="10:10" ht="20.100000000000001" customHeight="1">
      <c r="J68" s="31"/>
    </row>
    <row r="69" spans="10:10" ht="20.100000000000001" customHeight="1">
      <c r="J69" s="31"/>
    </row>
    <row r="70" spans="10:10" ht="20.100000000000001" customHeight="1">
      <c r="J70" s="31"/>
    </row>
    <row r="71" spans="10:10" ht="20.100000000000001" customHeight="1">
      <c r="J71" s="31"/>
    </row>
    <row r="72" spans="10:10" ht="20.100000000000001" customHeight="1">
      <c r="J72" s="31"/>
    </row>
    <row r="73" spans="10:10" ht="20.100000000000001" customHeight="1">
      <c r="J73" s="31"/>
    </row>
    <row r="74" spans="10:10" ht="20.100000000000001" customHeight="1">
      <c r="J74" s="31"/>
    </row>
    <row r="75" spans="10:10" ht="20.100000000000001" customHeight="1">
      <c r="J75" s="31"/>
    </row>
    <row r="76" spans="10:10" ht="20.100000000000001" customHeight="1">
      <c r="J76" s="31"/>
    </row>
    <row r="77" spans="10:10" ht="20.100000000000001" customHeight="1">
      <c r="J77" s="31"/>
    </row>
    <row r="78" spans="10:10" ht="20.100000000000001" customHeight="1">
      <c r="J78" s="31"/>
    </row>
    <row r="79" spans="10:10" ht="20.100000000000001" customHeight="1">
      <c r="J79" s="31"/>
    </row>
    <row r="80" spans="10:10" ht="20.100000000000001" customHeight="1">
      <c r="J80" s="31"/>
    </row>
    <row r="81" spans="10:10" ht="20.100000000000001" customHeight="1">
      <c r="J81" s="31"/>
    </row>
    <row r="82" spans="10:10" ht="20.100000000000001" customHeight="1">
      <c r="J82" s="31"/>
    </row>
    <row r="83" spans="10:10" ht="20.100000000000001" customHeight="1">
      <c r="J83" s="31"/>
    </row>
    <row r="84" spans="10:10" ht="20.100000000000001" customHeight="1">
      <c r="J84" s="31"/>
    </row>
    <row r="85" spans="10:10" ht="20.100000000000001" customHeight="1">
      <c r="J85" s="31"/>
    </row>
    <row r="86" spans="10:10" ht="20.100000000000001" customHeight="1">
      <c r="J86" s="31"/>
    </row>
    <row r="87" spans="10:10" ht="20.100000000000001" customHeight="1">
      <c r="J87" s="31"/>
    </row>
    <row r="88" spans="10:10" ht="20.100000000000001" customHeight="1">
      <c r="J88" s="31"/>
    </row>
    <row r="89" spans="10:10" ht="20.100000000000001" customHeight="1">
      <c r="J89" s="31"/>
    </row>
    <row r="90" spans="10:10" ht="20.100000000000001" customHeight="1">
      <c r="J90" s="31"/>
    </row>
    <row r="91" spans="10:10" ht="20.100000000000001" customHeight="1">
      <c r="J91" s="31"/>
    </row>
    <row r="92" spans="10:10" ht="20.100000000000001" customHeight="1">
      <c r="J92" s="31"/>
    </row>
    <row r="93" spans="10:10" ht="20.100000000000001" customHeight="1">
      <c r="J93" s="31"/>
    </row>
    <row r="94" spans="10:10" ht="20.100000000000001" customHeight="1">
      <c r="J94" s="31"/>
    </row>
    <row r="95" spans="10:10" ht="20.100000000000001" customHeight="1">
      <c r="J95" s="31"/>
    </row>
    <row r="96" spans="10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45" xr:uid="{00000000-0001-0000-0A00-000000000000}">
    <sortState xmlns:xlrd2="http://schemas.microsoft.com/office/spreadsheetml/2017/richdata2" ref="A2:I45">
      <sortCondition ref="D1:D4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01"/>
  <sheetViews>
    <sheetView showGridLines="0" workbookViewId="0">
      <selection activeCell="C13" sqref="C13"/>
    </sheetView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20.100000000000001" customHeight="1">
      <c r="A2" s="26" t="s">
        <v>75</v>
      </c>
      <c r="B2" s="27" t="s">
        <v>76</v>
      </c>
      <c r="C2" s="120" t="s">
        <v>15</v>
      </c>
      <c r="D2" s="138">
        <f t="shared" ref="D2:D33" ca="1" si="0">RANK(E2,E$2:E$500)</f>
        <v>1</v>
      </c>
      <c r="E2" s="31">
        <f ca="1">VLOOKUP(A2,Rankings!$B$1:$H$651,6,FALSE)+(RAND()*0.00001)</f>
        <v>555.15389446790221</v>
      </c>
      <c r="F2" s="31">
        <f ca="1">E2-VLOOKUP(Settings!$K$2+Settings!$K$4,D$2:E$500,2,FALSE)</f>
        <v>261.67833505008286</v>
      </c>
      <c r="G2" s="138">
        <f t="shared" ref="G2:G33" ca="1" si="1">RANK(H2,H$2:H$500)</f>
        <v>1</v>
      </c>
      <c r="H2" s="31">
        <f ca="1">VLOOKUP(A2,Rankings!$B$1:$H$651,7,FALSE)+(RAND()*0.00001)</f>
        <v>9.8765644210982408</v>
      </c>
      <c r="I2" s="31">
        <f ca="1">H2-VLOOKUP(Settings!$K$2+Settings!$K$4,G$2:H$94,2,FALSE)</f>
        <v>9.6510802023197897</v>
      </c>
      <c r="J2" s="31" t="str">
        <f>VLOOKUP(A2,Rankings!B:D,3,FALSE)</f>
        <v>AL</v>
      </c>
    </row>
    <row r="3" spans="1:10" ht="18.600000000000001" customHeight="1">
      <c r="A3" s="26" t="s">
        <v>93</v>
      </c>
      <c r="B3" s="27" t="s">
        <v>94</v>
      </c>
      <c r="C3" s="117" t="s">
        <v>7</v>
      </c>
      <c r="D3" s="138">
        <f t="shared" ca="1" si="0"/>
        <v>2</v>
      </c>
      <c r="E3" s="31">
        <f ca="1">VLOOKUP(A3,Rankings!$B$1:$H$651,6,FALSE)+(RAND()*0.00001)</f>
        <v>539.89722296885941</v>
      </c>
      <c r="F3" s="31">
        <f ca="1">E3-VLOOKUP(Settings!$K$2+Settings!$K$4,D$2:E$500,2,FALSE)</f>
        <v>246.42166355104007</v>
      </c>
      <c r="G3" s="138">
        <f t="shared" ca="1" si="1"/>
        <v>2</v>
      </c>
      <c r="H3" s="31">
        <f ca="1">VLOOKUP(A3,Rankings!$B$1:$H$651,7,FALSE)+(RAND()*0.00001)</f>
        <v>9.6358288258946452</v>
      </c>
      <c r="I3" s="31">
        <f ca="1">H3-VLOOKUP(Settings!$K$2+Settings!$K$4,G$2:H$94,2,FALSE)</f>
        <v>9.410344607116194</v>
      </c>
      <c r="J3" s="31" t="str">
        <f>VLOOKUP(A3,Rankings!B:D,3,FALSE)</f>
        <v>AL</v>
      </c>
    </row>
    <row r="4" spans="1:10" ht="18.600000000000001" customHeight="1">
      <c r="A4" s="26" t="s">
        <v>105</v>
      </c>
      <c r="B4" s="27" t="s">
        <v>81</v>
      </c>
      <c r="C4" s="117" t="s">
        <v>7</v>
      </c>
      <c r="D4" s="138">
        <f t="shared" ca="1" si="0"/>
        <v>3</v>
      </c>
      <c r="E4" s="31">
        <f ca="1">VLOOKUP(A4,Rankings!$B$1:$H$651,6,FALSE)+(RAND()*0.00001)</f>
        <v>531.39556437929161</v>
      </c>
      <c r="F4" s="31">
        <f ca="1">E4-VLOOKUP(Settings!$K$2+Settings!$K$4,D$2:E$500,2,FALSE)</f>
        <v>237.92000496147227</v>
      </c>
      <c r="G4" s="138">
        <f t="shared" ca="1" si="1"/>
        <v>3</v>
      </c>
      <c r="H4" s="31">
        <f ca="1">VLOOKUP(A4,Rankings!$B$1:$H$651,7,FALSE)+(RAND()*0.00001)</f>
        <v>8.8648079907963151</v>
      </c>
      <c r="I4" s="31">
        <f ca="1">H4-VLOOKUP(Settings!$K$2+Settings!$K$4,G$2:H$94,2,FALSE)</f>
        <v>8.6393237720178639</v>
      </c>
      <c r="J4" s="31" t="str">
        <f>VLOOKUP(A4,Rankings!B:D,3,FALSE)</f>
        <v>NL</v>
      </c>
    </row>
    <row r="5" spans="1:10" ht="18.600000000000001" customHeight="1">
      <c r="A5" s="26" t="s">
        <v>127</v>
      </c>
      <c r="B5" s="27" t="s">
        <v>95</v>
      </c>
      <c r="C5" s="117" t="s">
        <v>7</v>
      </c>
      <c r="D5" s="138">
        <f t="shared" ca="1" si="0"/>
        <v>4</v>
      </c>
      <c r="E5" s="31">
        <f ca="1">VLOOKUP(A5,Rankings!$B$1:$H$651,6,FALSE)+(RAND()*0.00001)</f>
        <v>493.17111271628852</v>
      </c>
      <c r="F5" s="31">
        <f ca="1">E5-VLOOKUP(Settings!$K$2+Settings!$K$4,D$2:E$500,2,FALSE)</f>
        <v>199.69555329846918</v>
      </c>
      <c r="G5" s="138">
        <f t="shared" ca="1" si="1"/>
        <v>6</v>
      </c>
      <c r="H5" s="31">
        <f ca="1">VLOOKUP(A5,Rankings!$B$1:$H$651,7,FALSE)+(RAND()*0.00001)</f>
        <v>7.5794527759935297</v>
      </c>
      <c r="I5" s="31">
        <f ca="1">H5-VLOOKUP(Settings!$K$2+Settings!$K$4,G$2:H$94,2,FALSE)</f>
        <v>7.3539685572150795</v>
      </c>
      <c r="J5" s="31" t="str">
        <f>VLOOKUP(A5,Rankings!B:D,3,FALSE)</f>
        <v>NL</v>
      </c>
    </row>
    <row r="6" spans="1:10" ht="18.600000000000001" customHeight="1">
      <c r="A6" s="26" t="s">
        <v>88</v>
      </c>
      <c r="B6" s="27" t="s">
        <v>63</v>
      </c>
      <c r="C6" s="120" t="s">
        <v>15</v>
      </c>
      <c r="D6" s="138">
        <f t="shared" ca="1" si="0"/>
        <v>5</v>
      </c>
      <c r="E6" s="31">
        <f ca="1">VLOOKUP(A6,Rankings!$B$1:$H$651,6,FALSE)+(RAND()*0.00001)</f>
        <v>493.07722312406582</v>
      </c>
      <c r="F6" s="31">
        <f ca="1">E6-VLOOKUP(Settings!$K$2+Settings!$K$4,D$2:E$500,2,FALSE)</f>
        <v>199.60166370624648</v>
      </c>
      <c r="G6" s="138">
        <f t="shared" ca="1" si="1"/>
        <v>4</v>
      </c>
      <c r="H6" s="31">
        <f ca="1">VLOOKUP(A6,Rankings!$B$1:$H$651,7,FALSE)+(RAND()*0.00001)</f>
        <v>7.7833039023643975</v>
      </c>
      <c r="I6" s="31">
        <f ca="1">H6-VLOOKUP(Settings!$K$2+Settings!$K$4,G$2:H$94,2,FALSE)</f>
        <v>7.5578196835859472</v>
      </c>
      <c r="J6" s="31" t="str">
        <f>VLOOKUP(A6,Rankings!B:D,3,FALSE)</f>
        <v>NL</v>
      </c>
    </row>
    <row r="7" spans="1:10" ht="18.600000000000001" customHeight="1">
      <c r="A7" s="26" t="s">
        <v>102</v>
      </c>
      <c r="B7" s="27" t="s">
        <v>103</v>
      </c>
      <c r="C7" s="120" t="s">
        <v>15</v>
      </c>
      <c r="D7" s="138">
        <f t="shared" ca="1" si="0"/>
        <v>6</v>
      </c>
      <c r="E7" s="31">
        <f ca="1">VLOOKUP(A7,Rankings!$B$1:$H$651,6,FALSE)+(RAND()*0.00001)</f>
        <v>490.44167372785671</v>
      </c>
      <c r="F7" s="31">
        <f ca="1">E7-VLOOKUP(Settings!$K$2+Settings!$K$4,D$2:E$500,2,FALSE)</f>
        <v>196.96611431003737</v>
      </c>
      <c r="G7" s="138">
        <f t="shared" ca="1" si="1"/>
        <v>5</v>
      </c>
      <c r="H7" s="31">
        <f ca="1">VLOOKUP(A7,Rankings!$B$1:$H$651,7,FALSE)+(RAND()*0.00001)</f>
        <v>7.7389416253300114</v>
      </c>
      <c r="I7" s="31">
        <f ca="1">H7-VLOOKUP(Settings!$K$2+Settings!$K$4,G$2:H$94,2,FALSE)</f>
        <v>7.5134574065515611</v>
      </c>
      <c r="J7" s="31" t="str">
        <f>VLOOKUP(A7,Rankings!B:D,3,FALSE)</f>
        <v>AL</v>
      </c>
    </row>
    <row r="8" spans="1:10" ht="18.600000000000001" customHeight="1">
      <c r="A8" s="26" t="s">
        <v>132</v>
      </c>
      <c r="B8" s="27" t="s">
        <v>123</v>
      </c>
      <c r="C8" s="117" t="s">
        <v>7</v>
      </c>
      <c r="D8" s="138">
        <f t="shared" ca="1" si="0"/>
        <v>7</v>
      </c>
      <c r="E8" s="31">
        <f ca="1">VLOOKUP(A8,Rankings!$B$1:$H$651,6,FALSE)+(RAND()*0.00001)</f>
        <v>484.06222254811041</v>
      </c>
      <c r="F8" s="31">
        <f ca="1">E8-VLOOKUP(Settings!$K$2+Settings!$K$4,D$2:E$500,2,FALSE)</f>
        <v>190.58666313029107</v>
      </c>
      <c r="G8" s="138">
        <f t="shared" ca="1" si="1"/>
        <v>7</v>
      </c>
      <c r="H8" s="31">
        <f ca="1">VLOOKUP(A8,Rankings!$B$1:$H$651,7,FALSE)+(RAND()*0.00001)</f>
        <v>7.4552520019911555</v>
      </c>
      <c r="I8" s="31">
        <f ca="1">H8-VLOOKUP(Settings!$K$2+Settings!$K$4,G$2:H$94,2,FALSE)</f>
        <v>7.2297677832127052</v>
      </c>
      <c r="J8" s="31" t="str">
        <f>VLOOKUP(A8,Rankings!B:D,3,FALSE)</f>
        <v>NL</v>
      </c>
    </row>
    <row r="9" spans="1:10" ht="18.600000000000001" customHeight="1">
      <c r="A9" s="26" t="s">
        <v>180</v>
      </c>
      <c r="B9" s="27" t="s">
        <v>73</v>
      </c>
      <c r="C9" s="117" t="s">
        <v>7</v>
      </c>
      <c r="D9" s="138">
        <f t="shared" ca="1" si="0"/>
        <v>8</v>
      </c>
      <c r="E9" s="31">
        <f ca="1">VLOOKUP(A9,Rankings!$B$1:$H$651,6,FALSE)+(RAND()*0.00001)</f>
        <v>479.17278157749337</v>
      </c>
      <c r="F9" s="31">
        <f ca="1">E9-VLOOKUP(Settings!$K$2+Settings!$K$4,D$2:E$500,2,FALSE)</f>
        <v>185.69722215967403</v>
      </c>
      <c r="G9" s="138">
        <f t="shared" ca="1" si="1"/>
        <v>9</v>
      </c>
      <c r="H9" s="31">
        <f ca="1">VLOOKUP(A9,Rankings!$B$1:$H$651,7,FALSE)+(RAND()*0.00001)</f>
        <v>6.3292487748664392</v>
      </c>
      <c r="I9" s="31">
        <f ca="1">H9-VLOOKUP(Settings!$K$2+Settings!$K$4,G$2:H$94,2,FALSE)</f>
        <v>6.103764556087989</v>
      </c>
      <c r="J9" s="31" t="str">
        <f>VLOOKUP(A9,Rankings!B:D,3,FALSE)</f>
        <v>NL</v>
      </c>
    </row>
    <row r="10" spans="1:10" ht="18.600000000000001" customHeight="1">
      <c r="A10" s="26" t="s">
        <v>122</v>
      </c>
      <c r="B10" s="27" t="s">
        <v>123</v>
      </c>
      <c r="C10" s="120" t="s">
        <v>15</v>
      </c>
      <c r="D10" s="138">
        <f t="shared" ca="1" si="0"/>
        <v>9</v>
      </c>
      <c r="E10" s="31">
        <f ca="1">VLOOKUP(A10,Rankings!$B$1:$H$651,6,FALSE)+(RAND()*0.00001)</f>
        <v>470.36167234421691</v>
      </c>
      <c r="F10" s="31">
        <f ca="1">E10-VLOOKUP(Settings!$K$2+Settings!$K$4,D$2:E$500,2,FALSE)</f>
        <v>176.88611292639757</v>
      </c>
      <c r="G10" s="138">
        <f t="shared" ca="1" si="1"/>
        <v>10</v>
      </c>
      <c r="H10" s="31">
        <f ca="1">VLOOKUP(A10,Rankings!$B$1:$H$651,7,FALSE)+(RAND()*0.00001)</f>
        <v>5.8734149433522465</v>
      </c>
      <c r="I10" s="31">
        <f ca="1">H10-VLOOKUP(Settings!$K$2+Settings!$K$4,G$2:H$94,2,FALSE)</f>
        <v>5.6479307245737962</v>
      </c>
      <c r="J10" s="31" t="str">
        <f>VLOOKUP(A10,Rankings!B:D,3,FALSE)</f>
        <v>NL</v>
      </c>
    </row>
    <row r="11" spans="1:10" ht="18.600000000000001" customHeight="1">
      <c r="A11" s="26" t="s">
        <v>185</v>
      </c>
      <c r="B11" s="27" t="s">
        <v>78</v>
      </c>
      <c r="C11" s="120" t="s">
        <v>15</v>
      </c>
      <c r="D11" s="138">
        <f t="shared" ca="1" si="0"/>
        <v>10</v>
      </c>
      <c r="E11" s="31">
        <f ca="1">VLOOKUP(A11,Rankings!$B$1:$H$651,6,FALSE)+(RAND()*0.00001)</f>
        <v>463.0455643789121</v>
      </c>
      <c r="F11" s="31">
        <f ca="1">E11-VLOOKUP(Settings!$K$2+Settings!$K$4,D$2:E$500,2,FALSE)</f>
        <v>169.57000496109276</v>
      </c>
      <c r="G11" s="138">
        <f t="shared" ca="1" si="1"/>
        <v>12</v>
      </c>
      <c r="H11" s="31">
        <f ca="1">VLOOKUP(A11,Rankings!$B$1:$H$651,7,FALSE)+(RAND()*0.00001)</f>
        <v>4.5421709135293078</v>
      </c>
      <c r="I11" s="31">
        <f ca="1">H11-VLOOKUP(Settings!$K$2+Settings!$K$4,G$2:H$94,2,FALSE)</f>
        <v>4.3166866947508575</v>
      </c>
      <c r="J11" s="31" t="str">
        <f>VLOOKUP(A11,Rankings!B:D,3,FALSE)</f>
        <v>AL</v>
      </c>
    </row>
    <row r="12" spans="1:10" ht="18.600000000000001" customHeight="1">
      <c r="A12" s="26" t="s">
        <v>106</v>
      </c>
      <c r="B12" s="27" t="s">
        <v>73</v>
      </c>
      <c r="C12" s="120" t="s">
        <v>15</v>
      </c>
      <c r="D12" s="138">
        <f t="shared" ca="1" si="0"/>
        <v>11</v>
      </c>
      <c r="E12" s="31">
        <f ca="1">VLOOKUP(A12,Rankings!$B$1:$H$651,6,FALSE)+(RAND()*0.00001)</f>
        <v>462.80167507130852</v>
      </c>
      <c r="F12" s="31">
        <f ca="1">E12-VLOOKUP(Settings!$K$2+Settings!$K$4,D$2:E$500,2,FALSE)</f>
        <v>169.32611565348918</v>
      </c>
      <c r="G12" s="138">
        <f t="shared" ca="1" si="1"/>
        <v>8</v>
      </c>
      <c r="H12" s="31">
        <f ca="1">VLOOKUP(A12,Rankings!$B$1:$H$651,7,FALSE)+(RAND()*0.00001)</f>
        <v>7.0575432779997023</v>
      </c>
      <c r="I12" s="31">
        <f ca="1">H12-VLOOKUP(Settings!$K$2+Settings!$K$4,G$2:H$94,2,FALSE)</f>
        <v>6.832059059221252</v>
      </c>
      <c r="J12" s="31" t="str">
        <f>VLOOKUP(A12,Rankings!B:D,3,FALSE)</f>
        <v>NL</v>
      </c>
    </row>
    <row r="13" spans="1:10" ht="18.600000000000001" customHeight="1">
      <c r="A13" s="166" t="s">
        <v>760</v>
      </c>
      <c r="B13" s="167" t="s">
        <v>176</v>
      </c>
      <c r="C13" s="117" t="s">
        <v>7</v>
      </c>
      <c r="D13" s="138">
        <f t="shared" ca="1" si="0"/>
        <v>68</v>
      </c>
      <c r="E13" s="31">
        <f ca="1">VLOOKUP(A13,Rankings!$B$1:$H$651,6,FALSE)+(RAND()*0.00001)</f>
        <v>231.00000524811082</v>
      </c>
      <c r="F13" s="31">
        <f ca="1">E13-VLOOKUP(Settings!$K$2+Settings!$K$4,D$2:E$500,2,FALSE)</f>
        <v>-62.475554169708516</v>
      </c>
      <c r="G13" s="138">
        <f t="shared" ca="1" si="1"/>
        <v>77</v>
      </c>
      <c r="H13" s="31">
        <f ca="1">VLOOKUP(A13,Rankings!$B$1:$H$651,7,FALSE)+(RAND()*0.00001)</f>
        <v>-2.1413119951792621</v>
      </c>
      <c r="I13" s="31">
        <f ca="1">H13-VLOOKUP(Settings!$K$2+Settings!$K$4,G$2:H$94,2,FALSE)</f>
        <v>-2.3667962139577128</v>
      </c>
      <c r="J13" s="31" t="str">
        <f>VLOOKUP(A13,Rankings!B:D,3,FALSE)</f>
        <v>NL</v>
      </c>
    </row>
    <row r="14" spans="1:10" ht="18.600000000000001" customHeight="1">
      <c r="A14" s="26" t="s">
        <v>263</v>
      </c>
      <c r="B14" s="27" t="s">
        <v>120</v>
      </c>
      <c r="C14" s="117" t="s">
        <v>7</v>
      </c>
      <c r="D14" s="138">
        <f t="shared" ca="1" si="0"/>
        <v>12</v>
      </c>
      <c r="E14" s="31">
        <f ca="1">VLOOKUP(A14,Rankings!$B$1:$H$651,6,FALSE)+(RAND()*0.00001)</f>
        <v>412.57834230086951</v>
      </c>
      <c r="F14" s="31">
        <f ca="1">E14-VLOOKUP(Settings!$K$2+Settings!$K$4,D$2:E$500,2,FALSE)</f>
        <v>119.10278288305017</v>
      </c>
      <c r="G14" s="138">
        <f t="shared" ca="1" si="1"/>
        <v>14</v>
      </c>
      <c r="H14" s="31">
        <f ca="1">VLOOKUP(A14,Rankings!$B$1:$H$651,7,FALSE)+(RAND()*0.00001)</f>
        <v>3.9817571577898305</v>
      </c>
      <c r="I14" s="31">
        <f ca="1">H14-VLOOKUP(Settings!$K$2+Settings!$K$4,G$2:H$94,2,FALSE)</f>
        <v>3.7562729390113798</v>
      </c>
      <c r="J14" s="31" t="str">
        <f>VLOOKUP(A14,Rankings!B:D,3,FALSE)</f>
        <v>NL</v>
      </c>
    </row>
    <row r="15" spans="1:10" ht="18.600000000000001" customHeight="1">
      <c r="A15" s="26" t="s">
        <v>260</v>
      </c>
      <c r="B15" s="27" t="s">
        <v>117</v>
      </c>
      <c r="C15" s="117" t="s">
        <v>7</v>
      </c>
      <c r="D15" s="138">
        <f t="shared" ca="1" si="0"/>
        <v>13</v>
      </c>
      <c r="E15" s="31">
        <f ca="1">VLOOKUP(A15,Rankings!$B$1:$H$651,6,FALSE)+(RAND()*0.00001)</f>
        <v>402.85945102993043</v>
      </c>
      <c r="F15" s="31">
        <f ca="1">E15-VLOOKUP(Settings!$K$2+Settings!$K$4,D$2:E$500,2,FALSE)</f>
        <v>109.38389161211109</v>
      </c>
      <c r="G15" s="138">
        <f t="shared" ca="1" si="1"/>
        <v>17</v>
      </c>
      <c r="H15" s="31">
        <f ca="1">VLOOKUP(A15,Rankings!$B$1:$H$651,7,FALSE)+(RAND()*0.00001)</f>
        <v>3.6296467577418077</v>
      </c>
      <c r="I15" s="31">
        <f ca="1">H15-VLOOKUP(Settings!$K$2+Settings!$K$4,G$2:H$94,2,FALSE)</f>
        <v>3.404162538963357</v>
      </c>
      <c r="J15" s="31" t="str">
        <f>VLOOKUP(A15,Rankings!B:D,3,FALSE)</f>
        <v>AL</v>
      </c>
    </row>
    <row r="16" spans="1:10" ht="20.100000000000001" customHeight="1">
      <c r="A16" s="26" t="s">
        <v>221</v>
      </c>
      <c r="B16" s="27" t="s">
        <v>78</v>
      </c>
      <c r="C16" s="117" t="s">
        <v>7</v>
      </c>
      <c r="D16" s="138">
        <f t="shared" ca="1" si="0"/>
        <v>15</v>
      </c>
      <c r="E16" s="31">
        <f ca="1">VLOOKUP(A16,Rankings!$B$1:$H$651,6,FALSE)+(RAND()*0.00001)</f>
        <v>400.55556150011159</v>
      </c>
      <c r="F16" s="31">
        <f ca="1">E16-VLOOKUP(Settings!$K$2+Settings!$K$4,D$2:E$500,2,FALSE)</f>
        <v>107.08000208229225</v>
      </c>
      <c r="G16" s="138">
        <f t="shared" ca="1" si="1"/>
        <v>15</v>
      </c>
      <c r="H16" s="31">
        <f ca="1">VLOOKUP(A16,Rankings!$B$1:$H$651,7,FALSE)+(RAND()*0.00001)</f>
        <v>3.958145419137066</v>
      </c>
      <c r="I16" s="31">
        <f ca="1">H16-VLOOKUP(Settings!$K$2+Settings!$K$4,G$2:H$94,2,FALSE)</f>
        <v>3.7326612003586153</v>
      </c>
      <c r="J16" s="31" t="str">
        <f>VLOOKUP(A16,Rankings!B:D,3,FALSE)</f>
        <v>AL</v>
      </c>
    </row>
    <row r="17" spans="1:10" ht="18.600000000000001" customHeight="1">
      <c r="A17" s="26" t="s">
        <v>233</v>
      </c>
      <c r="B17" s="27" t="s">
        <v>86</v>
      </c>
      <c r="C17" s="117" t="s">
        <v>7</v>
      </c>
      <c r="D17" s="138">
        <f t="shared" ca="1" si="0"/>
        <v>14</v>
      </c>
      <c r="E17" s="31">
        <f ca="1">VLOOKUP(A17,Rankings!$B$1:$H$651,6,FALSE)+(RAND()*0.00001)</f>
        <v>402.81278304908852</v>
      </c>
      <c r="F17" s="31">
        <f ca="1">E17-VLOOKUP(Settings!$K$2+Settings!$K$4,D$2:E$500,2,FALSE)</f>
        <v>109.33722363126918</v>
      </c>
      <c r="G17" s="138">
        <f t="shared" ca="1" si="1"/>
        <v>11</v>
      </c>
      <c r="H17" s="31">
        <f ca="1">VLOOKUP(A17,Rankings!$B$1:$H$651,7,FALSE)+(RAND()*0.00001)</f>
        <v>4.5802617646991912</v>
      </c>
      <c r="I17" s="31">
        <f ca="1">H17-VLOOKUP(Settings!$K$2+Settings!$K$4,G$2:H$94,2,FALSE)</f>
        <v>4.354777545920741</v>
      </c>
      <c r="J17" s="31" t="str">
        <f>VLOOKUP(A17,Rankings!B:D,3,FALSE)</f>
        <v>AL</v>
      </c>
    </row>
    <row r="18" spans="1:10" ht="18.600000000000001" customHeight="1">
      <c r="A18" s="26" t="s">
        <v>318</v>
      </c>
      <c r="B18" s="27" t="s">
        <v>76</v>
      </c>
      <c r="C18" s="117" t="s">
        <v>7</v>
      </c>
      <c r="D18" s="138">
        <f t="shared" ca="1" si="0"/>
        <v>16</v>
      </c>
      <c r="E18" s="31">
        <f ca="1">VLOOKUP(A18,Rankings!$B$1:$H$651,6,FALSE)+(RAND()*0.00001)</f>
        <v>392.23889579500531</v>
      </c>
      <c r="F18" s="31">
        <f ca="1">E18-VLOOKUP(Settings!$K$2+Settings!$K$4,D$2:E$500,2,FALSE)</f>
        <v>98.763336377185965</v>
      </c>
      <c r="G18" s="138">
        <f t="shared" ca="1" si="1"/>
        <v>28</v>
      </c>
      <c r="H18" s="31">
        <f ca="1">VLOOKUP(A18,Rankings!$B$1:$H$651,7,FALSE)+(RAND()*0.00001)</f>
        <v>2.8508667389307765</v>
      </c>
      <c r="I18" s="31">
        <f ca="1">H18-VLOOKUP(Settings!$K$2+Settings!$K$4,G$2:H$94,2,FALSE)</f>
        <v>2.6253825201523258</v>
      </c>
      <c r="J18" s="31" t="str">
        <f>VLOOKUP(A18,Rankings!B:D,3,FALSE)</f>
        <v>AL</v>
      </c>
    </row>
    <row r="19" spans="1:10" ht="18.600000000000001" customHeight="1">
      <c r="A19" s="26" t="s">
        <v>283</v>
      </c>
      <c r="B19" s="27" t="s">
        <v>68</v>
      </c>
      <c r="C19" s="117" t="s">
        <v>7</v>
      </c>
      <c r="D19" s="138">
        <f t="shared" ca="1" si="0"/>
        <v>17</v>
      </c>
      <c r="E19" s="31">
        <f ca="1">VLOOKUP(A19,Rankings!$B$1:$H$651,6,FALSE)+(RAND()*0.00001)</f>
        <v>388.79111633297748</v>
      </c>
      <c r="F19" s="31">
        <f ca="1">E19-VLOOKUP(Settings!$K$2+Settings!$K$4,D$2:E$500,2,FALSE)</f>
        <v>95.31555691515814</v>
      </c>
      <c r="G19" s="138">
        <f t="shared" ca="1" si="1"/>
        <v>18</v>
      </c>
      <c r="H19" s="31">
        <f ca="1">VLOOKUP(A19,Rankings!$B$1:$H$651,7,FALSE)+(RAND()*0.00001)</f>
        <v>3.4772873852637418</v>
      </c>
      <c r="I19" s="31">
        <f ca="1">H19-VLOOKUP(Settings!$K$2+Settings!$K$4,G$2:H$94,2,FALSE)</f>
        <v>3.2518031664852911</v>
      </c>
      <c r="J19" s="31" t="str">
        <f>VLOOKUP(A19,Rankings!B:D,3,FALSE)</f>
        <v>AL</v>
      </c>
    </row>
    <row r="20" spans="1:10" ht="18.600000000000001" customHeight="1">
      <c r="A20" s="26" t="s">
        <v>227</v>
      </c>
      <c r="B20" s="27" t="s">
        <v>176</v>
      </c>
      <c r="C20" s="117" t="s">
        <v>7</v>
      </c>
      <c r="D20" s="138">
        <f t="shared" ca="1" si="0"/>
        <v>20</v>
      </c>
      <c r="E20" s="31">
        <f ca="1">VLOOKUP(A20,Rankings!$B$1:$H$651,6,FALSE)+(RAND()*0.00001)</f>
        <v>384.16778758912159</v>
      </c>
      <c r="F20" s="31">
        <f ca="1">E20-VLOOKUP(Settings!$K$2+Settings!$K$4,D$2:E$500,2,FALSE)</f>
        <v>90.692228171302247</v>
      </c>
      <c r="G20" s="138">
        <f t="shared" ca="1" si="1"/>
        <v>16</v>
      </c>
      <c r="H20" s="31">
        <f ca="1">VLOOKUP(A20,Rankings!$B$1:$H$651,7,FALSE)+(RAND()*0.00001)</f>
        <v>3.9528228783883623</v>
      </c>
      <c r="I20" s="31">
        <f ca="1">H20-VLOOKUP(Settings!$K$2+Settings!$K$4,G$2:H$94,2,FALSE)</f>
        <v>3.7273386596099121</v>
      </c>
      <c r="J20" s="31" t="str">
        <f>VLOOKUP(A20,Rankings!B:D,3,FALSE)</f>
        <v>NL</v>
      </c>
    </row>
    <row r="21" spans="1:10" ht="20.100000000000001" customHeight="1">
      <c r="A21" s="26" t="s">
        <v>366</v>
      </c>
      <c r="B21" s="27" t="s">
        <v>81</v>
      </c>
      <c r="C21" s="117" t="s">
        <v>7</v>
      </c>
      <c r="D21" s="138">
        <f t="shared" ca="1" si="0"/>
        <v>18</v>
      </c>
      <c r="E21" s="31">
        <f ca="1">VLOOKUP(A21,Rankings!$B$1:$H$651,6,FALSE)+(RAND()*0.00001)</f>
        <v>388.28611118703139</v>
      </c>
      <c r="F21" s="31">
        <f ca="1">E21-VLOOKUP(Settings!$K$2+Settings!$K$4,D$2:E$500,2,FALSE)</f>
        <v>94.810551769212054</v>
      </c>
      <c r="G21" s="138">
        <f t="shared" ca="1" si="1"/>
        <v>30</v>
      </c>
      <c r="H21" s="31">
        <f ca="1">VLOOKUP(A21,Rankings!$B$1:$H$651,7,FALSE)+(RAND()*0.00001)</f>
        <v>2.4772680891939181</v>
      </c>
      <c r="I21" s="31">
        <f ca="1">H21-VLOOKUP(Settings!$K$2+Settings!$K$4,G$2:H$94,2,FALSE)</f>
        <v>2.2517838704154673</v>
      </c>
      <c r="J21" s="31" t="str">
        <f>VLOOKUP(A21,Rankings!B:D,3,FALSE)</f>
        <v>NL</v>
      </c>
    </row>
    <row r="22" spans="1:10" ht="20.100000000000001" customHeight="1">
      <c r="A22" s="26" t="s">
        <v>242</v>
      </c>
      <c r="B22" s="27" t="s">
        <v>94</v>
      </c>
      <c r="C22" s="120" t="s">
        <v>15</v>
      </c>
      <c r="D22" s="138">
        <f t="shared" ca="1" si="0"/>
        <v>21</v>
      </c>
      <c r="E22" s="31">
        <f ca="1">VLOOKUP(A22,Rankings!$B$1:$H$651,6,FALSE)+(RAND()*0.00001)</f>
        <v>383.60667612815138</v>
      </c>
      <c r="F22" s="31">
        <f ca="1">E22-VLOOKUP(Settings!$K$2+Settings!$K$4,D$2:E$500,2,FALSE)</f>
        <v>90.131116710332037</v>
      </c>
      <c r="G22" s="138">
        <f t="shared" ca="1" si="1"/>
        <v>27</v>
      </c>
      <c r="H22" s="31">
        <f ca="1">VLOOKUP(A22,Rankings!$B$1:$H$651,7,FALSE)+(RAND()*0.00001)</f>
        <v>2.9056727545699572</v>
      </c>
      <c r="I22" s="31">
        <f ca="1">H22-VLOOKUP(Settings!$K$2+Settings!$K$4,G$2:H$94,2,FALSE)</f>
        <v>2.6801885357915065</v>
      </c>
      <c r="J22" s="31" t="str">
        <f>VLOOKUP(A22,Rankings!B:D,3,FALSE)</f>
        <v>AL</v>
      </c>
    </row>
    <row r="23" spans="1:10" ht="18.600000000000001" customHeight="1">
      <c r="A23" s="26" t="s">
        <v>340</v>
      </c>
      <c r="B23" s="27" t="s">
        <v>97</v>
      </c>
      <c r="C23" s="117" t="s">
        <v>7</v>
      </c>
      <c r="D23" s="138">
        <f t="shared" ca="1" si="0"/>
        <v>22</v>
      </c>
      <c r="E23" s="31">
        <f ca="1">VLOOKUP(A23,Rankings!$B$1:$H$651,6,FALSE)+(RAND()*0.00001)</f>
        <v>382.38278699863713</v>
      </c>
      <c r="F23" s="31">
        <f ca="1">E23-VLOOKUP(Settings!$K$2+Settings!$K$4,D$2:E$500,2,FALSE)</f>
        <v>88.907227580817789</v>
      </c>
      <c r="G23" s="138">
        <f t="shared" ca="1" si="1"/>
        <v>20</v>
      </c>
      <c r="H23" s="31">
        <f ca="1">VLOOKUP(A23,Rankings!$B$1:$H$651,7,FALSE)+(RAND()*0.00001)</f>
        <v>3.3445362495722666</v>
      </c>
      <c r="I23" s="31">
        <f ca="1">H23-VLOOKUP(Settings!$K$2+Settings!$K$4,G$2:H$94,2,FALSE)</f>
        <v>3.1190520307938163</v>
      </c>
      <c r="J23" s="31" t="str">
        <f>VLOOKUP(A23,Rankings!B:D,3,FALSE)</f>
        <v>NL</v>
      </c>
    </row>
    <row r="24" spans="1:10" ht="18.600000000000001" customHeight="1">
      <c r="A24" s="26" t="s">
        <v>251</v>
      </c>
      <c r="B24" s="27" t="s">
        <v>101</v>
      </c>
      <c r="C24" s="120" t="s">
        <v>15</v>
      </c>
      <c r="D24" s="138">
        <f t="shared" ca="1" si="0"/>
        <v>19</v>
      </c>
      <c r="E24" s="31">
        <f ca="1">VLOOKUP(A24,Rankings!$B$1:$H$651,6,FALSE)+(RAND()*0.00001)</f>
        <v>386.13944758613445</v>
      </c>
      <c r="F24" s="31">
        <f ca="1">E24-VLOOKUP(Settings!$K$2+Settings!$K$4,D$2:E$500,2,FALSE)</f>
        <v>92.663888168315111</v>
      </c>
      <c r="G24" s="138">
        <f t="shared" ca="1" si="1"/>
        <v>29</v>
      </c>
      <c r="H24" s="31">
        <f ca="1">VLOOKUP(A24,Rankings!$B$1:$H$651,7,FALSE)+(RAND()*0.00001)</f>
        <v>2.6013134380324696</v>
      </c>
      <c r="I24" s="31">
        <f ca="1">H24-VLOOKUP(Settings!$K$2+Settings!$K$4,G$2:H$94,2,FALSE)</f>
        <v>2.3758292192540189</v>
      </c>
      <c r="J24" s="31" t="str">
        <f>VLOOKUP(A24,Rankings!B:D,3,FALSE)</f>
        <v>AL</v>
      </c>
    </row>
    <row r="25" spans="1:10" ht="18.600000000000001" customHeight="1">
      <c r="A25" s="26" t="s">
        <v>328</v>
      </c>
      <c r="B25" s="27" t="s">
        <v>114</v>
      </c>
      <c r="C25" s="117" t="s">
        <v>7</v>
      </c>
      <c r="D25" s="138">
        <f t="shared" ca="1" si="0"/>
        <v>23</v>
      </c>
      <c r="E25" s="31">
        <f ca="1">VLOOKUP(A25,Rankings!$B$1:$H$651,6,FALSE)+(RAND()*0.00001)</f>
        <v>376.58167407293314</v>
      </c>
      <c r="F25" s="31">
        <f ca="1">E25-VLOOKUP(Settings!$K$2+Settings!$K$4,D$2:E$500,2,FALSE)</f>
        <v>83.106114655113799</v>
      </c>
      <c r="G25" s="138">
        <f t="shared" ca="1" si="1"/>
        <v>22</v>
      </c>
      <c r="H25" s="31">
        <f ca="1">VLOOKUP(A25,Rankings!$B$1:$H$651,7,FALSE)+(RAND()*0.00001)</f>
        <v>3.0608220048551704</v>
      </c>
      <c r="I25" s="31">
        <f ca="1">H25-VLOOKUP(Settings!$K$2+Settings!$K$4,G$2:H$94,2,FALSE)</f>
        <v>2.8353377860767202</v>
      </c>
      <c r="J25" s="31" t="str">
        <f>VLOOKUP(A25,Rankings!B:D,3,FALSE)</f>
        <v>AL</v>
      </c>
    </row>
    <row r="26" spans="1:10" ht="18.600000000000001" customHeight="1">
      <c r="A26" s="26" t="s">
        <v>271</v>
      </c>
      <c r="B26" s="27" t="s">
        <v>99</v>
      </c>
      <c r="C26" s="117" t="s">
        <v>7</v>
      </c>
      <c r="D26" s="138">
        <f t="shared" ca="1" si="0"/>
        <v>24</v>
      </c>
      <c r="E26" s="31">
        <f ca="1">VLOOKUP(A26,Rankings!$B$1:$H$651,6,FALSE)+(RAND()*0.00001)</f>
        <v>375.93222931942989</v>
      </c>
      <c r="F26" s="31">
        <f ca="1">E26-VLOOKUP(Settings!$K$2+Settings!$K$4,D$2:E$500,2,FALSE)</f>
        <v>82.456669901610553</v>
      </c>
      <c r="G26" s="138">
        <f t="shared" ca="1" si="1"/>
        <v>13</v>
      </c>
      <c r="H26" s="31">
        <f ca="1">VLOOKUP(A26,Rankings!$B$1:$H$651,7,FALSE)+(RAND()*0.00001)</f>
        <v>4.0678630428562457</v>
      </c>
      <c r="I26" s="31">
        <f ca="1">H26-VLOOKUP(Settings!$K$2+Settings!$K$4,G$2:H$94,2,FALSE)</f>
        <v>3.8423788240777954</v>
      </c>
      <c r="J26" s="31" t="str">
        <f>VLOOKUP(A26,Rankings!B:D,3,FALSE)</f>
        <v>AL</v>
      </c>
    </row>
    <row r="27" spans="1:10" ht="18.600000000000001" customHeight="1">
      <c r="A27" s="26" t="s">
        <v>284</v>
      </c>
      <c r="B27" s="27" t="s">
        <v>71</v>
      </c>
      <c r="C27" s="117" t="s">
        <v>7</v>
      </c>
      <c r="D27" s="138">
        <f t="shared" ca="1" si="0"/>
        <v>25</v>
      </c>
      <c r="E27" s="31">
        <f ca="1">VLOOKUP(A27,Rankings!$B$1:$H$651,6,FALSE)+(RAND()*0.00001)</f>
        <v>374.00222840724803</v>
      </c>
      <c r="F27" s="31">
        <f ca="1">E27-VLOOKUP(Settings!$K$2+Settings!$K$4,D$2:E$500,2,FALSE)</f>
        <v>80.526668989428686</v>
      </c>
      <c r="G27" s="138">
        <f t="shared" ca="1" si="1"/>
        <v>23</v>
      </c>
      <c r="H27" s="31">
        <f ca="1">VLOOKUP(A27,Rankings!$B$1:$H$651,7,FALSE)+(RAND()*0.00001)</f>
        <v>3.0069369450888859</v>
      </c>
      <c r="I27" s="31">
        <f ca="1">H27-VLOOKUP(Settings!$K$2+Settings!$K$4,G$2:H$94,2,FALSE)</f>
        <v>2.7814527263104356</v>
      </c>
      <c r="J27" s="31" t="str">
        <f>VLOOKUP(A27,Rankings!B:D,3,FALSE)</f>
        <v>AL</v>
      </c>
    </row>
    <row r="28" spans="1:10" ht="18.600000000000001" customHeight="1">
      <c r="A28" s="26" t="s">
        <v>213</v>
      </c>
      <c r="B28" s="27" t="s">
        <v>99</v>
      </c>
      <c r="C28" s="120" t="s">
        <v>15</v>
      </c>
      <c r="D28" s="138">
        <f t="shared" ca="1" si="0"/>
        <v>28</v>
      </c>
      <c r="E28" s="31">
        <f ca="1">VLOOKUP(A28,Rankings!$B$1:$H$651,6,FALSE)+(RAND()*0.00001)</f>
        <v>362.8661207454511</v>
      </c>
      <c r="F28" s="31">
        <f ca="1">E28-VLOOKUP(Settings!$K$2+Settings!$K$4,D$2:E$500,2,FALSE)</f>
        <v>69.390561327631758</v>
      </c>
      <c r="G28" s="138">
        <f t="shared" ca="1" si="1"/>
        <v>25</v>
      </c>
      <c r="H28" s="31">
        <f ca="1">VLOOKUP(A28,Rankings!$B$1:$H$651,7,FALSE)+(RAND()*0.00001)</f>
        <v>2.931919963010015</v>
      </c>
      <c r="I28" s="31">
        <f ca="1">H28-VLOOKUP(Settings!$K$2+Settings!$K$4,G$2:H$94,2,FALSE)</f>
        <v>2.7064357442315643</v>
      </c>
      <c r="J28" s="31" t="str">
        <f>VLOOKUP(A28,Rankings!B:D,3,FALSE)</f>
        <v>AL</v>
      </c>
    </row>
    <row r="29" spans="1:10" ht="20.100000000000001" customHeight="1">
      <c r="A29" s="26" t="s">
        <v>203</v>
      </c>
      <c r="B29" s="27" t="s">
        <v>176</v>
      </c>
      <c r="C29" s="120" t="s">
        <v>15</v>
      </c>
      <c r="D29" s="138">
        <f t="shared" ca="1" si="0"/>
        <v>27</v>
      </c>
      <c r="E29" s="31">
        <f ca="1">VLOOKUP(A29,Rankings!$B$1:$H$651,6,FALSE)+(RAND()*0.00001)</f>
        <v>364.93834273289042</v>
      </c>
      <c r="F29" s="31">
        <f ca="1">E29-VLOOKUP(Settings!$K$2+Settings!$K$4,D$2:E$500,2,FALSE)</f>
        <v>71.462783315071079</v>
      </c>
      <c r="G29" s="138">
        <f t="shared" ca="1" si="1"/>
        <v>21</v>
      </c>
      <c r="H29" s="31">
        <f ca="1">VLOOKUP(A29,Rankings!$B$1:$H$651,7,FALSE)+(RAND()*0.00001)</f>
        <v>3.1300328897319298</v>
      </c>
      <c r="I29" s="31">
        <f ca="1">H29-VLOOKUP(Settings!$K$2+Settings!$K$4,G$2:H$94,2,FALSE)</f>
        <v>2.9045486709534796</v>
      </c>
      <c r="J29" s="31" t="str">
        <f>VLOOKUP(A29,Rankings!B:D,3,FALSE)</f>
        <v>NL</v>
      </c>
    </row>
    <row r="30" spans="1:10" ht="18.600000000000001" customHeight="1">
      <c r="A30" s="26" t="s">
        <v>249</v>
      </c>
      <c r="B30" s="27" t="s">
        <v>91</v>
      </c>
      <c r="C30" s="120" t="s">
        <v>15</v>
      </c>
      <c r="D30" s="138">
        <f t="shared" ca="1" si="0"/>
        <v>26</v>
      </c>
      <c r="E30" s="31">
        <f ca="1">VLOOKUP(A30,Rankings!$B$1:$H$651,6,FALSE)+(RAND()*0.00001)</f>
        <v>371.81049409955273</v>
      </c>
      <c r="F30" s="31">
        <f ca="1">E30-VLOOKUP(Settings!$K$2+Settings!$K$4,D$2:E$500,2,FALSE)</f>
        <v>78.334934681733387</v>
      </c>
      <c r="G30" s="138">
        <f t="shared" ca="1" si="1"/>
        <v>19</v>
      </c>
      <c r="H30" s="31">
        <f ca="1">VLOOKUP(A30,Rankings!$B$1:$H$651,7,FALSE)+(RAND()*0.00001)</f>
        <v>3.4160572532944773</v>
      </c>
      <c r="I30" s="31">
        <f ca="1">H30-VLOOKUP(Settings!$K$2+Settings!$K$4,G$2:H$94,2,FALSE)</f>
        <v>3.190573034516027</v>
      </c>
      <c r="J30" s="31" t="str">
        <f>VLOOKUP(A30,Rankings!B:D,3,FALSE)</f>
        <v>NL</v>
      </c>
    </row>
    <row r="31" spans="1:10" ht="18.600000000000001" customHeight="1">
      <c r="A31" s="26" t="s">
        <v>339</v>
      </c>
      <c r="B31" s="27" t="s">
        <v>76</v>
      </c>
      <c r="C31" s="117" t="s">
        <v>7</v>
      </c>
      <c r="D31" s="138">
        <f t="shared" ca="1" si="0"/>
        <v>29</v>
      </c>
      <c r="E31" s="31">
        <f ca="1">VLOOKUP(A31,Rankings!$B$1:$H$651,6,FALSE)+(RAND()*0.00001)</f>
        <v>359.57056096207072</v>
      </c>
      <c r="F31" s="31">
        <f ca="1">E31-VLOOKUP(Settings!$K$2+Settings!$K$4,D$2:E$500,2,FALSE)</f>
        <v>66.095001544251375</v>
      </c>
      <c r="G31" s="138">
        <f t="shared" ca="1" si="1"/>
        <v>26</v>
      </c>
      <c r="H31" s="31">
        <f ca="1">VLOOKUP(A31,Rankings!$B$1:$H$651,7,FALSE)+(RAND()*0.00001)</f>
        <v>2.9215665460482931</v>
      </c>
      <c r="I31" s="31">
        <f ca="1">H31-VLOOKUP(Settings!$K$2+Settings!$K$4,G$2:H$94,2,FALSE)</f>
        <v>2.6960823272698429</v>
      </c>
      <c r="J31" s="31" t="str">
        <f>VLOOKUP(A31,Rankings!B:D,3,FALSE)</f>
        <v>AL</v>
      </c>
    </row>
    <row r="32" spans="1:10" ht="18.600000000000001" customHeight="1">
      <c r="A32" s="26" t="s">
        <v>228</v>
      </c>
      <c r="B32" s="27" t="s">
        <v>137</v>
      </c>
      <c r="C32" s="120" t="s">
        <v>15</v>
      </c>
      <c r="D32" s="138">
        <f t="shared" ca="1" si="0"/>
        <v>30</v>
      </c>
      <c r="E32" s="31">
        <f ca="1">VLOOKUP(A32,Rankings!$B$1:$H$651,6,FALSE)+(RAND()*0.00001)</f>
        <v>355.87611418435768</v>
      </c>
      <c r="F32" s="31">
        <f ca="1">E32-VLOOKUP(Settings!$K$2+Settings!$K$4,D$2:E$500,2,FALSE)</f>
        <v>62.400554766538335</v>
      </c>
      <c r="G32" s="138">
        <f t="shared" ca="1" si="1"/>
        <v>24</v>
      </c>
      <c r="H32" s="31">
        <f ca="1">VLOOKUP(A32,Rankings!$B$1:$H$651,7,FALSE)+(RAND()*0.00001)</f>
        <v>2.9466517196693132</v>
      </c>
      <c r="I32" s="31">
        <f ca="1">H32-VLOOKUP(Settings!$K$2+Settings!$K$4,G$2:H$94,2,FALSE)</f>
        <v>2.7211675008908625</v>
      </c>
      <c r="J32" s="31" t="str">
        <f>VLOOKUP(A32,Rankings!B:D,3,FALSE)</f>
        <v>NL</v>
      </c>
    </row>
    <row r="33" spans="1:10" ht="18.600000000000001" customHeight="1">
      <c r="A33" s="26" t="s">
        <v>365</v>
      </c>
      <c r="B33" s="27" t="s">
        <v>156</v>
      </c>
      <c r="C33" s="117" t="s">
        <v>7</v>
      </c>
      <c r="D33" s="138">
        <f t="shared" ca="1" si="0"/>
        <v>32</v>
      </c>
      <c r="E33" s="31">
        <f ca="1">VLOOKUP(A33,Rankings!$B$1:$H$651,6,FALSE)+(RAND()*0.00001)</f>
        <v>344.37111313644408</v>
      </c>
      <c r="F33" s="31">
        <f ca="1">E33-VLOOKUP(Settings!$K$2+Settings!$K$4,D$2:E$500,2,FALSE)</f>
        <v>50.89555371862474</v>
      </c>
      <c r="G33" s="138">
        <f t="shared" ca="1" si="1"/>
        <v>32</v>
      </c>
      <c r="H33" s="31">
        <f ca="1">VLOOKUP(A33,Rankings!$B$1:$H$651,7,FALSE)+(RAND()*0.00001)</f>
        <v>2.1700935712100229</v>
      </c>
      <c r="I33" s="31">
        <f ca="1">H33-VLOOKUP(Settings!$K$2+Settings!$K$4,G$2:H$94,2,FALSE)</f>
        <v>1.9446093524315724</v>
      </c>
      <c r="J33" s="31" t="str">
        <f>VLOOKUP(A33,Rankings!B:D,3,FALSE)</f>
        <v>AL</v>
      </c>
    </row>
    <row r="34" spans="1:10" ht="20.100000000000001" customHeight="1">
      <c r="A34" s="26" t="s">
        <v>329</v>
      </c>
      <c r="B34" s="27" t="s">
        <v>84</v>
      </c>
      <c r="C34" s="120" t="s">
        <v>15</v>
      </c>
      <c r="D34" s="138">
        <f t="shared" ref="D34:D65" ca="1" si="2">RANK(E34,E$2:E$500)</f>
        <v>33</v>
      </c>
      <c r="E34" s="31">
        <f ca="1">VLOOKUP(A34,Rankings!$B$1:$H$651,6,FALSE)+(RAND()*0.00001)</f>
        <v>341.29944658923648</v>
      </c>
      <c r="F34" s="31">
        <f ca="1">E34-VLOOKUP(Settings!$K$2+Settings!$K$4,D$2:E$500,2,FALSE)</f>
        <v>47.823887171417141</v>
      </c>
      <c r="G34" s="138">
        <f t="shared" ref="G34:G65" ca="1" si="3">RANK(H34,H$2:H$500)</f>
        <v>36</v>
      </c>
      <c r="H34" s="31">
        <f ca="1">VLOOKUP(A34,Rankings!$B$1:$H$651,7,FALSE)+(RAND()*0.00001)</f>
        <v>1.4191641150913892</v>
      </c>
      <c r="I34" s="31">
        <f ca="1">H34-VLOOKUP(Settings!$K$2+Settings!$K$4,G$2:H$94,2,FALSE)</f>
        <v>1.1936798963129387</v>
      </c>
      <c r="J34" s="31" t="str">
        <f>VLOOKUP(A34,Rankings!B:D,3,FALSE)</f>
        <v>AL</v>
      </c>
    </row>
    <row r="35" spans="1:10" ht="20.100000000000001" customHeight="1">
      <c r="A35" s="26" t="s">
        <v>371</v>
      </c>
      <c r="B35" s="27" t="s">
        <v>81</v>
      </c>
      <c r="C35" s="117" t="s">
        <v>7</v>
      </c>
      <c r="D35" s="138">
        <f t="shared" ca="1" si="2"/>
        <v>36</v>
      </c>
      <c r="E35" s="31">
        <f ca="1">VLOOKUP(A35,Rankings!$B$1:$H$651,6,FALSE)+(RAND()*0.00001)</f>
        <v>331.39600500462291</v>
      </c>
      <c r="F35" s="31">
        <f ca="1">E35-VLOOKUP(Settings!$K$2+Settings!$K$4,D$2:E$500,2,FALSE)</f>
        <v>37.920445586803567</v>
      </c>
      <c r="G35" s="138">
        <f t="shared" ca="1" si="3"/>
        <v>31</v>
      </c>
      <c r="H35" s="31">
        <f ca="1">VLOOKUP(A35,Rankings!$B$1:$H$651,7,FALSE)+(RAND()*0.00001)</f>
        <v>2.2252091822836833</v>
      </c>
      <c r="I35" s="31">
        <f ca="1">H35-VLOOKUP(Settings!$K$2+Settings!$K$4,G$2:H$94,2,FALSE)</f>
        <v>1.9997249635052328</v>
      </c>
      <c r="J35" s="31" t="str">
        <f>VLOOKUP(A35,Rankings!B:D,3,FALSE)</f>
        <v>NL</v>
      </c>
    </row>
    <row r="36" spans="1:10" ht="18.600000000000001" customHeight="1">
      <c r="A36" s="26" t="s">
        <v>270</v>
      </c>
      <c r="B36" s="27" t="s">
        <v>71</v>
      </c>
      <c r="C36" s="120" t="s">
        <v>15</v>
      </c>
      <c r="D36" s="138">
        <f t="shared" ca="1" si="2"/>
        <v>34</v>
      </c>
      <c r="E36" s="31">
        <f ca="1">VLOOKUP(A36,Rankings!$B$1:$H$651,6,FALSE)+(RAND()*0.00001)</f>
        <v>339.69611393334333</v>
      </c>
      <c r="F36" s="31">
        <f ca="1">E36-VLOOKUP(Settings!$K$2+Settings!$K$4,D$2:E$500,2,FALSE)</f>
        <v>46.220554515523986</v>
      </c>
      <c r="G36" s="138">
        <f t="shared" ca="1" si="3"/>
        <v>39</v>
      </c>
      <c r="H36" s="31">
        <f ca="1">VLOOKUP(A36,Rankings!$B$1:$H$651,7,FALSE)+(RAND()*0.00001)</f>
        <v>1.2529365471669722</v>
      </c>
      <c r="I36" s="31">
        <f ca="1">H36-VLOOKUP(Settings!$K$2+Settings!$K$4,G$2:H$94,2,FALSE)</f>
        <v>1.0274523283885217</v>
      </c>
      <c r="J36" s="31" t="str">
        <f>VLOOKUP(A36,Rankings!B:D,3,FALSE)</f>
        <v>AL</v>
      </c>
    </row>
    <row r="37" spans="1:10" ht="18.600000000000001" customHeight="1">
      <c r="A37" s="26" t="s">
        <v>248</v>
      </c>
      <c r="B37" s="27" t="s">
        <v>103</v>
      </c>
      <c r="C37" s="120" t="s">
        <v>15</v>
      </c>
      <c r="D37" s="138">
        <f t="shared" ca="1" si="2"/>
        <v>35</v>
      </c>
      <c r="E37" s="31">
        <f ca="1">VLOOKUP(A37,Rankings!$B$1:$H$651,6,FALSE)+(RAND()*0.00001)</f>
        <v>332.25444892050615</v>
      </c>
      <c r="F37" s="31">
        <f ca="1">E37-VLOOKUP(Settings!$K$2+Settings!$K$4,D$2:E$500,2,FALSE)</f>
        <v>38.778889502686809</v>
      </c>
      <c r="G37" s="138">
        <f t="shared" ca="1" si="3"/>
        <v>34</v>
      </c>
      <c r="H37" s="31">
        <f ca="1">VLOOKUP(A37,Rankings!$B$1:$H$651,7,FALSE)+(RAND()*0.00001)</f>
        <v>1.8133476342953931</v>
      </c>
      <c r="I37" s="31">
        <f ca="1">H37-VLOOKUP(Settings!$K$2+Settings!$K$4,G$2:H$94,2,FALSE)</f>
        <v>1.5878634155169427</v>
      </c>
      <c r="J37" s="31" t="str">
        <f>VLOOKUP(A37,Rankings!B:D,3,FALSE)</f>
        <v>AL</v>
      </c>
    </row>
    <row r="38" spans="1:10" ht="18.600000000000001" customHeight="1">
      <c r="A38" s="26" t="s">
        <v>399</v>
      </c>
      <c r="B38" s="27" t="s">
        <v>306</v>
      </c>
      <c r="C38" s="117" t="s">
        <v>7</v>
      </c>
      <c r="D38" s="138">
        <f t="shared" ca="1" si="2"/>
        <v>37</v>
      </c>
      <c r="E38" s="31">
        <f ca="1">VLOOKUP(A38,Rankings!$B$1:$H$651,6,FALSE)+(RAND()*0.00001)</f>
        <v>327.95667105696276</v>
      </c>
      <c r="F38" s="31">
        <f ca="1">E38-VLOOKUP(Settings!$K$2+Settings!$K$4,D$2:E$500,2,FALSE)</f>
        <v>34.481111639143421</v>
      </c>
      <c r="G38" s="138">
        <f t="shared" ca="1" si="3"/>
        <v>33</v>
      </c>
      <c r="H38" s="31">
        <f ca="1">VLOOKUP(A38,Rankings!$B$1:$H$651,7,FALSE)+(RAND()*0.00001)</f>
        <v>2.0056108951843301</v>
      </c>
      <c r="I38" s="31">
        <f ca="1">H38-VLOOKUP(Settings!$K$2+Settings!$K$4,G$2:H$94,2,FALSE)</f>
        <v>1.7801266764058796</v>
      </c>
      <c r="J38" s="31" t="str">
        <f>VLOOKUP(A38,Rankings!B:D,3,FALSE)</f>
        <v>NL</v>
      </c>
    </row>
    <row r="39" spans="1:10" ht="18.600000000000001" customHeight="1">
      <c r="A39" s="26" t="s">
        <v>349</v>
      </c>
      <c r="B39" s="27" t="s">
        <v>114</v>
      </c>
      <c r="C39" s="120" t="s">
        <v>15</v>
      </c>
      <c r="D39" s="138">
        <f t="shared" ca="1" si="2"/>
        <v>38</v>
      </c>
      <c r="E39" s="31">
        <f ca="1">VLOOKUP(A39,Rankings!$B$1:$H$651,6,FALSE)+(RAND()*0.00001)</f>
        <v>323.10389825384567</v>
      </c>
      <c r="F39" s="31">
        <f ca="1">E39-VLOOKUP(Settings!$K$2+Settings!$K$4,D$2:E$500,2,FALSE)</f>
        <v>29.62833883602633</v>
      </c>
      <c r="G39" s="138">
        <f t="shared" ca="1" si="3"/>
        <v>41</v>
      </c>
      <c r="H39" s="31">
        <f ca="1">VLOOKUP(A39,Rankings!$B$1:$H$651,7,FALSE)+(RAND()*0.00001)</f>
        <v>1.039869213657318</v>
      </c>
      <c r="I39" s="31">
        <f ca="1">H39-VLOOKUP(Settings!$K$2+Settings!$K$4,G$2:H$94,2,FALSE)</f>
        <v>0.81438499487886751</v>
      </c>
      <c r="J39" s="31" t="str">
        <f>VLOOKUP(A39,Rankings!B:D,3,FALSE)</f>
        <v>AL</v>
      </c>
    </row>
    <row r="40" spans="1:10" ht="18.600000000000001" customHeight="1">
      <c r="A40" s="26" t="s">
        <v>474</v>
      </c>
      <c r="B40" s="27" t="s">
        <v>103</v>
      </c>
      <c r="C40" s="117" t="s">
        <v>7</v>
      </c>
      <c r="D40" s="138">
        <f t="shared" ca="1" si="2"/>
        <v>31</v>
      </c>
      <c r="E40" s="31">
        <f ca="1">VLOOKUP(A40,Rankings!$B$1:$H$651,6,FALSE)+(RAND()*0.00001)</f>
        <v>346.57167642630117</v>
      </c>
      <c r="F40" s="31">
        <f ca="1">E40-VLOOKUP(Settings!$K$2+Settings!$K$4,D$2:E$500,2,FALSE)</f>
        <v>53.096117008481826</v>
      </c>
      <c r="G40" s="138">
        <f t="shared" ca="1" si="3"/>
        <v>37</v>
      </c>
      <c r="H40" s="31">
        <f ca="1">VLOOKUP(A40,Rankings!$B$1:$H$651,7,FALSE)+(RAND()*0.00001)</f>
        <v>1.3412182797970365</v>
      </c>
      <c r="I40" s="31">
        <f ca="1">H40-VLOOKUP(Settings!$K$2+Settings!$K$4,G$2:H$94,2,FALSE)</f>
        <v>1.115734061018586</v>
      </c>
      <c r="J40" s="31" t="str">
        <f>VLOOKUP(A40,Rankings!B:D,3,FALSE)</f>
        <v>AL</v>
      </c>
    </row>
    <row r="41" spans="1:10" ht="20.100000000000001" customHeight="1">
      <c r="A41" s="26" t="s">
        <v>587</v>
      </c>
      <c r="B41" s="27" t="s">
        <v>137</v>
      </c>
      <c r="C41" s="117" t="s">
        <v>7</v>
      </c>
      <c r="D41" s="138">
        <f t="shared" ca="1" si="2"/>
        <v>39</v>
      </c>
      <c r="E41" s="31">
        <f ca="1">VLOOKUP(A41,Rankings!$B$1:$H$651,6,FALSE)+(RAND()*0.00001)</f>
        <v>307.7061196128065</v>
      </c>
      <c r="F41" s="31">
        <f ca="1">E41-VLOOKUP(Settings!$K$2+Settings!$K$4,D$2:E$500,2,FALSE)</f>
        <v>14.230560194987163</v>
      </c>
      <c r="G41" s="138">
        <f t="shared" ca="1" si="3"/>
        <v>62</v>
      </c>
      <c r="H41" s="31">
        <f ca="1">VLOOKUP(A41,Rankings!$B$1:$H$651,7,FALSE)+(RAND()*0.00001)</f>
        <v>-1.0137755348405204</v>
      </c>
      <c r="I41" s="31">
        <f ca="1">H41-VLOOKUP(Settings!$K$2+Settings!$K$4,G$2:H$94,2,FALSE)</f>
        <v>-1.2392597536189709</v>
      </c>
      <c r="J41" s="31" t="str">
        <f>VLOOKUP(A41,Rankings!B:D,3,FALSE)</f>
        <v>NL</v>
      </c>
    </row>
    <row r="42" spans="1:10" ht="18.600000000000001" customHeight="1">
      <c r="A42" s="26" t="s">
        <v>360</v>
      </c>
      <c r="B42" s="27" t="s">
        <v>63</v>
      </c>
      <c r="C42" s="120" t="s">
        <v>15</v>
      </c>
      <c r="D42" s="138">
        <f t="shared" ca="1" si="2"/>
        <v>41</v>
      </c>
      <c r="E42" s="31">
        <f ca="1">VLOOKUP(A42,Rankings!$B$1:$H$651,6,FALSE)+(RAND()*0.00001)</f>
        <v>306.84500164082328</v>
      </c>
      <c r="F42" s="31">
        <f ca="1">E42-VLOOKUP(Settings!$K$2+Settings!$K$4,D$2:E$500,2,FALSE)</f>
        <v>13.369442223003944</v>
      </c>
      <c r="G42" s="138">
        <f t="shared" ca="1" si="3"/>
        <v>45</v>
      </c>
      <c r="H42" s="31">
        <f ca="1">VLOOKUP(A42,Rankings!$B$1:$H$651,7,FALSE)+(RAND()*0.00001)</f>
        <v>0.69806942494938617</v>
      </c>
      <c r="I42" s="31">
        <f ca="1">H42-VLOOKUP(Settings!$K$2+Settings!$K$4,G$2:H$94,2,FALSE)</f>
        <v>0.47258520617093569</v>
      </c>
      <c r="J42" s="31" t="str">
        <f>VLOOKUP(A42,Rankings!B:D,3,FALSE)</f>
        <v>NL</v>
      </c>
    </row>
    <row r="43" spans="1:10" ht="18.600000000000001" customHeight="1">
      <c r="A43" s="26" t="s">
        <v>374</v>
      </c>
      <c r="B43" s="27" t="s">
        <v>86</v>
      </c>
      <c r="C43" s="120" t="s">
        <v>15</v>
      </c>
      <c r="D43" s="138">
        <f t="shared" ca="1" si="2"/>
        <v>49</v>
      </c>
      <c r="E43" s="31">
        <f ca="1">VLOOKUP(A43,Rankings!$B$1:$H$651,6,FALSE)+(RAND()*0.00001)</f>
        <v>292.51600197505792</v>
      </c>
      <c r="F43" s="31">
        <f ca="1">E43-VLOOKUP(Settings!$K$2+Settings!$K$4,D$2:E$500,2,FALSE)</f>
        <v>-0.95955744276142241</v>
      </c>
      <c r="G43" s="138">
        <f t="shared" ca="1" si="3"/>
        <v>42</v>
      </c>
      <c r="H43" s="31">
        <f ca="1">VLOOKUP(A43,Rankings!$B$1:$H$651,7,FALSE)+(RAND()*0.00001)</f>
        <v>0.95309420732156835</v>
      </c>
      <c r="I43" s="31">
        <f ca="1">H43-VLOOKUP(Settings!$K$2+Settings!$K$4,G$2:H$94,2,FALSE)</f>
        <v>0.72760998854311787</v>
      </c>
      <c r="J43" s="31" t="str">
        <f>VLOOKUP(A43,Rankings!B:D,3,FALSE)</f>
        <v>AL</v>
      </c>
    </row>
    <row r="44" spans="1:10" ht="18.600000000000001" customHeight="1">
      <c r="A44" s="26" t="s">
        <v>469</v>
      </c>
      <c r="B44" s="27" t="s">
        <v>140</v>
      </c>
      <c r="C44" s="117" t="s">
        <v>7</v>
      </c>
      <c r="D44" s="138">
        <f t="shared" ca="1" si="2"/>
        <v>40</v>
      </c>
      <c r="E44" s="31">
        <f ca="1">VLOOKUP(A44,Rankings!$B$1:$H$651,6,FALSE)+(RAND()*0.00001)</f>
        <v>307.6666694725763</v>
      </c>
      <c r="F44" s="31">
        <f ca="1">E44-VLOOKUP(Settings!$K$2+Settings!$K$4,D$2:E$500,2,FALSE)</f>
        <v>14.191110054756962</v>
      </c>
      <c r="G44" s="138">
        <f t="shared" ca="1" si="3"/>
        <v>40</v>
      </c>
      <c r="H44" s="31">
        <f ca="1">VLOOKUP(A44,Rankings!$B$1:$H$651,7,FALSE)+(RAND()*0.00001)</f>
        <v>1.203518966748093</v>
      </c>
      <c r="I44" s="31">
        <f ca="1">H44-VLOOKUP(Settings!$K$2+Settings!$K$4,G$2:H$94,2,FALSE)</f>
        <v>0.97803474796964252</v>
      </c>
      <c r="J44" s="31" t="str">
        <f>VLOOKUP(A44,Rankings!B:D,3,FALSE)</f>
        <v>AL</v>
      </c>
    </row>
    <row r="45" spans="1:10" ht="20.100000000000001" customHeight="1">
      <c r="A45" s="26" t="s">
        <v>376</v>
      </c>
      <c r="B45" s="27" t="s">
        <v>223</v>
      </c>
      <c r="C45" s="117" t="s">
        <v>7</v>
      </c>
      <c r="D45" s="138">
        <f t="shared" ca="1" si="2"/>
        <v>42</v>
      </c>
      <c r="E45" s="31">
        <f ca="1">VLOOKUP(A45,Rankings!$B$1:$H$651,6,FALSE)+(RAND()*0.00001)</f>
        <v>302.91778286302491</v>
      </c>
      <c r="F45" s="31">
        <f ca="1">E45-VLOOKUP(Settings!$K$2+Settings!$K$4,D$2:E$500,2,FALSE)</f>
        <v>9.4422234452055704</v>
      </c>
      <c r="G45" s="138">
        <f t="shared" ca="1" si="3"/>
        <v>35</v>
      </c>
      <c r="H45" s="31">
        <f ca="1">VLOOKUP(A45,Rankings!$B$1:$H$651,7,FALSE)+(RAND()*0.00001)</f>
        <v>1.4424265095675644</v>
      </c>
      <c r="I45" s="31">
        <f ca="1">H45-VLOOKUP(Settings!$K$2+Settings!$K$4,G$2:H$94,2,FALSE)</f>
        <v>1.2169422907891139</v>
      </c>
      <c r="J45" s="31" t="str">
        <f>VLOOKUP(A45,Rankings!B:D,3,FALSE)</f>
        <v>NL</v>
      </c>
    </row>
    <row r="46" spans="1:10" ht="18.600000000000001" customHeight="1">
      <c r="A46" s="26" t="s">
        <v>385</v>
      </c>
      <c r="B46" s="27" t="s">
        <v>306</v>
      </c>
      <c r="C46" s="120" t="s">
        <v>15</v>
      </c>
      <c r="D46" s="138">
        <f t="shared" ca="1" si="2"/>
        <v>43</v>
      </c>
      <c r="E46" s="31">
        <f ca="1">VLOOKUP(A46,Rankings!$B$1:$H$651,6,FALSE)+(RAND()*0.00001)</f>
        <v>301.38945291642642</v>
      </c>
      <c r="F46" s="31">
        <f ca="1">E46-VLOOKUP(Settings!$K$2+Settings!$K$4,D$2:E$500,2,FALSE)</f>
        <v>7.9138934986070808</v>
      </c>
      <c r="G46" s="138">
        <f t="shared" ca="1" si="3"/>
        <v>51</v>
      </c>
      <c r="H46" s="31">
        <f ca="1">VLOOKUP(A46,Rankings!$B$1:$H$651,7,FALSE)+(RAND()*0.00001)</f>
        <v>1.1631913040439238E-2</v>
      </c>
      <c r="I46" s="31">
        <f ca="1">H46-VLOOKUP(Settings!$K$2+Settings!$K$4,G$2:H$94,2,FALSE)</f>
        <v>-0.21385230573801126</v>
      </c>
      <c r="J46" s="31" t="str">
        <f>VLOOKUP(A46,Rankings!B:D,3,FALSE)</f>
        <v>NL</v>
      </c>
    </row>
    <row r="47" spans="1:10" ht="20.100000000000001" customHeight="1">
      <c r="A47" s="26" t="s">
        <v>285</v>
      </c>
      <c r="B47" s="27" t="s">
        <v>91</v>
      </c>
      <c r="C47" s="120" t="s">
        <v>15</v>
      </c>
      <c r="D47" s="138">
        <f t="shared" ca="1" si="2"/>
        <v>51</v>
      </c>
      <c r="E47" s="31">
        <f ca="1">VLOOKUP(A47,Rankings!$B$1:$H$651,6,FALSE)+(RAND()*0.00001)</f>
        <v>291.60300188956063</v>
      </c>
      <c r="F47" s="31">
        <f ca="1">E47-VLOOKUP(Settings!$K$2+Settings!$K$4,D$2:E$500,2,FALSE)</f>
        <v>-1.8725575282587101</v>
      </c>
      <c r="G47" s="138">
        <f t="shared" ca="1" si="3"/>
        <v>46</v>
      </c>
      <c r="H47" s="31">
        <f ca="1">VLOOKUP(A47,Rankings!$B$1:$H$651,7,FALSE)+(RAND()*0.00001)</f>
        <v>0.62212829738473885</v>
      </c>
      <c r="I47" s="31">
        <f ca="1">H47-VLOOKUP(Settings!$K$2+Settings!$K$4,G$2:H$94,2,FALSE)</f>
        <v>0.39664407860628836</v>
      </c>
      <c r="J47" s="31" t="str">
        <f>VLOOKUP(A47,Rankings!B:D,3,FALSE)</f>
        <v>NL</v>
      </c>
    </row>
    <row r="48" spans="1:10" ht="20.100000000000001" customHeight="1">
      <c r="A48" s="26" t="s">
        <v>341</v>
      </c>
      <c r="B48" s="27" t="s">
        <v>123</v>
      </c>
      <c r="C48" s="120" t="s">
        <v>15</v>
      </c>
      <c r="D48" s="138">
        <f t="shared" ca="1" si="2"/>
        <v>47</v>
      </c>
      <c r="E48" s="31">
        <f ca="1">VLOOKUP(A48,Rankings!$B$1:$H$651,6,FALSE)+(RAND()*0.00001)</f>
        <v>294.06000689004992</v>
      </c>
      <c r="F48" s="31">
        <f ca="1">E48-VLOOKUP(Settings!$K$2+Settings!$K$4,D$2:E$500,2,FALSE)</f>
        <v>0.58444747223057902</v>
      </c>
      <c r="G48" s="138">
        <f t="shared" ca="1" si="3"/>
        <v>48</v>
      </c>
      <c r="H48" s="31">
        <f ca="1">VLOOKUP(A48,Rankings!$B$1:$H$651,7,FALSE)+(RAND()*0.00001)</f>
        <v>0.22548421877845048</v>
      </c>
      <c r="I48" s="31">
        <f ca="1">H48-VLOOKUP(Settings!$K$2+Settings!$K$4,G$2:H$94,2,FALSE)</f>
        <v>0</v>
      </c>
      <c r="J48" s="31" t="str">
        <f>VLOOKUP(A48,Rankings!B:D,3,FALSE)</f>
        <v>NL</v>
      </c>
    </row>
    <row r="49" spans="1:10" ht="20.100000000000001" customHeight="1">
      <c r="A49" s="26" t="s">
        <v>521</v>
      </c>
      <c r="B49" s="27" t="s">
        <v>101</v>
      </c>
      <c r="C49" s="117" t="s">
        <v>7</v>
      </c>
      <c r="D49" s="138">
        <f t="shared" ca="1" si="2"/>
        <v>50</v>
      </c>
      <c r="E49" s="31">
        <f ca="1">VLOOKUP(A49,Rankings!$B$1:$H$651,6,FALSE)+(RAND()*0.00001)</f>
        <v>291.94333611793331</v>
      </c>
      <c r="F49" s="31">
        <f ca="1">E49-VLOOKUP(Settings!$K$2+Settings!$K$4,D$2:E$500,2,FALSE)</f>
        <v>-1.5322232998860272</v>
      </c>
      <c r="G49" s="138">
        <f t="shared" ca="1" si="3"/>
        <v>55</v>
      </c>
      <c r="H49" s="31">
        <f ca="1">VLOOKUP(A49,Rankings!$B$1:$H$651,7,FALSE)+(RAND()*0.00001)</f>
        <v>-0.49067526915121501</v>
      </c>
      <c r="I49" s="31">
        <f ca="1">H49-VLOOKUP(Settings!$K$2+Settings!$K$4,G$2:H$94,2,FALSE)</f>
        <v>-0.71615948792966555</v>
      </c>
      <c r="J49" s="31" t="str">
        <f>VLOOKUP(A49,Rankings!B:D,3,FALSE)</f>
        <v>AL</v>
      </c>
    </row>
    <row r="50" spans="1:10" ht="20.100000000000001" customHeight="1">
      <c r="A50" s="26" t="s">
        <v>302</v>
      </c>
      <c r="B50" s="27" t="s">
        <v>84</v>
      </c>
      <c r="C50" s="120" t="s">
        <v>15</v>
      </c>
      <c r="D50" s="138">
        <f t="shared" ca="1" si="2"/>
        <v>48</v>
      </c>
      <c r="E50" s="31">
        <f ca="1">VLOOKUP(A50,Rankings!$B$1:$H$651,6,FALSE)+(RAND()*0.00001)</f>
        <v>293.47555941781934</v>
      </c>
      <c r="F50" s="31">
        <f ca="1">E50-VLOOKUP(Settings!$K$2+Settings!$K$4,D$2:E$500,2,FALSE)</f>
        <v>0</v>
      </c>
      <c r="G50" s="138">
        <f t="shared" ca="1" si="3"/>
        <v>44</v>
      </c>
      <c r="H50" s="31">
        <f ca="1">VLOOKUP(A50,Rankings!$B$1:$H$651,7,FALSE)+(RAND()*0.00001)</f>
        <v>0.73468875841622883</v>
      </c>
      <c r="I50" s="31">
        <f ca="1">H50-VLOOKUP(Settings!$K$2+Settings!$K$4,G$2:H$94,2,FALSE)</f>
        <v>0.50920453963777834</v>
      </c>
      <c r="J50" s="31" t="str">
        <f>VLOOKUP(A50,Rankings!B:D,3,FALSE)</f>
        <v>AL</v>
      </c>
    </row>
    <row r="51" spans="1:10" ht="20.100000000000001" customHeight="1">
      <c r="A51" s="26" t="s">
        <v>456</v>
      </c>
      <c r="B51" s="27" t="s">
        <v>95</v>
      </c>
      <c r="C51" s="120" t="s">
        <v>15</v>
      </c>
      <c r="D51" s="138">
        <f t="shared" ca="1" si="2"/>
        <v>44</v>
      </c>
      <c r="E51" s="31">
        <f ca="1">VLOOKUP(A51,Rankings!$B$1:$H$651,6,FALSE)+(RAND()*0.00001)</f>
        <v>298.26039099258389</v>
      </c>
      <c r="F51" s="31">
        <f ca="1">E51-VLOOKUP(Settings!$K$2+Settings!$K$4,D$2:E$500,2,FALSE)</f>
        <v>4.7848315747645529</v>
      </c>
      <c r="G51" s="138">
        <f t="shared" ca="1" si="3"/>
        <v>43</v>
      </c>
      <c r="H51" s="31">
        <f ca="1">VLOOKUP(A51,Rankings!$B$1:$H$651,7,FALSE)+(RAND()*0.00001)</f>
        <v>0.81175076269414859</v>
      </c>
      <c r="I51" s="31">
        <f ca="1">H51-VLOOKUP(Settings!$K$2+Settings!$K$4,G$2:H$94,2,FALSE)</f>
        <v>0.5862665439156981</v>
      </c>
      <c r="J51" s="31" t="str">
        <f>VLOOKUP(A51,Rankings!B:D,3,FALSE)</f>
        <v>NL</v>
      </c>
    </row>
    <row r="52" spans="1:10" ht="20.100000000000001" customHeight="1">
      <c r="A52" s="26" t="s">
        <v>612</v>
      </c>
      <c r="B52" s="27" t="s">
        <v>258</v>
      </c>
      <c r="C52" s="117" t="s">
        <v>7</v>
      </c>
      <c r="D52" s="138">
        <f t="shared" ca="1" si="2"/>
        <v>46</v>
      </c>
      <c r="E52" s="31">
        <f ca="1">VLOOKUP(A52,Rankings!$B$1:$H$651,6,FALSE)+(RAND()*0.00001)</f>
        <v>294.84802808752778</v>
      </c>
      <c r="F52" s="31">
        <f ca="1">E52-VLOOKUP(Settings!$K$2+Settings!$K$4,D$2:E$500,2,FALSE)</f>
        <v>1.3724686697084394</v>
      </c>
      <c r="G52" s="138">
        <f t="shared" ca="1" si="3"/>
        <v>54</v>
      </c>
      <c r="H52" s="31">
        <f ca="1">VLOOKUP(A52,Rankings!$B$1:$H$651,7,FALSE)+(RAND()*0.00001)</f>
        <v>-0.41650769030169255</v>
      </c>
      <c r="I52" s="31">
        <f ca="1">H52-VLOOKUP(Settings!$K$2+Settings!$K$4,G$2:H$94,2,FALSE)</f>
        <v>-0.64199190908014303</v>
      </c>
      <c r="J52" s="31" t="str">
        <f>VLOOKUP(A52,Rankings!B:D,3,FALSE)</f>
        <v>AL</v>
      </c>
    </row>
    <row r="53" spans="1:10" ht="20.100000000000001" customHeight="1">
      <c r="A53" s="26" t="s">
        <v>501</v>
      </c>
      <c r="B53" s="27" t="s">
        <v>134</v>
      </c>
      <c r="C53" s="117" t="s">
        <v>7</v>
      </c>
      <c r="D53" s="138">
        <f t="shared" ca="1" si="2"/>
        <v>54</v>
      </c>
      <c r="E53" s="31">
        <f ca="1">VLOOKUP(A53,Rankings!$B$1:$H$651,6,FALSE)+(RAND()*0.00001)</f>
        <v>277.04445274127858</v>
      </c>
      <c r="F53" s="31">
        <f ca="1">E53-VLOOKUP(Settings!$K$2+Settings!$K$4,D$2:E$500,2,FALSE)</f>
        <v>-16.431106676540765</v>
      </c>
      <c r="G53" s="138">
        <f t="shared" ca="1" si="3"/>
        <v>49</v>
      </c>
      <c r="H53" s="31">
        <f ca="1">VLOOKUP(A53,Rankings!$B$1:$H$651,7,FALSE)+(RAND()*0.00001)</f>
        <v>0.13716625875343885</v>
      </c>
      <c r="I53" s="31">
        <f ca="1">H53-VLOOKUP(Settings!$K$2+Settings!$K$4,G$2:H$94,2,FALSE)</f>
        <v>-8.8317960025011633E-2</v>
      </c>
      <c r="J53" s="31" t="str">
        <f>VLOOKUP(A53,Rankings!B:D,3,FALSE)</f>
        <v>NL</v>
      </c>
    </row>
    <row r="54" spans="1:10" ht="20.100000000000001" customHeight="1">
      <c r="A54" s="26" t="s">
        <v>486</v>
      </c>
      <c r="B54" s="27" t="s">
        <v>158</v>
      </c>
      <c r="C54" s="117" t="s">
        <v>7</v>
      </c>
      <c r="D54" s="138">
        <f t="shared" ca="1" si="2"/>
        <v>52</v>
      </c>
      <c r="E54" s="31">
        <f ca="1">VLOOKUP(A54,Rankings!$B$1:$H$651,6,FALSE)+(RAND()*0.00001)</f>
        <v>281.20722667579878</v>
      </c>
      <c r="F54" s="31">
        <f ca="1">E54-VLOOKUP(Settings!$K$2+Settings!$K$4,D$2:E$500,2,FALSE)</f>
        <v>-12.268332742020561</v>
      </c>
      <c r="G54" s="138">
        <f t="shared" ca="1" si="3"/>
        <v>52</v>
      </c>
      <c r="H54" s="31">
        <f ca="1">VLOOKUP(A54,Rankings!$B$1:$H$651,7,FALSE)+(RAND()*0.00001)</f>
        <v>-0.16617747316111445</v>
      </c>
      <c r="I54" s="31">
        <f ca="1">H54-VLOOKUP(Settings!$K$2+Settings!$K$4,G$2:H$94,2,FALSE)</f>
        <v>-0.3916616919395649</v>
      </c>
      <c r="J54" s="31" t="str">
        <f>VLOOKUP(A54,Rankings!B:D,3,FALSE)</f>
        <v>NL</v>
      </c>
    </row>
    <row r="55" spans="1:10" ht="20.100000000000001" customHeight="1">
      <c r="A55" s="26" t="s">
        <v>603</v>
      </c>
      <c r="B55" s="27" t="s">
        <v>223</v>
      </c>
      <c r="C55" s="117" t="s">
        <v>7</v>
      </c>
      <c r="D55" s="138">
        <f t="shared" ca="1" si="2"/>
        <v>53</v>
      </c>
      <c r="E55" s="31">
        <f ca="1">VLOOKUP(A55,Rankings!$B$1:$H$651,6,FALSE)+(RAND()*0.00001)</f>
        <v>279.24333661529181</v>
      </c>
      <c r="F55" s="31">
        <f ca="1">E55-VLOOKUP(Settings!$K$2+Settings!$K$4,D$2:E$500,2,FALSE)</f>
        <v>-14.232222802527531</v>
      </c>
      <c r="G55" s="138">
        <f t="shared" ca="1" si="3"/>
        <v>58</v>
      </c>
      <c r="H55" s="31">
        <f ca="1">VLOOKUP(A55,Rankings!$B$1:$H$651,7,FALSE)+(RAND()*0.00001)</f>
        <v>-0.7550861354673587</v>
      </c>
      <c r="I55" s="31">
        <f ca="1">H55-VLOOKUP(Settings!$K$2+Settings!$K$4,G$2:H$94,2,FALSE)</f>
        <v>-0.98057035424580918</v>
      </c>
      <c r="J55" s="31" t="str">
        <f>VLOOKUP(A55,Rankings!B:D,3,FALSE)</f>
        <v>NL</v>
      </c>
    </row>
    <row r="56" spans="1:10" ht="20.100000000000001" customHeight="1">
      <c r="A56" s="26" t="s">
        <v>491</v>
      </c>
      <c r="B56" s="27" t="s">
        <v>217</v>
      </c>
      <c r="C56" s="117" t="s">
        <v>7</v>
      </c>
      <c r="D56" s="138">
        <f t="shared" ca="1" si="2"/>
        <v>55</v>
      </c>
      <c r="E56" s="31">
        <f ca="1">VLOOKUP(A56,Rankings!$B$1:$H$651,6,FALSE)+(RAND()*0.00001)</f>
        <v>273.20000127494018</v>
      </c>
      <c r="F56" s="31">
        <f ca="1">E56-VLOOKUP(Settings!$K$2+Settings!$K$4,D$2:E$500,2,FALSE)</f>
        <v>-20.275558142879163</v>
      </c>
      <c r="G56" s="138">
        <f t="shared" ca="1" si="3"/>
        <v>57</v>
      </c>
      <c r="H56" s="31">
        <f ca="1">VLOOKUP(A56,Rankings!$B$1:$H$651,7,FALSE)+(RAND()*0.00001)</f>
        <v>-0.53276171694730778</v>
      </c>
      <c r="I56" s="31">
        <f ca="1">H56-VLOOKUP(Settings!$K$2+Settings!$K$4,G$2:H$94,2,FALSE)</f>
        <v>-0.75824593572575827</v>
      </c>
      <c r="J56" s="31" t="str">
        <f>VLOOKUP(A56,Rankings!B:D,3,FALSE)</f>
        <v>NL</v>
      </c>
    </row>
    <row r="57" spans="1:10" ht="20.100000000000001" customHeight="1">
      <c r="A57" s="26" t="s">
        <v>623</v>
      </c>
      <c r="B57" s="27" t="s">
        <v>306</v>
      </c>
      <c r="C57" s="117" t="s">
        <v>7</v>
      </c>
      <c r="D57" s="138">
        <f t="shared" ca="1" si="2"/>
        <v>61</v>
      </c>
      <c r="E57" s="31">
        <f ca="1">VLOOKUP(A57,Rankings!$B$1:$H$651,6,FALSE)+(RAND()*0.00001)</f>
        <v>253.55866792060559</v>
      </c>
      <c r="F57" s="31">
        <f ca="1">E57-VLOOKUP(Settings!$K$2+Settings!$K$4,D$2:E$500,2,FALSE)</f>
        <v>-39.916891497213754</v>
      </c>
      <c r="G57" s="138">
        <f t="shared" ca="1" si="3"/>
        <v>60</v>
      </c>
      <c r="H57" s="31">
        <f ca="1">VLOOKUP(A57,Rankings!$B$1:$H$651,7,FALSE)+(RAND()*0.00001)</f>
        <v>-0.98742226588513737</v>
      </c>
      <c r="I57" s="31">
        <f ca="1">H57-VLOOKUP(Settings!$K$2+Settings!$K$4,G$2:H$94,2,FALSE)</f>
        <v>-1.2129064846635877</v>
      </c>
      <c r="J57" s="31" t="str">
        <f>VLOOKUP(A57,Rankings!B:D,3,FALSE)</f>
        <v>NL</v>
      </c>
    </row>
    <row r="58" spans="1:10" ht="20.100000000000001" customHeight="1">
      <c r="A58" s="26" t="s">
        <v>403</v>
      </c>
      <c r="B58" s="27" t="s">
        <v>134</v>
      </c>
      <c r="C58" s="120" t="s">
        <v>15</v>
      </c>
      <c r="D58" s="138">
        <f t="shared" ca="1" si="2"/>
        <v>57</v>
      </c>
      <c r="E58" s="31">
        <f ca="1">VLOOKUP(A58,Rankings!$B$1:$H$651,6,FALSE)+(RAND()*0.00001)</f>
        <v>265.57555839514094</v>
      </c>
      <c r="F58" s="31">
        <f ca="1">E58-VLOOKUP(Settings!$K$2+Settings!$K$4,D$2:E$500,2,FALSE)</f>
        <v>-27.900001022678396</v>
      </c>
      <c r="G58" s="138">
        <f t="shared" ca="1" si="3"/>
        <v>47</v>
      </c>
      <c r="H58" s="31">
        <f ca="1">VLOOKUP(A58,Rankings!$B$1:$H$651,7,FALSE)+(RAND()*0.00001)</f>
        <v>0.30964035931195472</v>
      </c>
      <c r="I58" s="31">
        <f ca="1">H58-VLOOKUP(Settings!$K$2+Settings!$K$4,G$2:H$94,2,FALSE)</f>
        <v>8.4156140533504231E-2</v>
      </c>
      <c r="J58" s="31" t="str">
        <f>VLOOKUP(A58,Rankings!B:D,3,FALSE)</f>
        <v>NL</v>
      </c>
    </row>
    <row r="59" spans="1:10" ht="20.100000000000001" customHeight="1">
      <c r="A59" s="26" t="s">
        <v>402</v>
      </c>
      <c r="B59" s="27" t="s">
        <v>95</v>
      </c>
      <c r="C59" s="120" t="s">
        <v>15</v>
      </c>
      <c r="D59" s="138">
        <f t="shared" ca="1" si="2"/>
        <v>59</v>
      </c>
      <c r="E59" s="31">
        <f ca="1">VLOOKUP(A59,Rankings!$B$1:$H$651,6,FALSE)+(RAND()*0.00001)</f>
        <v>261.65500706554946</v>
      </c>
      <c r="F59" s="31">
        <f ca="1">E59-VLOOKUP(Settings!$K$2+Settings!$K$4,D$2:E$500,2,FALSE)</f>
        <v>-31.820552352269885</v>
      </c>
      <c r="G59" s="138">
        <f t="shared" ca="1" si="3"/>
        <v>59</v>
      </c>
      <c r="H59" s="31">
        <f ca="1">VLOOKUP(A59,Rankings!$B$1:$H$651,7,FALSE)+(RAND()*0.00001)</f>
        <v>-0.95146305346407123</v>
      </c>
      <c r="I59" s="31">
        <f ca="1">H59-VLOOKUP(Settings!$K$2+Settings!$K$4,G$2:H$94,2,FALSE)</f>
        <v>-1.1769472722425216</v>
      </c>
      <c r="J59" s="31" t="str">
        <f>VLOOKUP(A59,Rankings!B:D,3,FALSE)</f>
        <v>NL</v>
      </c>
    </row>
    <row r="60" spans="1:10" ht="20.100000000000001" customHeight="1">
      <c r="A60" s="26" t="s">
        <v>647</v>
      </c>
      <c r="B60" s="27" t="s">
        <v>137</v>
      </c>
      <c r="C60" s="117" t="s">
        <v>7</v>
      </c>
      <c r="D60" s="138">
        <f t="shared" ca="1" si="2"/>
        <v>56</v>
      </c>
      <c r="E60" s="31">
        <f ca="1">VLOOKUP(A60,Rankings!$B$1:$H$651,6,FALSE)+(RAND()*0.00001)</f>
        <v>265.80722871113181</v>
      </c>
      <c r="F60" s="31">
        <f ca="1">E60-VLOOKUP(Settings!$K$2+Settings!$K$4,D$2:E$500,2,FALSE)</f>
        <v>-27.668330706687527</v>
      </c>
      <c r="G60" s="138">
        <f t="shared" ca="1" si="3"/>
        <v>65</v>
      </c>
      <c r="H60" s="31">
        <f ca="1">VLOOKUP(A60,Rankings!$B$1:$H$651,7,FALSE)+(RAND()*0.00001)</f>
        <v>-1.346277527571728</v>
      </c>
      <c r="I60" s="31">
        <f ca="1">H60-VLOOKUP(Settings!$K$2+Settings!$K$4,G$2:H$94,2,FALSE)</f>
        <v>-1.5717617463501785</v>
      </c>
      <c r="J60" s="31" t="str">
        <f>VLOOKUP(A60,Rankings!B:D,3,FALSE)</f>
        <v>NL</v>
      </c>
    </row>
    <row r="61" spans="1:10" ht="20.100000000000001" customHeight="1">
      <c r="A61" s="26" t="s">
        <v>436</v>
      </c>
      <c r="B61" s="27" t="s">
        <v>84</v>
      </c>
      <c r="C61" s="117" t="s">
        <v>7</v>
      </c>
      <c r="D61" s="138">
        <f t="shared" ca="1" si="2"/>
        <v>58</v>
      </c>
      <c r="E61" s="31">
        <f ca="1">VLOOKUP(A61,Rankings!$B$1:$H$651,6,FALSE)+(RAND()*0.00001)</f>
        <v>265.17389874722517</v>
      </c>
      <c r="F61" s="31">
        <f ca="1">E61-VLOOKUP(Settings!$K$2+Settings!$K$4,D$2:E$500,2,FALSE)</f>
        <v>-28.301660670594174</v>
      </c>
      <c r="G61" s="138">
        <f t="shared" ca="1" si="3"/>
        <v>50</v>
      </c>
      <c r="H61" s="31">
        <f ca="1">VLOOKUP(A61,Rankings!$B$1:$H$651,7,FALSE)+(RAND()*0.00001)</f>
        <v>5.7092693568798314E-2</v>
      </c>
      <c r="I61" s="31">
        <f ca="1">H61-VLOOKUP(Settings!$K$2+Settings!$K$4,G$2:H$94,2,FALSE)</f>
        <v>-0.16839152520965217</v>
      </c>
      <c r="J61" s="31" t="str">
        <f>VLOOKUP(A61,Rankings!B:D,3,FALSE)</f>
        <v>AL</v>
      </c>
    </row>
    <row r="62" spans="1:10" ht="20.100000000000001" customHeight="1">
      <c r="A62" s="26" t="s">
        <v>404</v>
      </c>
      <c r="B62" s="27" t="s">
        <v>223</v>
      </c>
      <c r="C62" s="120" t="s">
        <v>15</v>
      </c>
      <c r="D62" s="138">
        <f t="shared" ca="1" si="2"/>
        <v>60</v>
      </c>
      <c r="E62" s="31">
        <f ca="1">VLOOKUP(A62,Rankings!$B$1:$H$651,6,FALSE)+(RAND()*0.00001)</f>
        <v>253.71722389294558</v>
      </c>
      <c r="F62" s="31">
        <f ca="1">E62-VLOOKUP(Settings!$K$2+Settings!$K$4,D$2:E$500,2,FALSE)</f>
        <v>-39.758335524873758</v>
      </c>
      <c r="G62" s="138">
        <f t="shared" ca="1" si="3"/>
        <v>61</v>
      </c>
      <c r="H62" s="31">
        <f ca="1">VLOOKUP(A62,Rankings!$B$1:$H$651,7,FALSE)+(RAND()*0.00001)</f>
        <v>-0.98953735594030667</v>
      </c>
      <c r="I62" s="31">
        <f ca="1">H62-VLOOKUP(Settings!$K$2+Settings!$K$4,G$2:H$94,2,FALSE)</f>
        <v>-1.2150215747187572</v>
      </c>
      <c r="J62" s="31" t="str">
        <f>VLOOKUP(A62,Rankings!B:D,3,FALSE)</f>
        <v>NL</v>
      </c>
    </row>
    <row r="63" spans="1:10" ht="20.100000000000001" customHeight="1">
      <c r="A63" s="26" t="s">
        <v>509</v>
      </c>
      <c r="B63" s="27" t="s">
        <v>158</v>
      </c>
      <c r="C63" s="117" t="s">
        <v>7</v>
      </c>
      <c r="D63" s="138">
        <f t="shared" ca="1" si="2"/>
        <v>62</v>
      </c>
      <c r="E63" s="31">
        <f ca="1">VLOOKUP(A63,Rankings!$B$1:$H$651,6,FALSE)+(RAND()*0.00001)</f>
        <v>252.89055586132815</v>
      </c>
      <c r="F63" s="31">
        <f ca="1">E63-VLOOKUP(Settings!$K$2+Settings!$K$4,D$2:E$500,2,FALSE)</f>
        <v>-40.585003556491188</v>
      </c>
      <c r="G63" s="138">
        <f t="shared" ca="1" si="3"/>
        <v>53</v>
      </c>
      <c r="H63" s="31">
        <f ca="1">VLOOKUP(A63,Rankings!$B$1:$H$651,7,FALSE)+(RAND()*0.00001)</f>
        <v>-0.24128236306649656</v>
      </c>
      <c r="I63" s="31">
        <f ca="1">H63-VLOOKUP(Settings!$K$2+Settings!$K$4,G$2:H$94,2,FALSE)</f>
        <v>-0.46676658184494701</v>
      </c>
      <c r="J63" s="31" t="str">
        <f>VLOOKUP(A63,Rankings!B:D,3,FALSE)</f>
        <v>NL</v>
      </c>
    </row>
    <row r="64" spans="1:10" ht="20.100000000000001" customHeight="1">
      <c r="A64" s="26" t="s">
        <v>446</v>
      </c>
      <c r="B64" s="27" t="s">
        <v>68</v>
      </c>
      <c r="C64" s="120" t="s">
        <v>15</v>
      </c>
      <c r="D64" s="138">
        <f t="shared" ca="1" si="2"/>
        <v>65</v>
      </c>
      <c r="E64" s="31">
        <f ca="1">VLOOKUP(A64,Rankings!$B$1:$H$651,6,FALSE)+(RAND()*0.00001)</f>
        <v>244.55000606394452</v>
      </c>
      <c r="F64" s="31">
        <f ca="1">E64-VLOOKUP(Settings!$K$2+Settings!$K$4,D$2:E$500,2,FALSE)</f>
        <v>-48.925553353874818</v>
      </c>
      <c r="G64" s="138">
        <f t="shared" ca="1" si="3"/>
        <v>72</v>
      </c>
      <c r="H64" s="31">
        <f ca="1">VLOOKUP(A64,Rankings!$B$1:$H$651,7,FALSE)+(RAND()*0.00001)</f>
        <v>-1.7436403616265412</v>
      </c>
      <c r="I64" s="31">
        <f ca="1">H64-VLOOKUP(Settings!$K$2+Settings!$K$4,G$2:H$94,2,FALSE)</f>
        <v>-1.9691245804049917</v>
      </c>
      <c r="J64" s="31" t="str">
        <f>VLOOKUP(A64,Rankings!B:D,3,FALSE)</f>
        <v>AL</v>
      </c>
    </row>
    <row r="65" spans="1:10" ht="20.100000000000001" customHeight="1">
      <c r="A65" s="26" t="s">
        <v>499</v>
      </c>
      <c r="B65" s="27" t="s">
        <v>117</v>
      </c>
      <c r="C65" s="120" t="s">
        <v>15</v>
      </c>
      <c r="D65" s="138">
        <f t="shared" ca="1" si="2"/>
        <v>63</v>
      </c>
      <c r="E65" s="31">
        <f ca="1">VLOOKUP(A65,Rankings!$B$1:$H$651,6,FALSE)+(RAND()*0.00001)</f>
        <v>251.05556531181892</v>
      </c>
      <c r="F65" s="31">
        <f ca="1">E65-VLOOKUP(Settings!$K$2+Settings!$K$4,D$2:E$500,2,FALSE)</f>
        <v>-42.419994106000416</v>
      </c>
      <c r="G65" s="138">
        <f t="shared" ca="1" si="3"/>
        <v>64</v>
      </c>
      <c r="H65" s="31">
        <f ca="1">VLOOKUP(A65,Rankings!$B$1:$H$651,7,FALSE)+(RAND()*0.00001)</f>
        <v>-1.204820415914202</v>
      </c>
      <c r="I65" s="31">
        <f ca="1">H65-VLOOKUP(Settings!$K$2+Settings!$K$4,G$2:H$94,2,FALSE)</f>
        <v>-1.4303046346926525</v>
      </c>
      <c r="J65" s="31" t="str">
        <f>VLOOKUP(A65,Rankings!B:D,3,FALSE)</f>
        <v>AL</v>
      </c>
    </row>
    <row r="66" spans="1:10" ht="20.100000000000001" customHeight="1">
      <c r="A66" s="26" t="s">
        <v>448</v>
      </c>
      <c r="B66" s="27" t="s">
        <v>84</v>
      </c>
      <c r="C66" s="120" t="s">
        <v>15</v>
      </c>
      <c r="D66" s="138">
        <f t="shared" ref="D66:D97" ca="1" si="4">RANK(E66,E$2:E$500)</f>
        <v>66</v>
      </c>
      <c r="E66" s="31">
        <f ca="1">VLOOKUP(A66,Rankings!$B$1:$H$651,6,FALSE)+(RAND()*0.00001)</f>
        <v>241.86611412060563</v>
      </c>
      <c r="F66" s="31">
        <f ca="1">E66-VLOOKUP(Settings!$K$2+Settings!$K$4,D$2:E$500,2,FALSE)</f>
        <v>-51.609445297213711</v>
      </c>
      <c r="G66" s="138">
        <f t="shared" ref="G66:G97" ca="1" si="5">RANK(H66,H$2:H$500)</f>
        <v>56</v>
      </c>
      <c r="H66" s="31">
        <f ca="1">VLOOKUP(A66,Rankings!$B$1:$H$651,7,FALSE)+(RAND()*0.00001)</f>
        <v>-0.51680151971918897</v>
      </c>
      <c r="I66" s="31">
        <f ca="1">H66-VLOOKUP(Settings!$K$2+Settings!$K$4,G$2:H$94,2,FALSE)</f>
        <v>-0.74228573849763946</v>
      </c>
      <c r="J66" s="31" t="str">
        <f>VLOOKUP(A66,Rankings!B:D,3,FALSE)</f>
        <v>AL</v>
      </c>
    </row>
    <row r="67" spans="1:10" ht="20.100000000000001" customHeight="1">
      <c r="A67" s="26" t="s">
        <v>581</v>
      </c>
      <c r="B67" s="27" t="s">
        <v>140</v>
      </c>
      <c r="C67" s="117" t="s">
        <v>7</v>
      </c>
      <c r="D67" s="138">
        <f t="shared" ca="1" si="4"/>
        <v>67</v>
      </c>
      <c r="E67" s="31">
        <f ca="1">VLOOKUP(A67,Rankings!$B$1:$H$651,6,FALSE)+(RAND()*0.00001)</f>
        <v>239.87388985285372</v>
      </c>
      <c r="F67" s="31">
        <f ca="1">E67-VLOOKUP(Settings!$K$2+Settings!$K$4,D$2:E$500,2,FALSE)</f>
        <v>-53.601669564965619</v>
      </c>
      <c r="G67" s="138">
        <f t="shared" ca="1" si="5"/>
        <v>67</v>
      </c>
      <c r="H67" s="31">
        <f ca="1">VLOOKUP(A67,Rankings!$B$1:$H$651,7,FALSE)+(RAND()*0.00001)</f>
        <v>-1.5428701727222152</v>
      </c>
      <c r="I67" s="31">
        <f ca="1">H67-VLOOKUP(Settings!$K$2+Settings!$K$4,G$2:H$94,2,FALSE)</f>
        <v>-1.7683543915006656</v>
      </c>
      <c r="J67" s="31" t="str">
        <f>VLOOKUP(A67,Rankings!B:D,3,FALSE)</f>
        <v>AL</v>
      </c>
    </row>
    <row r="68" spans="1:10" ht="20.100000000000001" customHeight="1">
      <c r="A68" s="26" t="s">
        <v>687</v>
      </c>
      <c r="B68" s="27" t="s">
        <v>217</v>
      </c>
      <c r="C68" s="117" t="s">
        <v>7</v>
      </c>
      <c r="D68" s="138">
        <f t="shared" ca="1" si="4"/>
        <v>64</v>
      </c>
      <c r="E68" s="31">
        <f ca="1">VLOOKUP(A68,Rankings!$B$1:$H$651,6,FALSE)+(RAND()*0.00001)</f>
        <v>250.17194510089496</v>
      </c>
      <c r="F68" s="31">
        <f ca="1">E68-VLOOKUP(Settings!$K$2+Settings!$K$4,D$2:E$500,2,FALSE)</f>
        <v>-43.303614316924381</v>
      </c>
      <c r="G68" s="138">
        <f t="shared" ca="1" si="5"/>
        <v>68</v>
      </c>
      <c r="H68" s="31">
        <f ca="1">VLOOKUP(A68,Rankings!$B$1:$H$651,7,FALSE)+(RAND()*0.00001)</f>
        <v>-1.5531502869140474</v>
      </c>
      <c r="I68" s="31">
        <f ca="1">H68-VLOOKUP(Settings!$K$2+Settings!$K$4,G$2:H$94,2,FALSE)</f>
        <v>-1.7786345056924979</v>
      </c>
      <c r="J68" s="31" t="str">
        <f>VLOOKUP(A68,Rankings!B:D,3,FALSE)</f>
        <v>NL</v>
      </c>
    </row>
    <row r="69" spans="1:10" ht="20.100000000000001" customHeight="1">
      <c r="A69" s="26" t="s">
        <v>245</v>
      </c>
      <c r="B69" s="27" t="s">
        <v>123</v>
      </c>
      <c r="C69" s="120" t="s">
        <v>15</v>
      </c>
      <c r="D69" s="138">
        <f t="shared" ca="1" si="4"/>
        <v>45</v>
      </c>
      <c r="E69" s="31">
        <f ca="1">VLOOKUP(A69,Rankings!$B$1:$H$651,6,FALSE)+(RAND()*0.00001)</f>
        <v>297.23041912933405</v>
      </c>
      <c r="F69" s="31">
        <f ca="1">E69-VLOOKUP(Settings!$K$2+Settings!$K$4,D$2:E$500,2,FALSE)</f>
        <v>3.7548597115147118</v>
      </c>
      <c r="G69" s="138">
        <f t="shared" ca="1" si="5"/>
        <v>38</v>
      </c>
      <c r="H69" s="31">
        <f ca="1">VLOOKUP(A69,Rankings!$B$1:$H$651,7,FALSE)+(RAND()*0.00001)</f>
        <v>1.2587937753604153</v>
      </c>
      <c r="I69" s="31">
        <f ca="1">H69-VLOOKUP(Settings!$K$2+Settings!$K$4,G$2:H$94,2,FALSE)</f>
        <v>1.0333095565819648</v>
      </c>
      <c r="J69" s="31" t="str">
        <f>VLOOKUP(A69,Rankings!B:D,3,FALSE)</f>
        <v>NL</v>
      </c>
    </row>
    <row r="70" spans="1:10" ht="20.100000000000001" customHeight="1">
      <c r="A70" s="26" t="s">
        <v>561</v>
      </c>
      <c r="B70" s="27" t="s">
        <v>137</v>
      </c>
      <c r="C70" s="120" t="s">
        <v>15</v>
      </c>
      <c r="D70" s="138">
        <f t="shared" ca="1" si="4"/>
        <v>71</v>
      </c>
      <c r="E70" s="31">
        <f ca="1">VLOOKUP(A70,Rankings!$B$1:$H$651,6,FALSE)+(RAND()*0.00001)</f>
        <v>225.54389312705499</v>
      </c>
      <c r="F70" s="31">
        <f ca="1">E70-VLOOKUP(Settings!$K$2+Settings!$K$4,D$2:E$500,2,FALSE)</f>
        <v>-67.931666290764355</v>
      </c>
      <c r="G70" s="138">
        <f t="shared" ca="1" si="5"/>
        <v>69</v>
      </c>
      <c r="H70" s="31">
        <f ca="1">VLOOKUP(A70,Rankings!$B$1:$H$651,7,FALSE)+(RAND()*0.00001)</f>
        <v>-1.645452485477692</v>
      </c>
      <c r="I70" s="31">
        <f ca="1">H70-VLOOKUP(Settings!$K$2+Settings!$K$4,G$2:H$94,2,FALSE)</f>
        <v>-1.8709367042561424</v>
      </c>
      <c r="J70" s="31" t="str">
        <f>VLOOKUP(A70,Rankings!B:D,3,FALSE)</f>
        <v>NL</v>
      </c>
    </row>
    <row r="71" spans="1:10" ht="20.100000000000001" customHeight="1">
      <c r="A71" s="26" t="s">
        <v>615</v>
      </c>
      <c r="B71" s="27" t="s">
        <v>94</v>
      </c>
      <c r="C71" s="117" t="s">
        <v>7</v>
      </c>
      <c r="D71" s="138">
        <f t="shared" ca="1" si="4"/>
        <v>70</v>
      </c>
      <c r="E71" s="31">
        <f ca="1">VLOOKUP(A71,Rankings!$B$1:$H$651,6,FALSE)+(RAND()*0.00001)</f>
        <v>228.69500171732983</v>
      </c>
      <c r="F71" s="31">
        <f ca="1">E71-VLOOKUP(Settings!$K$2+Settings!$K$4,D$2:E$500,2,FALSE)</f>
        <v>-64.78055770048951</v>
      </c>
      <c r="G71" s="138">
        <f t="shared" ca="1" si="5"/>
        <v>66</v>
      </c>
      <c r="H71" s="31">
        <f ca="1">VLOOKUP(A71,Rankings!$B$1:$H$651,7,FALSE)+(RAND()*0.00001)</f>
        <v>-1.5072171905840586</v>
      </c>
      <c r="I71" s="31">
        <f ca="1">H71-VLOOKUP(Settings!$K$2+Settings!$K$4,G$2:H$94,2,FALSE)</f>
        <v>-1.732701409362509</v>
      </c>
      <c r="J71" s="31" t="str">
        <f>VLOOKUP(A71,Rankings!B:D,3,FALSE)</f>
        <v>AL</v>
      </c>
    </row>
    <row r="72" spans="1:10" ht="20.100000000000001" customHeight="1">
      <c r="A72" s="26" t="s">
        <v>569</v>
      </c>
      <c r="B72" s="27" t="s">
        <v>97</v>
      </c>
      <c r="C72" s="120" t="s">
        <v>15</v>
      </c>
      <c r="D72" s="138">
        <f t="shared" ca="1" si="4"/>
        <v>72</v>
      </c>
      <c r="E72" s="31">
        <f ca="1">VLOOKUP(A72,Rankings!$B$1:$H$651,6,FALSE)+(RAND()*0.00001)</f>
        <v>220.23389658984757</v>
      </c>
      <c r="F72" s="31">
        <f ca="1">E72-VLOOKUP(Settings!$K$2+Settings!$K$4,D$2:E$500,2,FALSE)</f>
        <v>-73.241662827971766</v>
      </c>
      <c r="G72" s="138">
        <f t="shared" ca="1" si="5"/>
        <v>75</v>
      </c>
      <c r="H72" s="31">
        <f ca="1">VLOOKUP(A72,Rankings!$B$1:$H$651,7,FALSE)+(RAND()*0.00001)</f>
        <v>-2.0609174256688303</v>
      </c>
      <c r="I72" s="31">
        <f ca="1">H72-VLOOKUP(Settings!$K$2+Settings!$K$4,G$2:H$94,2,FALSE)</f>
        <v>-2.286401644447281</v>
      </c>
      <c r="J72" s="31" t="str">
        <f>VLOOKUP(A72,Rankings!B:D,3,FALSE)</f>
        <v>NL</v>
      </c>
    </row>
    <row r="73" spans="1:10" ht="20.100000000000001" customHeight="1">
      <c r="A73" s="26" t="s">
        <v>485</v>
      </c>
      <c r="B73" s="27" t="s">
        <v>120</v>
      </c>
      <c r="C73" s="120" t="s">
        <v>15</v>
      </c>
      <c r="D73" s="138">
        <f t="shared" ca="1" si="4"/>
        <v>74</v>
      </c>
      <c r="E73" s="31">
        <f ca="1">VLOOKUP(A73,Rankings!$B$1:$H$651,6,FALSE)+(RAND()*0.00001)</f>
        <v>216.3261201086691</v>
      </c>
      <c r="F73" s="31">
        <f ca="1">E73-VLOOKUP(Settings!$K$2+Settings!$K$4,D$2:E$500,2,FALSE)</f>
        <v>-77.149439309150239</v>
      </c>
      <c r="G73" s="138">
        <f t="shared" ca="1" si="5"/>
        <v>70</v>
      </c>
      <c r="H73" s="31">
        <f ca="1">VLOOKUP(A73,Rankings!$B$1:$H$651,7,FALSE)+(RAND()*0.00001)</f>
        <v>-1.7123935012667135</v>
      </c>
      <c r="I73" s="31">
        <f ca="1">H73-VLOOKUP(Settings!$K$2+Settings!$K$4,G$2:H$94,2,FALSE)</f>
        <v>-1.937877720045164</v>
      </c>
      <c r="J73" s="31" t="str">
        <f>VLOOKUP(A73,Rankings!B:D,3,FALSE)</f>
        <v>NL</v>
      </c>
    </row>
    <row r="74" spans="1:10" ht="20.100000000000001" customHeight="1">
      <c r="A74" s="26" t="s">
        <v>624</v>
      </c>
      <c r="B74" s="27" t="s">
        <v>217</v>
      </c>
      <c r="C74" s="120" t="s">
        <v>15</v>
      </c>
      <c r="D74" s="138">
        <f t="shared" ca="1" si="4"/>
        <v>69</v>
      </c>
      <c r="E74" s="31">
        <f ca="1">VLOOKUP(A74,Rankings!$B$1:$H$651,6,FALSE)+(RAND()*0.00001)</f>
        <v>229.38250009486609</v>
      </c>
      <c r="F74" s="31">
        <f ca="1">E74-VLOOKUP(Settings!$K$2+Settings!$K$4,D$2:E$500,2,FALSE)</f>
        <v>-64.093059322953252</v>
      </c>
      <c r="G74" s="138">
        <f t="shared" ca="1" si="5"/>
        <v>71</v>
      </c>
      <c r="H74" s="31">
        <f ca="1">VLOOKUP(A74,Rankings!$B$1:$H$651,7,FALSE)+(RAND()*0.00001)</f>
        <v>-1.7206744157741862</v>
      </c>
      <c r="I74" s="31">
        <f ca="1">H74-VLOOKUP(Settings!$K$2+Settings!$K$4,G$2:H$94,2,FALSE)</f>
        <v>-1.9461586345526367</v>
      </c>
      <c r="J74" s="31" t="str">
        <f>VLOOKUP(A74,Rankings!B:D,3,FALSE)</f>
        <v>NL</v>
      </c>
    </row>
    <row r="75" spans="1:10" ht="20.100000000000001" customHeight="1">
      <c r="A75" s="26" t="s">
        <v>563</v>
      </c>
      <c r="B75" s="27" t="s">
        <v>140</v>
      </c>
      <c r="C75" s="120" t="s">
        <v>15</v>
      </c>
      <c r="D75" s="138">
        <f t="shared" ca="1" si="4"/>
        <v>73</v>
      </c>
      <c r="E75" s="31">
        <f ca="1">VLOOKUP(A75,Rankings!$B$1:$H$651,6,FALSE)+(RAND()*0.00001)</f>
        <v>218.28389150070171</v>
      </c>
      <c r="F75" s="31">
        <f ca="1">E75-VLOOKUP(Settings!$K$2+Settings!$K$4,D$2:E$500,2,FALSE)</f>
        <v>-75.191667917117627</v>
      </c>
      <c r="G75" s="138">
        <f t="shared" ca="1" si="5"/>
        <v>76</v>
      </c>
      <c r="H75" s="31">
        <f ca="1">VLOOKUP(A75,Rankings!$B$1:$H$651,7,FALSE)+(RAND()*0.00001)</f>
        <v>-2.0935725144040975</v>
      </c>
      <c r="I75" s="31">
        <f ca="1">H75-VLOOKUP(Settings!$K$2+Settings!$K$4,G$2:H$94,2,FALSE)</f>
        <v>-2.3190567331825482</v>
      </c>
      <c r="J75" s="31" t="str">
        <f>VLOOKUP(A75,Rankings!B:D,3,FALSE)</f>
        <v>AL</v>
      </c>
    </row>
    <row r="76" spans="1:10" ht="20.100000000000001" customHeight="1">
      <c r="A76" s="26" t="s">
        <v>580</v>
      </c>
      <c r="B76" s="27" t="s">
        <v>117</v>
      </c>
      <c r="C76" s="120" t="s">
        <v>15</v>
      </c>
      <c r="D76" s="138">
        <f t="shared" ca="1" si="4"/>
        <v>75</v>
      </c>
      <c r="E76" s="31">
        <f ca="1">VLOOKUP(A76,Rankings!$B$1:$H$651,6,FALSE)+(RAND()*0.00001)</f>
        <v>213.82889305773915</v>
      </c>
      <c r="F76" s="31">
        <f ca="1">E76-VLOOKUP(Settings!$K$2+Settings!$K$4,D$2:E$500,2,FALSE)</f>
        <v>-79.646666360080189</v>
      </c>
      <c r="G76" s="138">
        <f t="shared" ca="1" si="5"/>
        <v>73</v>
      </c>
      <c r="H76" s="31">
        <f ca="1">VLOOKUP(A76,Rankings!$B$1:$H$651,7,FALSE)+(RAND()*0.00001)</f>
        <v>-1.8125709124513927</v>
      </c>
      <c r="I76" s="31">
        <f ca="1">H76-VLOOKUP(Settings!$K$2+Settings!$K$4,G$2:H$94,2,FALSE)</f>
        <v>-2.0380551312298429</v>
      </c>
      <c r="J76" s="31" t="str">
        <f>VLOOKUP(A76,Rankings!B:D,3,FALSE)</f>
        <v>AL</v>
      </c>
    </row>
    <row r="77" spans="1:10" ht="20.100000000000001" customHeight="1">
      <c r="A77" s="26" t="s">
        <v>532</v>
      </c>
      <c r="B77" s="27" t="s">
        <v>217</v>
      </c>
      <c r="C77" s="120" t="s">
        <v>15</v>
      </c>
      <c r="D77" s="138">
        <f t="shared" ca="1" si="4"/>
        <v>76</v>
      </c>
      <c r="E77" s="31">
        <f ca="1">VLOOKUP(A77,Rankings!$B$1:$H$651,6,FALSE)+(RAND()*0.00001)</f>
        <v>203.34778398052583</v>
      </c>
      <c r="F77" s="31">
        <f ca="1">E77-VLOOKUP(Settings!$K$2+Settings!$K$4,D$2:E$500,2,FALSE)</f>
        <v>-90.127775437293508</v>
      </c>
      <c r="G77" s="138">
        <f t="shared" ca="1" si="5"/>
        <v>74</v>
      </c>
      <c r="H77" s="31">
        <f ca="1">VLOOKUP(A77,Rankings!$B$1:$H$651,7,FALSE)+(RAND()*0.00001)</f>
        <v>-1.8892347687797943</v>
      </c>
      <c r="I77" s="31">
        <f ca="1">H77-VLOOKUP(Settings!$K$2+Settings!$K$4,G$2:H$94,2,FALSE)</f>
        <v>-2.1147189875582448</v>
      </c>
      <c r="J77" s="31" t="str">
        <f>VLOOKUP(A77,Rankings!B:D,3,FALSE)</f>
        <v>NL</v>
      </c>
    </row>
    <row r="78" spans="1:10" ht="20.100000000000001" customHeight="1">
      <c r="A78" s="26" t="s">
        <v>418</v>
      </c>
      <c r="B78" s="27" t="s">
        <v>156</v>
      </c>
      <c r="C78" s="120" t="s">
        <v>15</v>
      </c>
      <c r="D78" s="138">
        <f t="shared" ca="1" si="4"/>
        <v>77</v>
      </c>
      <c r="E78" s="31">
        <f ca="1">VLOOKUP(A78,Rankings!$B$1:$H$651,6,FALSE)+(RAND()*0.00001)</f>
        <v>201.83000200654547</v>
      </c>
      <c r="F78" s="31">
        <f ca="1">E78-VLOOKUP(Settings!$K$2+Settings!$K$4,D$2:E$500,2,FALSE)</f>
        <v>-91.64555741127387</v>
      </c>
      <c r="G78" s="138">
        <f t="shared" ca="1" si="5"/>
        <v>63</v>
      </c>
      <c r="H78" s="31">
        <f ca="1">VLOOKUP(A78,Rankings!$B$1:$H$651,7,FALSE)+(RAND()*0.00001)</f>
        <v>-1.2039929129096867</v>
      </c>
      <c r="I78" s="31">
        <f ca="1">H78-VLOOKUP(Settings!$K$2+Settings!$K$4,G$2:H$94,2,FALSE)</f>
        <v>-1.4294771316881372</v>
      </c>
      <c r="J78" s="31" t="str">
        <f>VLOOKUP(A78,Rankings!B:D,3,FALSE)</f>
        <v>AL</v>
      </c>
    </row>
    <row r="79" spans="1:10" ht="20.100000000000001" customHeight="1">
      <c r="A79" s="26" t="s">
        <v>591</v>
      </c>
      <c r="B79" s="27" t="s">
        <v>158</v>
      </c>
      <c r="C79" s="120" t="s">
        <v>15</v>
      </c>
      <c r="D79" s="138">
        <f t="shared" ca="1" si="4"/>
        <v>78</v>
      </c>
      <c r="E79" s="31">
        <f ca="1">VLOOKUP(A79,Rankings!$B$1:$H$651,6,FALSE)+(RAND()*0.00001)</f>
        <v>194.19806259804693</v>
      </c>
      <c r="F79" s="31">
        <f ca="1">E79-VLOOKUP(Settings!$K$2+Settings!$K$4,D$2:E$500,2,FALSE)</f>
        <v>-99.277496819772409</v>
      </c>
      <c r="G79" s="138">
        <f t="shared" ca="1" si="5"/>
        <v>79</v>
      </c>
      <c r="H79" s="31">
        <f ca="1">VLOOKUP(A79,Rankings!$B$1:$H$651,7,FALSE)+(RAND()*0.00001)</f>
        <v>-2.7970292575938638</v>
      </c>
      <c r="I79" s="31">
        <f ca="1">H79-VLOOKUP(Settings!$K$2+Settings!$K$4,G$2:H$94,2,FALSE)</f>
        <v>-3.022513476372314</v>
      </c>
      <c r="J79" s="31" t="str">
        <f>VLOOKUP(A79,Rankings!B:D,3,FALSE)</f>
        <v>NL</v>
      </c>
    </row>
    <row r="80" spans="1:10" ht="20.100000000000001" customHeight="1">
      <c r="A80" s="26" t="s">
        <v>629</v>
      </c>
      <c r="B80" s="27" t="s">
        <v>86</v>
      </c>
      <c r="C80" s="120" t="s">
        <v>15</v>
      </c>
      <c r="D80" s="138">
        <f t="shared" ca="1" si="4"/>
        <v>79</v>
      </c>
      <c r="E80" s="31">
        <f ca="1">VLOOKUP(A80,Rankings!$B$1:$H$651,6,FALSE)+(RAND()*0.00001)</f>
        <v>167.45278764454869</v>
      </c>
      <c r="F80" s="31">
        <f ca="1">E80-VLOOKUP(Settings!$K$2+Settings!$K$4,D$2:E$500,2,FALSE)</f>
        <v>-126.02277177327065</v>
      </c>
      <c r="G80" s="138">
        <f t="shared" ca="1" si="5"/>
        <v>83</v>
      </c>
      <c r="H80" s="31">
        <f ca="1">VLOOKUP(A80,Rankings!$B$1:$H$651,7,FALSE)+(RAND()*0.00001)</f>
        <v>-3.626904815437678</v>
      </c>
      <c r="I80" s="31">
        <f ca="1">H80-VLOOKUP(Settings!$K$2+Settings!$K$4,G$2:H$94,2,FALSE)</f>
        <v>-3.8523890342161282</v>
      </c>
      <c r="J80" s="31" t="str">
        <f>VLOOKUP(A80,Rankings!B:D,3,FALSE)</f>
        <v>AL</v>
      </c>
    </row>
    <row r="81" spans="1:10" ht="20.100000000000001" customHeight="1">
      <c r="A81" s="26" t="s">
        <v>713</v>
      </c>
      <c r="B81" s="27" t="s">
        <v>137</v>
      </c>
      <c r="C81" s="117" t="s">
        <v>7</v>
      </c>
      <c r="D81" s="138">
        <f t="shared" ca="1" si="4"/>
        <v>82</v>
      </c>
      <c r="E81" s="31">
        <f ca="1">VLOOKUP(A81,Rankings!$B$1:$H$651,6,FALSE)+(RAND()*0.00001)</f>
        <v>149.11944658711406</v>
      </c>
      <c r="F81" s="31">
        <f ca="1">E81-VLOOKUP(Settings!$K$2+Settings!$K$4,D$2:E$500,2,FALSE)</f>
        <v>-144.35611283070529</v>
      </c>
      <c r="G81" s="138">
        <f t="shared" ca="1" si="5"/>
        <v>88</v>
      </c>
      <c r="H81" s="31">
        <f ca="1">VLOOKUP(A81,Rankings!$B$1:$H$651,7,FALSE)+(RAND()*0.00001)</f>
        <v>-4.1764556870726697</v>
      </c>
      <c r="I81" s="31">
        <f ca="1">H81-VLOOKUP(Settings!$K$2+Settings!$K$4,G$2:H$94,2,FALSE)</f>
        <v>-4.4019399058511199</v>
      </c>
      <c r="J81" s="31" t="str">
        <f>VLOOKUP(A81,Rankings!B:D,3,FALSE)</f>
        <v>NL</v>
      </c>
    </row>
    <row r="82" spans="1:10" ht="20.100000000000001" customHeight="1">
      <c r="A82" s="26" t="s">
        <v>688</v>
      </c>
      <c r="B82" s="27" t="s">
        <v>158</v>
      </c>
      <c r="C82" s="117" t="s">
        <v>7</v>
      </c>
      <c r="D82" s="138">
        <f t="shared" ca="1" si="4"/>
        <v>81</v>
      </c>
      <c r="E82" s="31">
        <f ca="1">VLOOKUP(A82,Rankings!$B$1:$H$651,6,FALSE)+(RAND()*0.00001)</f>
        <v>161.15139651086258</v>
      </c>
      <c r="F82" s="31">
        <f ca="1">E82-VLOOKUP(Settings!$K$2+Settings!$K$4,D$2:E$500,2,FALSE)</f>
        <v>-132.32416290695676</v>
      </c>
      <c r="G82" s="138">
        <f t="shared" ca="1" si="5"/>
        <v>80</v>
      </c>
      <c r="H82" s="31">
        <f ca="1">VLOOKUP(A82,Rankings!$B$1:$H$651,7,FALSE)+(RAND()*0.00001)</f>
        <v>-3.1476598256128079</v>
      </c>
      <c r="I82" s="31">
        <f ca="1">H82-VLOOKUP(Settings!$K$2+Settings!$K$4,G$2:H$94,2,FALSE)</f>
        <v>-3.3731440443912586</v>
      </c>
      <c r="J82" s="31" t="str">
        <f>VLOOKUP(A82,Rankings!B:D,3,FALSE)</f>
        <v>NL</v>
      </c>
    </row>
    <row r="83" spans="1:10" ht="20.100000000000001" customHeight="1">
      <c r="A83" s="26" t="s">
        <v>705</v>
      </c>
      <c r="B83" s="27" t="s">
        <v>97</v>
      </c>
      <c r="C83" s="117" t="s">
        <v>7</v>
      </c>
      <c r="D83" s="138">
        <f t="shared" ca="1" si="4"/>
        <v>84</v>
      </c>
      <c r="E83" s="31">
        <f ca="1">VLOOKUP(A83,Rankings!$B$1:$H$651,6,FALSE)+(RAND()*0.00001)</f>
        <v>140.6933429183257</v>
      </c>
      <c r="F83" s="31">
        <f ca="1">E83-VLOOKUP(Settings!$K$2+Settings!$K$4,D$2:E$500,2,FALSE)</f>
        <v>-152.78221649949364</v>
      </c>
      <c r="G83" s="138">
        <f t="shared" ca="1" si="5"/>
        <v>86</v>
      </c>
      <c r="H83" s="31">
        <f ca="1">VLOOKUP(A83,Rankings!$B$1:$H$651,7,FALSE)+(RAND()*0.00001)</f>
        <v>-4.0170829810921411</v>
      </c>
      <c r="I83" s="31">
        <f ca="1">H83-VLOOKUP(Settings!$K$2+Settings!$K$4,G$2:H$94,2,FALSE)</f>
        <v>-4.2425671998705914</v>
      </c>
      <c r="J83" s="31" t="str">
        <f>VLOOKUP(A83,Rankings!B:D,3,FALSE)</f>
        <v>NL</v>
      </c>
    </row>
    <row r="84" spans="1:10" ht="20.100000000000001" customHeight="1">
      <c r="A84" s="26" t="s">
        <v>658</v>
      </c>
      <c r="B84" s="27" t="s">
        <v>176</v>
      </c>
      <c r="C84" s="120" t="s">
        <v>15</v>
      </c>
      <c r="D84" s="138">
        <f t="shared" ca="1" si="4"/>
        <v>80</v>
      </c>
      <c r="E84" s="31">
        <f ca="1">VLOOKUP(A84,Rankings!$B$1:$H$651,6,FALSE)+(RAND()*0.00001)</f>
        <v>165.74750539529168</v>
      </c>
      <c r="F84" s="31">
        <f ca="1">E84-VLOOKUP(Settings!$K$2+Settings!$K$4,D$2:E$500,2,FALSE)</f>
        <v>-127.72805402252766</v>
      </c>
      <c r="G84" s="138">
        <f t="shared" ca="1" si="5"/>
        <v>78</v>
      </c>
      <c r="H84" s="31">
        <f ca="1">VLOOKUP(A84,Rankings!$B$1:$H$651,7,FALSE)+(RAND()*0.00001)</f>
        <v>-2.4347515063680243</v>
      </c>
      <c r="I84" s="31">
        <f ca="1">H84-VLOOKUP(Settings!$K$2+Settings!$K$4,G$2:H$94,2,FALSE)</f>
        <v>-2.6602357251464746</v>
      </c>
      <c r="J84" s="31" t="str">
        <f>VLOOKUP(A84,Rankings!B:D,3,FALSE)</f>
        <v>NL</v>
      </c>
    </row>
    <row r="85" spans="1:10" ht="20.100000000000001" customHeight="1">
      <c r="A85" s="26" t="s">
        <v>641</v>
      </c>
      <c r="B85" s="27" t="s">
        <v>86</v>
      </c>
      <c r="C85" s="120" t="s">
        <v>15</v>
      </c>
      <c r="D85" s="138">
        <f t="shared" ca="1" si="4"/>
        <v>85</v>
      </c>
      <c r="E85" s="31">
        <f ca="1">VLOOKUP(A85,Rankings!$B$1:$H$651,6,FALSE)+(RAND()*0.00001)</f>
        <v>135.36333703902528</v>
      </c>
      <c r="F85" s="31">
        <f ca="1">E85-VLOOKUP(Settings!$K$2+Settings!$K$4,D$2:E$500,2,FALSE)</f>
        <v>-158.11222237879406</v>
      </c>
      <c r="G85" s="138">
        <f t="shared" ca="1" si="5"/>
        <v>84</v>
      </c>
      <c r="H85" s="31">
        <f ca="1">VLOOKUP(A85,Rankings!$B$1:$H$651,7,FALSE)+(RAND()*0.00001)</f>
        <v>-3.9069149852767162</v>
      </c>
      <c r="I85" s="31">
        <f ca="1">H85-VLOOKUP(Settings!$K$2+Settings!$K$4,G$2:H$94,2,FALSE)</f>
        <v>-4.1323992040551669</v>
      </c>
      <c r="J85" s="31" t="str">
        <f>VLOOKUP(A85,Rankings!B:D,3,FALSE)</f>
        <v>AL</v>
      </c>
    </row>
    <row r="86" spans="1:10" ht="20.100000000000001" customHeight="1">
      <c r="A86" s="26" t="s">
        <v>610</v>
      </c>
      <c r="B86" s="27" t="s">
        <v>120</v>
      </c>
      <c r="C86" s="120" t="s">
        <v>15</v>
      </c>
      <c r="D86" s="138">
        <f t="shared" ca="1" si="4"/>
        <v>86</v>
      </c>
      <c r="E86" s="31">
        <f ca="1">VLOOKUP(A86,Rankings!$B$1:$H$651,6,FALSE)+(RAND()*0.00001)</f>
        <v>133.77333344478163</v>
      </c>
      <c r="F86" s="31">
        <f ca="1">E86-VLOOKUP(Settings!$K$2+Settings!$K$4,D$2:E$500,2,FALSE)</f>
        <v>-159.70222597303771</v>
      </c>
      <c r="G86" s="138">
        <f t="shared" ca="1" si="5"/>
        <v>85</v>
      </c>
      <c r="H86" s="31">
        <f ca="1">VLOOKUP(A86,Rankings!$B$1:$H$651,7,FALSE)+(RAND()*0.00001)</f>
        <v>-3.9190538170379363</v>
      </c>
      <c r="I86" s="31">
        <f ca="1">H86-VLOOKUP(Settings!$K$2+Settings!$K$4,G$2:H$94,2,FALSE)</f>
        <v>-4.144538035816387</v>
      </c>
      <c r="J86" s="31" t="str">
        <f>VLOOKUP(A86,Rankings!B:D,3,FALSE)</f>
        <v>NL</v>
      </c>
    </row>
    <row r="87" spans="1:10" ht="20.100000000000001" customHeight="1">
      <c r="A87" s="26" t="s">
        <v>718</v>
      </c>
      <c r="B87" s="27" t="s">
        <v>94</v>
      </c>
      <c r="C87" s="117" t="s">
        <v>7</v>
      </c>
      <c r="D87" s="138">
        <f t="shared" ca="1" si="4"/>
        <v>87</v>
      </c>
      <c r="E87" s="31">
        <f ca="1">VLOOKUP(A87,Rankings!$B$1:$H$651,6,FALSE)+(RAND()*0.00001)</f>
        <v>133.75445096585861</v>
      </c>
      <c r="F87" s="31">
        <f ca="1">E87-VLOOKUP(Settings!$K$2+Settings!$K$4,D$2:E$500,2,FALSE)</f>
        <v>-159.72110845196073</v>
      </c>
      <c r="G87" s="138">
        <f t="shared" ca="1" si="5"/>
        <v>95</v>
      </c>
      <c r="H87" s="31">
        <f ca="1">VLOOKUP(A87,Rankings!$B$1:$H$651,7,FALSE)+(RAND()*0.00001)</f>
        <v>-5.1035114928512746</v>
      </c>
      <c r="I87" s="31">
        <f ca="1">H87-VLOOKUP(Settings!$K$2+Settings!$K$4,G$2:H$94,2,FALSE)</f>
        <v>-5.3289957116297249</v>
      </c>
      <c r="J87" s="31" t="str">
        <f>VLOOKUP(A87,Rankings!B:D,3,FALSE)</f>
        <v>AL</v>
      </c>
    </row>
    <row r="88" spans="1:10" ht="20.100000000000001" customHeight="1">
      <c r="A88" s="26" t="s">
        <v>727</v>
      </c>
      <c r="B88" s="27" t="s">
        <v>117</v>
      </c>
      <c r="C88" s="117" t="s">
        <v>7</v>
      </c>
      <c r="D88" s="138">
        <f t="shared" ca="1" si="4"/>
        <v>88</v>
      </c>
      <c r="E88" s="31">
        <f ca="1">VLOOKUP(A88,Rankings!$B$1:$H$651,6,FALSE)+(RAND()*0.00001)</f>
        <v>132.2261202942326</v>
      </c>
      <c r="F88" s="31">
        <f ca="1">E88-VLOOKUP(Settings!$K$2+Settings!$K$4,D$2:E$500,2,FALSE)</f>
        <v>-161.24943912358674</v>
      </c>
      <c r="G88" s="138">
        <f t="shared" ca="1" si="5"/>
        <v>91</v>
      </c>
      <c r="H88" s="31">
        <f ca="1">VLOOKUP(A88,Rankings!$B$1:$H$651,7,FALSE)+(RAND()*0.00001)</f>
        <v>-4.963282568973022</v>
      </c>
      <c r="I88" s="31">
        <f ca="1">H88-VLOOKUP(Settings!$K$2+Settings!$K$4,G$2:H$94,2,FALSE)</f>
        <v>-5.1887667877514723</v>
      </c>
      <c r="J88" s="31" t="str">
        <f>VLOOKUP(A88,Rankings!B:D,3,FALSE)</f>
        <v>AL</v>
      </c>
    </row>
    <row r="89" spans="1:10" ht="20.100000000000001" customHeight="1">
      <c r="A89" s="26" t="s">
        <v>672</v>
      </c>
      <c r="B89" s="27"/>
      <c r="C89" s="117" t="s">
        <v>7</v>
      </c>
      <c r="D89" s="138">
        <f t="shared" ca="1" si="4"/>
        <v>90</v>
      </c>
      <c r="E89" s="31">
        <f ca="1">VLOOKUP(A89,Rankings!$B$1:$H$651,6,FALSE)+(RAND()*0.00001)</f>
        <v>127.82278429357854</v>
      </c>
      <c r="F89" s="31">
        <f ca="1">E89-VLOOKUP(Settings!$K$2+Settings!$K$4,D$2:E$500,2,FALSE)</f>
        <v>-165.6527751242408</v>
      </c>
      <c r="G89" s="138">
        <f t="shared" ca="1" si="5"/>
        <v>81</v>
      </c>
      <c r="H89" s="31">
        <f ca="1">VLOOKUP(A89,Rankings!$B$1:$H$651,7,FALSE)+(RAND()*0.00001)</f>
        <v>-3.343181348032525</v>
      </c>
      <c r="I89" s="31">
        <f ca="1">H89-VLOOKUP(Settings!$K$2+Settings!$K$4,G$2:H$94,2,FALSE)</f>
        <v>-3.5686655668109752</v>
      </c>
      <c r="J89" s="31" t="str">
        <f>VLOOKUP(A89,Rankings!B:D,3,FALSE)</f>
        <v>AL</v>
      </c>
    </row>
    <row r="90" spans="1:10" ht="20.100000000000001" customHeight="1">
      <c r="A90" s="26" t="s">
        <v>659</v>
      </c>
      <c r="B90" s="27" t="s">
        <v>95</v>
      </c>
      <c r="C90" s="120" t="s">
        <v>15</v>
      </c>
      <c r="D90" s="138">
        <f t="shared" ca="1" si="4"/>
        <v>89</v>
      </c>
      <c r="E90" s="31">
        <f ca="1">VLOOKUP(A90,Rankings!$B$1:$H$651,6,FALSE)+(RAND()*0.00001)</f>
        <v>130.24444920632052</v>
      </c>
      <c r="F90" s="31">
        <f ca="1">E90-VLOOKUP(Settings!$K$2+Settings!$K$4,D$2:E$500,2,FALSE)</f>
        <v>-163.23111021149882</v>
      </c>
      <c r="G90" s="138">
        <f t="shared" ca="1" si="5"/>
        <v>87</v>
      </c>
      <c r="H90" s="31">
        <f ca="1">VLOOKUP(A90,Rankings!$B$1:$H$651,7,FALSE)+(RAND()*0.00001)</f>
        <v>-4.1243317572117855</v>
      </c>
      <c r="I90" s="31">
        <f ca="1">H90-VLOOKUP(Settings!$K$2+Settings!$K$4,G$2:H$94,2,FALSE)</f>
        <v>-4.3498159759902357</v>
      </c>
      <c r="J90" s="31" t="str">
        <f>VLOOKUP(A90,Rankings!B:D,3,FALSE)</f>
        <v>NL</v>
      </c>
    </row>
    <row r="91" spans="1:10" ht="20.100000000000001" customHeight="1">
      <c r="A91" s="26" t="s">
        <v>695</v>
      </c>
      <c r="B91" s="27" t="s">
        <v>306</v>
      </c>
      <c r="C91" s="120" t="s">
        <v>15</v>
      </c>
      <c r="D91" s="138">
        <f t="shared" ca="1" si="4"/>
        <v>92</v>
      </c>
      <c r="E91" s="31">
        <f ca="1">VLOOKUP(A91,Rankings!$B$1:$H$651,6,FALSE)+(RAND()*0.00001)</f>
        <v>114.41889145250258</v>
      </c>
      <c r="F91" s="31">
        <f ca="1">E91-VLOOKUP(Settings!$K$2+Settings!$K$4,D$2:E$500,2,FALSE)</f>
        <v>-179.05666796531676</v>
      </c>
      <c r="G91" s="138">
        <f t="shared" ca="1" si="5"/>
        <v>93</v>
      </c>
      <c r="H91" s="31">
        <f ca="1">VLOOKUP(A91,Rankings!$B$1:$H$651,7,FALSE)+(RAND()*0.00001)</f>
        <v>-5.0853315479458114</v>
      </c>
      <c r="I91" s="31">
        <f ca="1">H91-VLOOKUP(Settings!$K$2+Settings!$K$4,G$2:H$94,2,FALSE)</f>
        <v>-5.3108157667242617</v>
      </c>
      <c r="J91" s="31" t="str">
        <f>VLOOKUP(A91,Rankings!B:D,3,FALSE)</f>
        <v>NL</v>
      </c>
    </row>
    <row r="92" spans="1:10" ht="20.100000000000001" customHeight="1">
      <c r="A92" s="26" t="s">
        <v>633</v>
      </c>
      <c r="B92" s="27"/>
      <c r="C92" s="117" t="s">
        <v>7</v>
      </c>
      <c r="D92" s="138">
        <f t="shared" ca="1" si="4"/>
        <v>95</v>
      </c>
      <c r="E92" s="31">
        <f ca="1">VLOOKUP(A92,Rankings!$B$1:$H$651,6,FALSE)+(RAND()*0.00001)</f>
        <v>105.88278103491162</v>
      </c>
      <c r="F92" s="31">
        <f ca="1">E92-VLOOKUP(Settings!$K$2+Settings!$K$4,D$2:E$500,2,FALSE)</f>
        <v>-187.59277838290774</v>
      </c>
      <c r="G92" s="138">
        <f t="shared" ca="1" si="5"/>
        <v>98</v>
      </c>
      <c r="H92" s="31">
        <f ca="1">VLOOKUP(A92,Rankings!$B$1:$H$651,7,FALSE)+(RAND()*0.00001)</f>
        <v>-5.2709834884663902</v>
      </c>
      <c r="I92" s="31">
        <f ca="1">H92-VLOOKUP(Settings!$K$2+Settings!$K$4,G$2:H$94,2,FALSE)</f>
        <v>-5.4964677072448405</v>
      </c>
      <c r="J92" s="31" t="str">
        <f>VLOOKUP(A92,Rankings!B:D,3,FALSE)</f>
        <v>AL</v>
      </c>
    </row>
    <row r="93" spans="1:10" ht="20.100000000000001" customHeight="1">
      <c r="A93" s="26" t="s">
        <v>725</v>
      </c>
      <c r="B93" s="27" t="s">
        <v>140</v>
      </c>
      <c r="C93" s="117" t="s">
        <v>7</v>
      </c>
      <c r="D93" s="138">
        <f t="shared" ca="1" si="4"/>
        <v>91</v>
      </c>
      <c r="E93" s="31">
        <f ca="1">VLOOKUP(A93,Rankings!$B$1:$H$651,6,FALSE)+(RAND()*0.00001)</f>
        <v>115.84333462047213</v>
      </c>
      <c r="F93" s="31">
        <f ca="1">E93-VLOOKUP(Settings!$K$2+Settings!$K$4,D$2:E$500,2,FALSE)</f>
        <v>-177.63222479734719</v>
      </c>
      <c r="G93" s="138">
        <f t="shared" ca="1" si="5"/>
        <v>102</v>
      </c>
      <c r="H93" s="31">
        <f ca="1">VLOOKUP(A93,Rankings!$B$1:$H$651,7,FALSE)+(RAND()*0.00001)</f>
        <v>-5.9329987469217382</v>
      </c>
      <c r="I93" s="31">
        <f ca="1">H93-VLOOKUP(Settings!$K$2+Settings!$K$4,G$2:H$94,2,FALSE)</f>
        <v>-6.1584829657001885</v>
      </c>
      <c r="J93" s="31" t="str">
        <f>VLOOKUP(A93,Rankings!B:D,3,FALSE)</f>
        <v>AL</v>
      </c>
    </row>
    <row r="94" spans="1:10" ht="20.100000000000001" customHeight="1">
      <c r="A94" s="26" t="s">
        <v>717</v>
      </c>
      <c r="B94" s="27" t="s">
        <v>103</v>
      </c>
      <c r="C94" s="117" t="s">
        <v>7</v>
      </c>
      <c r="D94" s="138">
        <f t="shared" ca="1" si="4"/>
        <v>93</v>
      </c>
      <c r="E94" s="31">
        <f ca="1">VLOOKUP(A94,Rankings!$B$1:$H$651,6,FALSE)+(RAND()*0.00001)</f>
        <v>112.29055879746308</v>
      </c>
      <c r="F94" s="31">
        <f ca="1">E94-VLOOKUP(Settings!$K$2+Settings!$K$4,D$2:E$500,2,FALSE)</f>
        <v>-181.18500062035628</v>
      </c>
      <c r="G94" s="138">
        <f t="shared" ca="1" si="5"/>
        <v>94</v>
      </c>
      <c r="H94" s="31">
        <f ca="1">VLOOKUP(A94,Rankings!$B$1:$H$651,7,FALSE)+(RAND()*0.00001)</f>
        <v>-5.0981449281226636</v>
      </c>
      <c r="I94" s="31">
        <f ca="1">H94-VLOOKUP(Settings!$K$2+Settings!$K$4,G$2:H$94,2,FALSE)</f>
        <v>-5.3236291469011139</v>
      </c>
      <c r="J94" s="31" t="str">
        <f>VLOOKUP(A94,Rankings!B:D,3,FALSE)</f>
        <v>AL</v>
      </c>
    </row>
    <row r="95" spans="1:10" ht="20.100000000000001" customHeight="1">
      <c r="A95" s="26" t="s">
        <v>685</v>
      </c>
      <c r="B95" s="27" t="s">
        <v>134</v>
      </c>
      <c r="C95" s="120" t="s">
        <v>15</v>
      </c>
      <c r="D95" s="138">
        <f t="shared" ca="1" si="4"/>
        <v>99</v>
      </c>
      <c r="E95" s="31">
        <f ca="1">VLOOKUP(A95,Rankings!$B$1:$H$651,6,FALSE)+(RAND()*0.00001)</f>
        <v>87.008894037338834</v>
      </c>
      <c r="F95" s="31">
        <f ca="1">E95-VLOOKUP(Settings!$K$2+Settings!$K$4,D$2:E$500,2,FALSE)</f>
        <v>-206.46666538048049</v>
      </c>
      <c r="G95" s="138">
        <f t="shared" ca="1" si="5"/>
        <v>96</v>
      </c>
      <c r="H95" s="31">
        <f ca="1">VLOOKUP(A95,Rankings!$B$1:$H$651,7,FALSE)+(RAND()*0.00001)</f>
        <v>-5.1560583370659634</v>
      </c>
      <c r="I95" s="31">
        <f ca="1">H95-VLOOKUP(Settings!$K$2+Settings!$K$4,G$2:H$94,2,FALSE)</f>
        <v>-5.3815425558444137</v>
      </c>
      <c r="J95" s="31" t="str">
        <f>VLOOKUP(A95,Rankings!B:D,3,FALSE)</f>
        <v>NL</v>
      </c>
    </row>
    <row r="96" spans="1:10" ht="20.100000000000001" customHeight="1">
      <c r="A96" s="26" t="s">
        <v>710</v>
      </c>
      <c r="B96" s="27" t="s">
        <v>306</v>
      </c>
      <c r="C96" s="120" t="s">
        <v>15</v>
      </c>
      <c r="D96" s="138">
        <f t="shared" ca="1" si="4"/>
        <v>94</v>
      </c>
      <c r="E96" s="31">
        <f ca="1">VLOOKUP(A96,Rankings!$B$1:$H$651,6,FALSE)+(RAND()*0.00001)</f>
        <v>108.54333641095258</v>
      </c>
      <c r="F96" s="31">
        <f ca="1">E96-VLOOKUP(Settings!$K$2+Settings!$K$4,D$2:E$500,2,FALSE)</f>
        <v>-184.93222300686676</v>
      </c>
      <c r="G96" s="138">
        <f t="shared" ca="1" si="5"/>
        <v>100</v>
      </c>
      <c r="H96" s="31">
        <f ca="1">VLOOKUP(A96,Rankings!$B$1:$H$651,7,FALSE)+(RAND()*0.00001)</f>
        <v>-5.718473448278762</v>
      </c>
      <c r="I96" s="31">
        <f ca="1">H96-VLOOKUP(Settings!$K$2+Settings!$K$4,G$2:H$94,2,FALSE)</f>
        <v>-5.9439576670572123</v>
      </c>
      <c r="J96" s="31" t="str">
        <f>VLOOKUP(A96,Rankings!B:D,3,FALSE)</f>
        <v>NL</v>
      </c>
    </row>
    <row r="97" spans="1:10" ht="20.100000000000001" customHeight="1">
      <c r="A97" s="26" t="s">
        <v>684</v>
      </c>
      <c r="B97" s="27" t="s">
        <v>114</v>
      </c>
      <c r="C97" s="120" t="s">
        <v>15</v>
      </c>
      <c r="D97" s="138">
        <f t="shared" ca="1" si="4"/>
        <v>96</v>
      </c>
      <c r="E97" s="31">
        <f ca="1">VLOOKUP(A97,Rankings!$B$1:$H$651,6,FALSE)+(RAND()*0.00001)</f>
        <v>101.0752850696915</v>
      </c>
      <c r="F97" s="31">
        <f ca="1">E97-VLOOKUP(Settings!$K$2+Settings!$K$4,D$2:E$500,2,FALSE)</f>
        <v>-192.40027434812782</v>
      </c>
      <c r="G97" s="138">
        <f t="shared" ca="1" si="5"/>
        <v>90</v>
      </c>
      <c r="H97" s="31">
        <f ca="1">VLOOKUP(A97,Rankings!$B$1:$H$651,7,FALSE)+(RAND()*0.00001)</f>
        <v>-4.9209063406527349</v>
      </c>
      <c r="I97" s="31">
        <f ca="1">H97-VLOOKUP(Settings!$K$2+Settings!$K$4,G$2:H$94,2,FALSE)</f>
        <v>-5.1463905594311852</v>
      </c>
      <c r="J97" s="31" t="str">
        <f>VLOOKUP(A97,Rankings!B:D,3,FALSE)</f>
        <v>AL</v>
      </c>
    </row>
    <row r="98" spans="1:10" ht="20.100000000000001" customHeight="1">
      <c r="A98" s="26" t="s">
        <v>665</v>
      </c>
      <c r="B98" s="27" t="s">
        <v>306</v>
      </c>
      <c r="C98" s="120" t="s">
        <v>15</v>
      </c>
      <c r="D98" s="138">
        <f t="shared" ref="D98:D104" ca="1" si="6">RANK(E98,E$2:E$500)</f>
        <v>97</v>
      </c>
      <c r="E98" s="31">
        <f ca="1">VLOOKUP(A98,Rankings!$B$1:$H$651,6,FALSE)+(RAND()*0.00001)</f>
        <v>98.871676090427528</v>
      </c>
      <c r="F98" s="31">
        <f ca="1">E98-VLOOKUP(Settings!$K$2+Settings!$K$4,D$2:E$500,2,FALSE)</f>
        <v>-194.60388332739183</v>
      </c>
      <c r="G98" s="138">
        <f t="shared" ref="G98:G104" ca="1" si="7">RANK(H98,H$2:H$500)</f>
        <v>89</v>
      </c>
      <c r="H98" s="31">
        <f ca="1">VLOOKUP(A98,Rankings!$B$1:$H$651,7,FALSE)+(RAND()*0.00001)</f>
        <v>-4.4487230779932361</v>
      </c>
      <c r="I98" s="31">
        <f ca="1">H98-VLOOKUP(Settings!$K$2+Settings!$K$4,G$2:H$94,2,FALSE)</f>
        <v>-4.6742072967716863</v>
      </c>
      <c r="J98" s="31" t="str">
        <f>VLOOKUP(A98,Rankings!B:D,3,FALSE)</f>
        <v>NL</v>
      </c>
    </row>
    <row r="99" spans="1:10" ht="20.100000000000001" customHeight="1">
      <c r="A99" s="26" t="s">
        <v>708</v>
      </c>
      <c r="B99" s="27" t="s">
        <v>91</v>
      </c>
      <c r="C99" s="120" t="s">
        <v>15</v>
      </c>
      <c r="D99" s="138">
        <f t="shared" ca="1" si="6"/>
        <v>101</v>
      </c>
      <c r="E99" s="31">
        <f ca="1">VLOOKUP(A99,Rankings!$B$1:$H$651,6,FALSE)+(RAND()*0.00001)</f>
        <v>81.393892635692652</v>
      </c>
      <c r="F99" s="31">
        <f ca="1">E99-VLOOKUP(Settings!$K$2+Settings!$K$4,D$2:E$500,2,FALSE)</f>
        <v>-212.08166678212669</v>
      </c>
      <c r="G99" s="138">
        <f t="shared" ca="1" si="7"/>
        <v>99</v>
      </c>
      <c r="H99" s="31">
        <f ca="1">VLOOKUP(A99,Rankings!$B$1:$H$651,7,FALSE)+(RAND()*0.00001)</f>
        <v>-5.6475663052449603</v>
      </c>
      <c r="I99" s="31">
        <f ca="1">H99-VLOOKUP(Settings!$K$2+Settings!$K$4,G$2:H$94,2,FALSE)</f>
        <v>-5.8730505240234105</v>
      </c>
      <c r="J99" s="31" t="str">
        <f>VLOOKUP(A99,Rankings!B:D,3,FALSE)</f>
        <v>NL</v>
      </c>
    </row>
    <row r="100" spans="1:10" ht="20.100000000000001" customHeight="1">
      <c r="A100" s="26" t="s">
        <v>707</v>
      </c>
      <c r="B100" s="27" t="s">
        <v>97</v>
      </c>
      <c r="C100" s="120" t="s">
        <v>15</v>
      </c>
      <c r="D100" s="138">
        <f t="shared" ca="1" si="6"/>
        <v>100</v>
      </c>
      <c r="E100" s="31">
        <f ca="1">VLOOKUP(A100,Rankings!$B$1:$H$651,6,FALSE)+(RAND()*0.00001)</f>
        <v>83.185008477308273</v>
      </c>
      <c r="F100" s="31">
        <f ca="1">E100-VLOOKUP(Settings!$K$2+Settings!$K$4,D$2:E$500,2,FALSE)</f>
        <v>-210.29055094051108</v>
      </c>
      <c r="G100" s="138">
        <f t="shared" ca="1" si="7"/>
        <v>101</v>
      </c>
      <c r="H100" s="31">
        <f ca="1">VLOOKUP(A100,Rankings!$B$1:$H$651,7,FALSE)+(RAND()*0.00001)</f>
        <v>-5.8539984543757626</v>
      </c>
      <c r="I100" s="31">
        <f ca="1">H100-VLOOKUP(Settings!$K$2+Settings!$K$4,G$2:H$94,2,FALSE)</f>
        <v>-6.0794826731542129</v>
      </c>
      <c r="J100" s="31" t="str">
        <f>VLOOKUP(A100,Rankings!B:D,3,FALSE)</f>
        <v>NL</v>
      </c>
    </row>
    <row r="101" spans="1:10" ht="20.100000000000001" customHeight="1">
      <c r="A101" s="26" t="s">
        <v>706</v>
      </c>
      <c r="B101" s="27" t="s">
        <v>78</v>
      </c>
      <c r="C101" s="120" t="s">
        <v>15</v>
      </c>
      <c r="D101" s="138">
        <f t="shared" ca="1" si="6"/>
        <v>98</v>
      </c>
      <c r="E101" s="31">
        <f ca="1">VLOOKUP(A101,Rankings!$B$1:$H$651,6,FALSE)+(RAND()*0.00001)</f>
        <v>98.310833739611908</v>
      </c>
      <c r="F101" s="31">
        <f ca="1">E101-VLOOKUP(Settings!$K$2+Settings!$K$4,D$2:E$500,2,FALSE)</f>
        <v>-195.16472567820745</v>
      </c>
      <c r="G101" s="138">
        <f t="shared" ca="1" si="7"/>
        <v>97</v>
      </c>
      <c r="H101" s="31">
        <f ca="1">VLOOKUP(A101,Rankings!$B$1:$H$651,7,FALSE)+(RAND()*0.00001)</f>
        <v>-5.2668887664265052</v>
      </c>
      <c r="I101" s="31">
        <f ca="1">H101-VLOOKUP(Settings!$K$2+Settings!$K$4,G$2:H$94,2,FALSE)</f>
        <v>-5.4923729852049554</v>
      </c>
      <c r="J101" s="31" t="str">
        <f>VLOOKUP(A101,Rankings!B:D,3,FALSE)</f>
        <v>AL</v>
      </c>
    </row>
    <row r="102" spans="1:10" ht="20.100000000000001" customHeight="1">
      <c r="A102" s="26" t="s">
        <v>720</v>
      </c>
      <c r="B102" s="27" t="s">
        <v>258</v>
      </c>
      <c r="C102" s="120" t="s">
        <v>15</v>
      </c>
      <c r="D102" s="138">
        <f t="shared" ca="1" si="6"/>
        <v>103</v>
      </c>
      <c r="E102" s="31">
        <f ca="1">VLOOKUP(A102,Rankings!$B$1:$H$651,6,FALSE)+(RAND()*0.00001)</f>
        <v>68.832787601221042</v>
      </c>
      <c r="F102" s="31">
        <f ca="1">E102-VLOOKUP(Settings!$K$2+Settings!$K$4,D$2:E$500,2,FALSE)</f>
        <v>-224.6427718165983</v>
      </c>
      <c r="G102" s="138">
        <f t="shared" ca="1" si="7"/>
        <v>103</v>
      </c>
      <c r="H102" s="31">
        <f ca="1">VLOOKUP(A102,Rankings!$B$1:$H$651,7,FALSE)+(RAND()*0.00001)</f>
        <v>-6.5967358791186124</v>
      </c>
      <c r="I102" s="31">
        <f ca="1">H102-VLOOKUP(Settings!$K$2+Settings!$K$4,G$2:H$94,2,FALSE)</f>
        <v>-6.8222200978970626</v>
      </c>
      <c r="J102" s="31" t="str">
        <f>VLOOKUP(A102,Rankings!B:D,3,FALSE)</f>
        <v>AL</v>
      </c>
    </row>
    <row r="103" spans="1:10" ht="20.100000000000001" customHeight="1">
      <c r="A103" s="26" t="s">
        <v>681</v>
      </c>
      <c r="B103" s="27" t="s">
        <v>117</v>
      </c>
      <c r="C103" s="120" t="s">
        <v>15</v>
      </c>
      <c r="D103" s="138">
        <f t="shared" ca="1" si="6"/>
        <v>102</v>
      </c>
      <c r="E103" s="31">
        <f ca="1">VLOOKUP(A103,Rankings!$B$1:$H$651,6,FALSE)+(RAND()*0.00001)</f>
        <v>70.528342024122665</v>
      </c>
      <c r="F103" s="31">
        <f ca="1">E103-VLOOKUP(Settings!$K$2+Settings!$K$4,D$2:E$500,2,FALSE)</f>
        <v>-222.94721739369669</v>
      </c>
      <c r="G103" s="138">
        <f t="shared" ca="1" si="7"/>
        <v>92</v>
      </c>
      <c r="H103" s="31">
        <f ca="1">VLOOKUP(A103,Rankings!$B$1:$H$651,7,FALSE)+(RAND()*0.00001)</f>
        <v>-5.0342662686028294</v>
      </c>
      <c r="I103" s="31">
        <f ca="1">H103-VLOOKUP(Settings!$K$2+Settings!$K$4,G$2:H$94,2,FALSE)</f>
        <v>-5.2597504873812797</v>
      </c>
      <c r="J103" s="31" t="str">
        <f>VLOOKUP(A103,Rankings!B:D,3,FALSE)</f>
        <v>AL</v>
      </c>
    </row>
    <row r="104" spans="1:10" ht="20.100000000000001" customHeight="1">
      <c r="A104" s="26" t="s">
        <v>754</v>
      </c>
      <c r="B104" s="27" t="s">
        <v>223</v>
      </c>
      <c r="C104" s="117" t="s">
        <v>7</v>
      </c>
      <c r="D104" s="138">
        <f t="shared" ca="1" si="6"/>
        <v>83</v>
      </c>
      <c r="E104" s="133">
        <f ca="1">VLOOKUP(A104,Rankings!$B$1:$H$651,6,FALSE)+(RAND()*0.00001)</f>
        <v>146.05312840733583</v>
      </c>
      <c r="F104" s="31">
        <f ca="1">E104-VLOOKUP(Settings!$K$2+Settings!$K$4,D$2:E$500,2,FALSE)</f>
        <v>-147.42243101048351</v>
      </c>
      <c r="G104" s="138">
        <f t="shared" ca="1" si="7"/>
        <v>82</v>
      </c>
      <c r="H104" s="133">
        <f ca="1">VLOOKUP(A104,Rankings!$B$1:$H$651,7,FALSE)+(RAND()*0.00001)</f>
        <v>-3.5588690934482812</v>
      </c>
      <c r="I104" s="31">
        <f ca="1">H104-VLOOKUP(Settings!$K$2+Settings!$K$4,G$2:H$94,2,FALSE)</f>
        <v>-3.7843533122267319</v>
      </c>
      <c r="J104" s="31" t="str">
        <f>VLOOKUP(A104,Rankings!B:D,3,FALSE)</f>
        <v>NL</v>
      </c>
    </row>
    <row r="105" spans="1:10" ht="20.100000000000001" customHeight="1">
      <c r="J105" s="31"/>
    </row>
    <row r="106" spans="1:10" ht="20.100000000000001" customHeight="1">
      <c r="J106" s="31"/>
    </row>
    <row r="107" spans="1:10" ht="20.100000000000001" customHeight="1">
      <c r="J107" s="31"/>
    </row>
    <row r="108" spans="1:10" ht="20.100000000000001" customHeight="1">
      <c r="J108" s="31"/>
    </row>
    <row r="109" spans="1:10" ht="20.100000000000001" customHeight="1">
      <c r="J109" s="31"/>
    </row>
    <row r="110" spans="1:10" ht="20.100000000000001" customHeight="1">
      <c r="J110" s="31"/>
    </row>
    <row r="111" spans="1:10" ht="20.100000000000001" customHeight="1">
      <c r="J111" s="31"/>
    </row>
    <row r="112" spans="1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104" xr:uid="{00000000-0001-0000-0B00-000000000000}">
    <sortState xmlns:xlrd2="http://schemas.microsoft.com/office/spreadsheetml/2017/richdata2" ref="A2:I104">
      <sortCondition ref="D1:D10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90</v>
      </c>
      <c r="B2" s="27" t="s">
        <v>91</v>
      </c>
      <c r="C2" s="124" t="s">
        <v>27</v>
      </c>
      <c r="D2" s="138">
        <f t="shared" ref="D2:D33" ca="1" si="0">RANK(E2,E$2:E$500)</f>
        <v>1</v>
      </c>
      <c r="E2" s="31">
        <f ca="1">VLOOKUP(A2,Rankings!$B$1:$H$651,6,FALSE)+(RAND()*0.00001)</f>
        <v>510.88945235705012</v>
      </c>
      <c r="F2" s="31">
        <f ca="1">E2-VLOOKUP(Settings!$K$3+Settings!$K$7,D$2:E$500,2,FALSE)</f>
        <v>227.91083181470822</v>
      </c>
      <c r="G2" s="138">
        <f t="shared" ref="G2:G33" ca="1" si="1">RANK(H2,H$2:H$500)</f>
        <v>1</v>
      </c>
      <c r="H2" s="31">
        <f ca="1">VLOOKUP(A2,Rankings!$B$1:$H$651,7,FALSE)+(RAND()*0.00001)</f>
        <v>10.195887015640139</v>
      </c>
      <c r="I2" s="31">
        <f ca="1">H2-VLOOKUP(Settings!$K$3+Settings!$K$7,G$2:H$94,2,FALSE)</f>
        <v>10.189839923599177</v>
      </c>
      <c r="J2" s="31" t="str">
        <f>VLOOKUP(A2,Rankings!B:D,3,FALSE)</f>
        <v>NL</v>
      </c>
    </row>
    <row r="3" spans="1:10" ht="18.600000000000001" customHeight="1">
      <c r="A3" s="26" t="s">
        <v>124</v>
      </c>
      <c r="B3" s="27" t="s">
        <v>94</v>
      </c>
      <c r="C3" s="124" t="s">
        <v>27</v>
      </c>
      <c r="D3" s="138">
        <f t="shared" ca="1" si="0"/>
        <v>2</v>
      </c>
      <c r="E3" s="31">
        <f ca="1">VLOOKUP(A3,Rankings!$B$1:$H$651,6,FALSE)+(RAND()*0.00001)</f>
        <v>480.91222956591861</v>
      </c>
      <c r="F3" s="31">
        <f ca="1">E3-VLOOKUP(Settings!$K$3+Settings!$K$7,D$2:E$500,2,FALSE)</f>
        <v>197.93360902357671</v>
      </c>
      <c r="G3" s="138">
        <f t="shared" ca="1" si="1"/>
        <v>3</v>
      </c>
      <c r="H3" s="31">
        <f ca="1">VLOOKUP(A3,Rankings!$B$1:$H$651,7,FALSE)+(RAND()*0.00001)</f>
        <v>8.6361640021850192</v>
      </c>
      <c r="I3" s="31">
        <f ca="1">H3-VLOOKUP(Settings!$K$3+Settings!$K$7,G$2:H$94,2,FALSE)</f>
        <v>8.6301169101440571</v>
      </c>
      <c r="J3" s="31" t="str">
        <f>VLOOKUP(A3,Rankings!B:D,3,FALSE)</f>
        <v>AL</v>
      </c>
    </row>
    <row r="4" spans="1:10" ht="18.600000000000001" customHeight="1">
      <c r="A4" s="26" t="s">
        <v>145</v>
      </c>
      <c r="B4" s="27" t="s">
        <v>78</v>
      </c>
      <c r="C4" s="119" t="s">
        <v>11</v>
      </c>
      <c r="D4" s="138">
        <f t="shared" ca="1" si="0"/>
        <v>33</v>
      </c>
      <c r="E4" s="31">
        <f ca="1">VLOOKUP(A4,Rankings!$B$1:$H$651,6,FALSE)+(RAND()*0.00001)</f>
        <v>329.69500298797891</v>
      </c>
      <c r="F4" s="31">
        <f ca="1">E4-VLOOKUP(Settings!$K$3+Settings!$K$7,D$2:E$500,2,FALSE)</f>
        <v>46.716382445637009</v>
      </c>
      <c r="G4" s="138">
        <f t="shared" ca="1" si="1"/>
        <v>30</v>
      </c>
      <c r="H4" s="31">
        <f ca="1">VLOOKUP(A4,Rankings!$B$1:$H$651,7,FALSE)+(RAND()*0.00001)</f>
        <v>2.8839661444587876</v>
      </c>
      <c r="I4" s="31">
        <f ca="1">H4-VLOOKUP(Settings!$K$3+Settings!$K$7,G$2:H$94,2,FALSE)</f>
        <v>2.877919052417826</v>
      </c>
      <c r="J4" s="31" t="str">
        <f>VLOOKUP(A4,Rankings!B:D,3,FALSE)</f>
        <v>AL</v>
      </c>
    </row>
    <row r="5" spans="1:10" ht="18.600000000000001" customHeight="1">
      <c r="A5" s="26" t="s">
        <v>148</v>
      </c>
      <c r="B5" s="27" t="s">
        <v>86</v>
      </c>
      <c r="C5" s="119" t="s">
        <v>11</v>
      </c>
      <c r="D5" s="138">
        <f t="shared" ca="1" si="0"/>
        <v>3</v>
      </c>
      <c r="E5" s="31">
        <f ca="1">VLOOKUP(A5,Rankings!$B$1:$H$651,6,FALSE)+(RAND()*0.00001)</f>
        <v>468.45000881719943</v>
      </c>
      <c r="F5" s="31">
        <f ca="1">E5-VLOOKUP(Settings!$K$3+Settings!$K$7,D$2:E$500,2,FALSE)</f>
        <v>185.47138827485753</v>
      </c>
      <c r="G5" s="138">
        <f t="shared" ca="1" si="1"/>
        <v>6</v>
      </c>
      <c r="H5" s="31">
        <f ca="1">VLOOKUP(A5,Rankings!$B$1:$H$651,7,FALSE)+(RAND()*0.00001)</f>
        <v>6.5829976550970963</v>
      </c>
      <c r="I5" s="31">
        <f ca="1">H5-VLOOKUP(Settings!$K$3+Settings!$K$7,G$2:H$94,2,FALSE)</f>
        <v>6.5769505630561342</v>
      </c>
      <c r="J5" s="31" t="str">
        <f>VLOOKUP(A5,Rankings!B:D,3,FALSE)</f>
        <v>AL</v>
      </c>
    </row>
    <row r="6" spans="1:10" ht="20.100000000000001" customHeight="1">
      <c r="A6" s="26" t="s">
        <v>116</v>
      </c>
      <c r="B6" s="27" t="s">
        <v>117</v>
      </c>
      <c r="C6" s="124" t="s">
        <v>27</v>
      </c>
      <c r="D6" s="138">
        <f t="shared" ca="1" si="0"/>
        <v>4</v>
      </c>
      <c r="E6" s="31">
        <f ca="1">VLOOKUP(A6,Rankings!$B$1:$H$651,6,FALSE)+(RAND()*0.00001)</f>
        <v>463.75389792227588</v>
      </c>
      <c r="F6" s="31">
        <f ca="1">E6-VLOOKUP(Settings!$K$3+Settings!$K$7,D$2:E$500,2,FALSE)</f>
        <v>180.77527737993398</v>
      </c>
      <c r="G6" s="138">
        <f t="shared" ca="1" si="1"/>
        <v>4</v>
      </c>
      <c r="H6" s="31">
        <f ca="1">VLOOKUP(A6,Rankings!$B$1:$H$651,7,FALSE)+(RAND()*0.00001)</f>
        <v>8.2776605374395302</v>
      </c>
      <c r="I6" s="31">
        <f ca="1">H6-VLOOKUP(Settings!$K$3+Settings!$K$7,G$2:H$94,2,FALSE)</f>
        <v>8.2716134453985681</v>
      </c>
      <c r="J6" s="31" t="str">
        <f>VLOOKUP(A6,Rankings!B:D,3,FALSE)</f>
        <v>AL</v>
      </c>
    </row>
    <row r="7" spans="1:10" ht="18.600000000000001" customHeight="1">
      <c r="A7" s="26" t="s">
        <v>126</v>
      </c>
      <c r="B7" s="27" t="s">
        <v>63</v>
      </c>
      <c r="C7" s="124" t="s">
        <v>27</v>
      </c>
      <c r="D7" s="138">
        <f t="shared" ca="1" si="0"/>
        <v>5</v>
      </c>
      <c r="E7" s="31">
        <f ca="1">VLOOKUP(A7,Rankings!$B$1:$H$651,6,FALSE)+(RAND()*0.00001)</f>
        <v>454.76278020021044</v>
      </c>
      <c r="F7" s="31">
        <f ca="1">E7-VLOOKUP(Settings!$K$3+Settings!$K$7,D$2:E$500,2,FALSE)</f>
        <v>171.78415965786854</v>
      </c>
      <c r="G7" s="138">
        <f t="shared" ca="1" si="1"/>
        <v>2</v>
      </c>
      <c r="H7" s="31">
        <f ca="1">VLOOKUP(A7,Rankings!$B$1:$H$651,7,FALSE)+(RAND()*0.00001)</f>
        <v>9.176797589145556</v>
      </c>
      <c r="I7" s="31">
        <f ca="1">H7-VLOOKUP(Settings!$K$3+Settings!$K$7,G$2:H$94,2,FALSE)</f>
        <v>9.1707504971045939</v>
      </c>
      <c r="J7" s="31" t="str">
        <f>VLOOKUP(A7,Rankings!B:D,3,FALSE)</f>
        <v>NL</v>
      </c>
    </row>
    <row r="8" spans="1:10" ht="18.600000000000001" customHeight="1">
      <c r="A8" s="26" t="s">
        <v>211</v>
      </c>
      <c r="B8" s="27" t="s">
        <v>86</v>
      </c>
      <c r="C8" s="124" t="s">
        <v>27</v>
      </c>
      <c r="D8" s="138">
        <f t="shared" ca="1" si="0"/>
        <v>6</v>
      </c>
      <c r="E8" s="31">
        <f ca="1">VLOOKUP(A8,Rankings!$B$1:$H$651,6,FALSE)+(RAND()*0.00001)</f>
        <v>450.37333506512766</v>
      </c>
      <c r="F8" s="31">
        <f ca="1">E8-VLOOKUP(Settings!$K$3+Settings!$K$7,D$2:E$500,2,FALSE)</f>
        <v>167.39471452278576</v>
      </c>
      <c r="G8" s="138">
        <f t="shared" ca="1" si="1"/>
        <v>10</v>
      </c>
      <c r="H8" s="31">
        <f ca="1">VLOOKUP(A8,Rankings!$B$1:$H$651,7,FALSE)+(RAND()*0.00001)</f>
        <v>5.6621380084811301</v>
      </c>
      <c r="I8" s="31">
        <f ca="1">H8-VLOOKUP(Settings!$K$3+Settings!$K$7,G$2:H$94,2,FALSE)</f>
        <v>5.656090916440168</v>
      </c>
      <c r="J8" s="31" t="str">
        <f>VLOOKUP(A8,Rankings!B:D,3,FALSE)</f>
        <v>AL</v>
      </c>
    </row>
    <row r="9" spans="1:10" ht="18.600000000000001" customHeight="1">
      <c r="A9" s="26" t="s">
        <v>202</v>
      </c>
      <c r="B9" s="27" t="s">
        <v>95</v>
      </c>
      <c r="C9" s="124" t="s">
        <v>27</v>
      </c>
      <c r="D9" s="138">
        <f t="shared" ca="1" si="0"/>
        <v>7</v>
      </c>
      <c r="E9" s="31">
        <f ca="1">VLOOKUP(A9,Rankings!$B$1:$H$651,6,FALSE)+(RAND()*0.00001)</f>
        <v>449.60500923879988</v>
      </c>
      <c r="F9" s="31">
        <f ca="1">E9-VLOOKUP(Settings!$K$3+Settings!$K$7,D$2:E$500,2,FALSE)</f>
        <v>166.62638869645798</v>
      </c>
      <c r="G9" s="138">
        <f t="shared" ca="1" si="1"/>
        <v>8</v>
      </c>
      <c r="H9" s="31">
        <f ca="1">VLOOKUP(A9,Rankings!$B$1:$H$651,7,FALSE)+(RAND()*0.00001)</f>
        <v>5.8731773998960852</v>
      </c>
      <c r="I9" s="31">
        <f ca="1">H9-VLOOKUP(Settings!$K$3+Settings!$K$7,G$2:H$94,2,FALSE)</f>
        <v>5.8671303078551231</v>
      </c>
      <c r="J9" s="31" t="str">
        <f>VLOOKUP(A9,Rankings!B:D,3,FALSE)</f>
        <v>NL</v>
      </c>
    </row>
    <row r="10" spans="1:10" ht="20.100000000000001" customHeight="1">
      <c r="A10" s="26" t="s">
        <v>272</v>
      </c>
      <c r="B10" s="27" t="s">
        <v>101</v>
      </c>
      <c r="C10" s="124" t="s">
        <v>27</v>
      </c>
      <c r="D10" s="138">
        <f t="shared" ca="1" si="0"/>
        <v>8</v>
      </c>
      <c r="E10" s="31">
        <f ca="1">VLOOKUP(A10,Rankings!$B$1:$H$651,6,FALSE)+(RAND()*0.00001)</f>
        <v>436.91612015880662</v>
      </c>
      <c r="F10" s="31">
        <f ca="1">E10-VLOOKUP(Settings!$K$3+Settings!$K$7,D$2:E$500,2,FALSE)</f>
        <v>153.93749961646472</v>
      </c>
      <c r="G10" s="138">
        <f t="shared" ca="1" si="1"/>
        <v>15</v>
      </c>
      <c r="H10" s="31">
        <f ca="1">VLOOKUP(A10,Rankings!$B$1:$H$651,7,FALSE)+(RAND()*0.00001)</f>
        <v>5.0744444336243388</v>
      </c>
      <c r="I10" s="31">
        <f ca="1">H10-VLOOKUP(Settings!$K$3+Settings!$K$7,G$2:H$94,2,FALSE)</f>
        <v>5.0683973415833767</v>
      </c>
      <c r="J10" s="31" t="str">
        <f>VLOOKUP(A10,Rankings!B:D,3,FALSE)</f>
        <v>AL</v>
      </c>
    </row>
    <row r="11" spans="1:10" ht="18.600000000000001" customHeight="1">
      <c r="A11" s="26" t="s">
        <v>226</v>
      </c>
      <c r="B11" s="27" t="s">
        <v>63</v>
      </c>
      <c r="C11" s="124" t="s">
        <v>27</v>
      </c>
      <c r="D11" s="138">
        <f t="shared" ca="1" si="0"/>
        <v>9</v>
      </c>
      <c r="E11" s="31">
        <f ca="1">VLOOKUP(A11,Rankings!$B$1:$H$651,6,FALSE)+(RAND()*0.00001)</f>
        <v>424.21167154900178</v>
      </c>
      <c r="F11" s="31">
        <f ca="1">E11-VLOOKUP(Settings!$K$3+Settings!$K$7,D$2:E$500,2,FALSE)</f>
        <v>141.23305100665988</v>
      </c>
      <c r="G11" s="138">
        <f t="shared" ca="1" si="1"/>
        <v>16</v>
      </c>
      <c r="H11" s="31">
        <f ca="1">VLOOKUP(A11,Rankings!$B$1:$H$651,7,FALSE)+(RAND()*0.00001)</f>
        <v>4.9307086040048516</v>
      </c>
      <c r="I11" s="31">
        <f ca="1">H11-VLOOKUP(Settings!$K$3+Settings!$K$7,G$2:H$94,2,FALSE)</f>
        <v>4.9246615119638895</v>
      </c>
      <c r="J11" s="31" t="str">
        <f>VLOOKUP(A11,Rankings!B:D,3,FALSE)</f>
        <v>NL</v>
      </c>
    </row>
    <row r="12" spans="1:10" ht="18.600000000000001" customHeight="1">
      <c r="A12" s="26" t="s">
        <v>196</v>
      </c>
      <c r="B12" s="27" t="s">
        <v>73</v>
      </c>
      <c r="C12" s="119" t="s">
        <v>11</v>
      </c>
      <c r="D12" s="138">
        <f t="shared" ca="1" si="0"/>
        <v>11</v>
      </c>
      <c r="E12" s="31">
        <f ca="1">VLOOKUP(A12,Rankings!$B$1:$H$651,6,FALSE)+(RAND()*0.00001)</f>
        <v>415.12556228495623</v>
      </c>
      <c r="F12" s="31">
        <f ca="1">E12-VLOOKUP(Settings!$K$3+Settings!$K$7,D$2:E$500,2,FALSE)</f>
        <v>132.14694174261433</v>
      </c>
      <c r="G12" s="138">
        <f t="shared" ca="1" si="1"/>
        <v>12</v>
      </c>
      <c r="H12" s="31">
        <f ca="1">VLOOKUP(A12,Rankings!$B$1:$H$651,7,FALSE)+(RAND()*0.00001)</f>
        <v>5.4976203975191558</v>
      </c>
      <c r="I12" s="31">
        <f ca="1">H12-VLOOKUP(Settings!$K$3+Settings!$K$7,G$2:H$94,2,FALSE)</f>
        <v>5.4915733054781937</v>
      </c>
      <c r="J12" s="31" t="str">
        <f>VLOOKUP(A12,Rankings!B:D,3,FALSE)</f>
        <v>NL</v>
      </c>
    </row>
    <row r="13" spans="1:10" ht="18.600000000000001" customHeight="1">
      <c r="A13" s="26" t="s">
        <v>192</v>
      </c>
      <c r="B13" s="27" t="s">
        <v>123</v>
      </c>
      <c r="C13" s="119" t="s">
        <v>11</v>
      </c>
      <c r="D13" s="138">
        <f t="shared" ca="1" si="0"/>
        <v>10</v>
      </c>
      <c r="E13" s="31">
        <f ca="1">VLOOKUP(A13,Rankings!$B$1:$H$651,6,FALSE)+(RAND()*0.00001)</f>
        <v>416.01056216471005</v>
      </c>
      <c r="F13" s="31">
        <f ca="1">E13-VLOOKUP(Settings!$K$3+Settings!$K$7,D$2:E$500,2,FALSE)</f>
        <v>133.03194162236815</v>
      </c>
      <c r="G13" s="138">
        <f t="shared" ca="1" si="1"/>
        <v>9</v>
      </c>
      <c r="H13" s="31">
        <f ca="1">VLOOKUP(A13,Rankings!$B$1:$H$651,7,FALSE)+(RAND()*0.00001)</f>
        <v>5.6664656788657659</v>
      </c>
      <c r="I13" s="31">
        <f ca="1">H13-VLOOKUP(Settings!$K$3+Settings!$K$7,G$2:H$94,2,FALSE)</f>
        <v>5.6604185868248038</v>
      </c>
      <c r="J13" s="31" t="str">
        <f>VLOOKUP(A13,Rankings!B:D,3,FALSE)</f>
        <v>NL</v>
      </c>
    </row>
    <row r="14" spans="1:10" ht="18.600000000000001" customHeight="1">
      <c r="A14" s="26" t="s">
        <v>243</v>
      </c>
      <c r="B14" s="27" t="s">
        <v>97</v>
      </c>
      <c r="C14" s="124" t="s">
        <v>27</v>
      </c>
      <c r="D14" s="138">
        <f t="shared" ca="1" si="0"/>
        <v>13</v>
      </c>
      <c r="E14" s="31">
        <f ca="1">VLOOKUP(A14,Rankings!$B$1:$H$651,6,FALSE)+(RAND()*0.00001)</f>
        <v>409.87500232827352</v>
      </c>
      <c r="F14" s="31">
        <f ca="1">E14-VLOOKUP(Settings!$K$3+Settings!$K$7,D$2:E$500,2,FALSE)</f>
        <v>126.89638178593162</v>
      </c>
      <c r="G14" s="138">
        <f t="shared" ca="1" si="1"/>
        <v>17</v>
      </c>
      <c r="H14" s="31">
        <f ca="1">VLOOKUP(A14,Rankings!$B$1:$H$651,7,FALSE)+(RAND()*0.00001)</f>
        <v>4.9253286148344539</v>
      </c>
      <c r="I14" s="31">
        <f ca="1">H14-VLOOKUP(Settings!$K$3+Settings!$K$7,G$2:H$94,2,FALSE)</f>
        <v>4.9192815227934918</v>
      </c>
      <c r="J14" s="31" t="str">
        <f>VLOOKUP(A14,Rankings!B:D,3,FALSE)</f>
        <v>NL</v>
      </c>
    </row>
    <row r="15" spans="1:10" ht="18.600000000000001" customHeight="1">
      <c r="A15" s="26" t="s">
        <v>290</v>
      </c>
      <c r="B15" s="27" t="s">
        <v>156</v>
      </c>
      <c r="C15" s="124" t="s">
        <v>27</v>
      </c>
      <c r="D15" s="138">
        <f t="shared" ca="1" si="0"/>
        <v>12</v>
      </c>
      <c r="E15" s="31">
        <f ca="1">VLOOKUP(A15,Rankings!$B$1:$H$651,6,FALSE)+(RAND()*0.00001)</f>
        <v>412.41139787275563</v>
      </c>
      <c r="F15" s="31">
        <f ca="1">E15-VLOOKUP(Settings!$K$3+Settings!$K$7,D$2:E$500,2,FALSE)</f>
        <v>129.43277733041373</v>
      </c>
      <c r="G15" s="138">
        <f t="shared" ca="1" si="1"/>
        <v>21</v>
      </c>
      <c r="H15" s="31">
        <f ca="1">VLOOKUP(A15,Rankings!$B$1:$H$651,7,FALSE)+(RAND()*0.00001)</f>
        <v>4.2290983238421633</v>
      </c>
      <c r="I15" s="31">
        <f ca="1">H15-VLOOKUP(Settings!$K$3+Settings!$K$7,G$2:H$94,2,FALSE)</f>
        <v>4.2230512318012012</v>
      </c>
      <c r="J15" s="31" t="str">
        <f>VLOOKUP(A15,Rankings!B:D,3,FALSE)</f>
        <v>AL</v>
      </c>
    </row>
    <row r="16" spans="1:10" ht="18.600000000000001" customHeight="1">
      <c r="A16" s="26" t="s">
        <v>209</v>
      </c>
      <c r="B16" s="27" t="s">
        <v>158</v>
      </c>
      <c r="C16" s="124" t="s">
        <v>27</v>
      </c>
      <c r="D16" s="138">
        <f t="shared" ca="1" si="0"/>
        <v>14</v>
      </c>
      <c r="E16" s="31">
        <f ca="1">VLOOKUP(A16,Rankings!$B$1:$H$651,6,FALSE)+(RAND()*0.00001)</f>
        <v>409.22555608411153</v>
      </c>
      <c r="F16" s="31">
        <f ca="1">E16-VLOOKUP(Settings!$K$3+Settings!$K$7,D$2:E$500,2,FALSE)</f>
        <v>126.24693554176963</v>
      </c>
      <c r="G16" s="138">
        <f t="shared" ca="1" si="1"/>
        <v>13</v>
      </c>
      <c r="H16" s="31">
        <f ca="1">VLOOKUP(A16,Rankings!$B$1:$H$651,7,FALSE)+(RAND()*0.00001)</f>
        <v>5.2559156113138084</v>
      </c>
      <c r="I16" s="31">
        <f ca="1">H16-VLOOKUP(Settings!$K$3+Settings!$K$7,G$2:H$94,2,FALSE)</f>
        <v>5.2498685192728463</v>
      </c>
      <c r="J16" s="31" t="str">
        <f>VLOOKUP(A16,Rankings!B:D,3,FALSE)</f>
        <v>NL</v>
      </c>
    </row>
    <row r="17" spans="1:10" ht="18.600000000000001" customHeight="1">
      <c r="A17" s="26" t="s">
        <v>160</v>
      </c>
      <c r="B17" s="27" t="s">
        <v>134</v>
      </c>
      <c r="C17" s="119" t="s">
        <v>11</v>
      </c>
      <c r="D17" s="138">
        <f t="shared" ca="1" si="0"/>
        <v>15</v>
      </c>
      <c r="E17" s="31">
        <f ca="1">VLOOKUP(A17,Rankings!$B$1:$H$651,6,FALSE)+(RAND()*0.00001)</f>
        <v>407.44722393177466</v>
      </c>
      <c r="F17" s="31">
        <f ca="1">E17-VLOOKUP(Settings!$K$3+Settings!$K$7,D$2:E$500,2,FALSE)</f>
        <v>124.46860338943276</v>
      </c>
      <c r="G17" s="138">
        <f t="shared" ca="1" si="1"/>
        <v>5</v>
      </c>
      <c r="H17" s="31">
        <f ca="1">VLOOKUP(A17,Rankings!$B$1:$H$651,7,FALSE)+(RAND()*0.00001)</f>
        <v>6.5904361508930132</v>
      </c>
      <c r="I17" s="31">
        <f ca="1">H17-VLOOKUP(Settings!$K$3+Settings!$K$7,G$2:H$94,2,FALSE)</f>
        <v>6.5843890588520511</v>
      </c>
      <c r="J17" s="31" t="str">
        <f>VLOOKUP(A17,Rankings!B:D,3,FALSE)</f>
        <v>NL</v>
      </c>
    </row>
    <row r="18" spans="1:10" ht="18.600000000000001" customHeight="1">
      <c r="A18" s="26" t="s">
        <v>265</v>
      </c>
      <c r="B18" s="27" t="s">
        <v>156</v>
      </c>
      <c r="C18" s="119" t="s">
        <v>11</v>
      </c>
      <c r="D18" s="138">
        <f t="shared" ca="1" si="0"/>
        <v>22</v>
      </c>
      <c r="E18" s="31">
        <f ca="1">VLOOKUP(A18,Rankings!$B$1:$H$651,6,FALSE)+(RAND()*0.00001)</f>
        <v>384.51667193543057</v>
      </c>
      <c r="F18" s="31">
        <f ca="1">E18-VLOOKUP(Settings!$K$3+Settings!$K$7,D$2:E$500,2,FALSE)</f>
        <v>101.53805139308867</v>
      </c>
      <c r="G18" s="138">
        <f t="shared" ca="1" si="1"/>
        <v>25</v>
      </c>
      <c r="H18" s="31">
        <f ca="1">VLOOKUP(A18,Rankings!$B$1:$H$651,7,FALSE)+(RAND()*0.00001)</f>
        <v>3.5075976536723652</v>
      </c>
      <c r="I18" s="31">
        <f ca="1">H18-VLOOKUP(Settings!$K$3+Settings!$K$7,G$2:H$94,2,FALSE)</f>
        <v>3.5015505616314035</v>
      </c>
      <c r="J18" s="31" t="str">
        <f>VLOOKUP(A18,Rankings!B:D,3,FALSE)</f>
        <v>AL</v>
      </c>
    </row>
    <row r="19" spans="1:10" ht="18.600000000000001" customHeight="1">
      <c r="A19" s="26" t="s">
        <v>186</v>
      </c>
      <c r="B19" s="27" t="s">
        <v>76</v>
      </c>
      <c r="C19" s="119" t="s">
        <v>11</v>
      </c>
      <c r="D19" s="138">
        <f t="shared" ca="1" si="0"/>
        <v>16</v>
      </c>
      <c r="E19" s="31">
        <f ca="1">VLOOKUP(A19,Rankings!$B$1:$H$651,6,FALSE)+(RAND()*0.00001)</f>
        <v>391.04889863849434</v>
      </c>
      <c r="F19" s="31">
        <f ca="1">E19-VLOOKUP(Settings!$K$3+Settings!$K$7,D$2:E$500,2,FALSE)</f>
        <v>108.07027809615244</v>
      </c>
      <c r="G19" s="138">
        <f t="shared" ca="1" si="1"/>
        <v>11</v>
      </c>
      <c r="H19" s="31">
        <f ca="1">VLOOKUP(A19,Rankings!$B$1:$H$651,7,FALSE)+(RAND()*0.00001)</f>
        <v>5.5818853428885218</v>
      </c>
      <c r="I19" s="31">
        <f ca="1">H19-VLOOKUP(Settings!$K$3+Settings!$K$7,G$2:H$94,2,FALSE)</f>
        <v>5.5758382508475597</v>
      </c>
      <c r="J19" s="31" t="str">
        <f>VLOOKUP(A19,Rankings!B:D,3,FALSE)</f>
        <v>AL</v>
      </c>
    </row>
    <row r="20" spans="1:10" ht="18.600000000000001" customHeight="1">
      <c r="A20" s="26" t="s">
        <v>338</v>
      </c>
      <c r="B20" s="27" t="s">
        <v>63</v>
      </c>
      <c r="C20" s="119" t="s">
        <v>11</v>
      </c>
      <c r="D20" s="138">
        <f t="shared" ca="1" si="0"/>
        <v>18</v>
      </c>
      <c r="E20" s="31">
        <f ca="1">VLOOKUP(A20,Rankings!$B$1:$H$651,6,FALSE)+(RAND()*0.00001)</f>
        <v>389.44889591659063</v>
      </c>
      <c r="F20" s="31">
        <f ca="1">E20-VLOOKUP(Settings!$K$3+Settings!$K$7,D$2:E$500,2,FALSE)</f>
        <v>106.47027537424873</v>
      </c>
      <c r="G20" s="138">
        <f t="shared" ca="1" si="1"/>
        <v>34</v>
      </c>
      <c r="H20" s="31">
        <f ca="1">VLOOKUP(A20,Rankings!$B$1:$H$651,7,FALSE)+(RAND()*0.00001)</f>
        <v>2.5221705408425943</v>
      </c>
      <c r="I20" s="31">
        <f ca="1">H20-VLOOKUP(Settings!$K$3+Settings!$K$7,G$2:H$94,2,FALSE)</f>
        <v>2.5161234488016326</v>
      </c>
      <c r="J20" s="31" t="str">
        <f>VLOOKUP(A20,Rankings!B:D,3,FALSE)</f>
        <v>NL</v>
      </c>
    </row>
    <row r="21" spans="1:10" ht="18.600000000000001" customHeight="1">
      <c r="A21" s="26" t="s">
        <v>246</v>
      </c>
      <c r="B21" s="27" t="s">
        <v>76</v>
      </c>
      <c r="C21" s="124" t="s">
        <v>27</v>
      </c>
      <c r="D21" s="138">
        <f t="shared" ca="1" si="0"/>
        <v>19</v>
      </c>
      <c r="E21" s="31">
        <f ca="1">VLOOKUP(A21,Rankings!$B$1:$H$651,6,FALSE)+(RAND()*0.00001)</f>
        <v>388.85555904220905</v>
      </c>
      <c r="F21" s="31">
        <f ca="1">E21-VLOOKUP(Settings!$K$3+Settings!$K$7,D$2:E$500,2,FALSE)</f>
        <v>105.87693849986715</v>
      </c>
      <c r="G21" s="138">
        <f t="shared" ca="1" si="1"/>
        <v>18</v>
      </c>
      <c r="H21" s="31">
        <f ca="1">VLOOKUP(A21,Rankings!$B$1:$H$651,7,FALSE)+(RAND()*0.00001)</f>
        <v>4.5938752308277753</v>
      </c>
      <c r="I21" s="31">
        <f ca="1">H21-VLOOKUP(Settings!$K$3+Settings!$K$7,G$2:H$94,2,FALSE)</f>
        <v>4.5878281387868132</v>
      </c>
      <c r="J21" s="31" t="str">
        <f>VLOOKUP(A21,Rankings!B:D,3,FALSE)</f>
        <v>AL</v>
      </c>
    </row>
    <row r="22" spans="1:10" ht="18.600000000000001" customHeight="1">
      <c r="A22" s="26" t="s">
        <v>322</v>
      </c>
      <c r="B22" s="27" t="s">
        <v>120</v>
      </c>
      <c r="C22" s="119" t="s">
        <v>11</v>
      </c>
      <c r="D22" s="138">
        <f t="shared" ca="1" si="0"/>
        <v>20</v>
      </c>
      <c r="E22" s="31">
        <f ca="1">VLOOKUP(A22,Rankings!$B$1:$H$651,6,FALSE)+(RAND()*0.00001)</f>
        <v>387.06945038011435</v>
      </c>
      <c r="F22" s="31">
        <f ca="1">E22-VLOOKUP(Settings!$K$3+Settings!$K$7,D$2:E$500,2,FALSE)</f>
        <v>104.09082983777245</v>
      </c>
      <c r="G22" s="138">
        <f t="shared" ca="1" si="1"/>
        <v>26</v>
      </c>
      <c r="H22" s="31">
        <f ca="1">VLOOKUP(A22,Rankings!$B$1:$H$651,7,FALSE)+(RAND()*0.00001)</f>
        <v>3.1071221350327174</v>
      </c>
      <c r="I22" s="31">
        <f ca="1">H22-VLOOKUP(Settings!$K$3+Settings!$K$7,G$2:H$94,2,FALSE)</f>
        <v>3.1010750429917557</v>
      </c>
      <c r="J22" s="31" t="str">
        <f>VLOOKUP(A22,Rankings!B:D,3,FALSE)</f>
        <v>NL</v>
      </c>
    </row>
    <row r="23" spans="1:10" ht="18.600000000000001" customHeight="1">
      <c r="A23" s="26" t="s">
        <v>183</v>
      </c>
      <c r="B23" s="27" t="s">
        <v>114</v>
      </c>
      <c r="C23" s="124" t="s">
        <v>27</v>
      </c>
      <c r="D23" s="138">
        <f t="shared" ca="1" si="0"/>
        <v>17</v>
      </c>
      <c r="E23" s="31">
        <f ca="1">VLOOKUP(A23,Rankings!$B$1:$H$651,6,FALSE)+(RAND()*0.00001)</f>
        <v>389.7752818498887</v>
      </c>
      <c r="F23" s="31">
        <f ca="1">E23-VLOOKUP(Settings!$K$3+Settings!$K$7,D$2:E$500,2,FALSE)</f>
        <v>106.7966613075468</v>
      </c>
      <c r="G23" s="138">
        <f t="shared" ca="1" si="1"/>
        <v>7</v>
      </c>
      <c r="H23" s="31">
        <f ca="1">VLOOKUP(A23,Rankings!$B$1:$H$651,7,FALSE)+(RAND()*0.00001)</f>
        <v>5.9808468985287604</v>
      </c>
      <c r="I23" s="31">
        <f ca="1">H23-VLOOKUP(Settings!$K$3+Settings!$K$7,G$2:H$94,2,FALSE)</f>
        <v>5.9747998064877983</v>
      </c>
      <c r="J23" s="31" t="str">
        <f>VLOOKUP(A23,Rankings!B:D,3,FALSE)</f>
        <v>AL</v>
      </c>
    </row>
    <row r="24" spans="1:10" ht="18.600000000000001" customHeight="1">
      <c r="A24" s="26" t="s">
        <v>206</v>
      </c>
      <c r="B24" s="27" t="s">
        <v>137</v>
      </c>
      <c r="C24" s="124" t="s">
        <v>27</v>
      </c>
      <c r="D24" s="138">
        <f t="shared" ca="1" si="0"/>
        <v>21</v>
      </c>
      <c r="E24" s="31">
        <f ca="1">VLOOKUP(A24,Rankings!$B$1:$H$651,6,FALSE)+(RAND()*0.00001)</f>
        <v>384.78500497275411</v>
      </c>
      <c r="F24" s="31">
        <f ca="1">E24-VLOOKUP(Settings!$K$3+Settings!$K$7,D$2:E$500,2,FALSE)</f>
        <v>101.80638443041221</v>
      </c>
      <c r="G24" s="138">
        <f t="shared" ca="1" si="1"/>
        <v>14</v>
      </c>
      <c r="H24" s="31">
        <f ca="1">VLOOKUP(A24,Rankings!$B$1:$H$651,7,FALSE)+(RAND()*0.00001)</f>
        <v>5.0758156214570898</v>
      </c>
      <c r="I24" s="31">
        <f ca="1">H24-VLOOKUP(Settings!$K$3+Settings!$K$7,G$2:H$94,2,FALSE)</f>
        <v>5.0697685294161277</v>
      </c>
      <c r="J24" s="31" t="str">
        <f>VLOOKUP(A24,Rankings!B:D,3,FALSE)</f>
        <v>NL</v>
      </c>
    </row>
    <row r="25" spans="1:10" ht="18.600000000000001" customHeight="1">
      <c r="A25" s="26" t="s">
        <v>239</v>
      </c>
      <c r="B25" s="27" t="s">
        <v>68</v>
      </c>
      <c r="C25" s="119" t="s">
        <v>11</v>
      </c>
      <c r="D25" s="138">
        <f t="shared" ca="1" si="0"/>
        <v>23</v>
      </c>
      <c r="E25" s="31">
        <f ca="1">VLOOKUP(A25,Rankings!$B$1:$H$651,6,FALSE)+(RAND()*0.00001)</f>
        <v>384.4344487000613</v>
      </c>
      <c r="F25" s="31">
        <f ca="1">E25-VLOOKUP(Settings!$K$3+Settings!$K$7,D$2:E$500,2,FALSE)</f>
        <v>101.4558281577194</v>
      </c>
      <c r="G25" s="138">
        <f t="shared" ca="1" si="1"/>
        <v>19</v>
      </c>
      <c r="H25" s="31">
        <f ca="1">VLOOKUP(A25,Rankings!$B$1:$H$651,7,FALSE)+(RAND()*0.00001)</f>
        <v>4.4555534845919462</v>
      </c>
      <c r="I25" s="31">
        <f ca="1">H25-VLOOKUP(Settings!$K$3+Settings!$K$7,G$2:H$94,2,FALSE)</f>
        <v>4.4495063925509841</v>
      </c>
      <c r="J25" s="31" t="str">
        <f>VLOOKUP(A25,Rankings!B:D,3,FALSE)</f>
        <v>AL</v>
      </c>
    </row>
    <row r="26" spans="1:10" ht="20.100000000000001" customHeight="1">
      <c r="A26" s="26" t="s">
        <v>310</v>
      </c>
      <c r="B26" s="27" t="s">
        <v>134</v>
      </c>
      <c r="C26" s="119" t="s">
        <v>11</v>
      </c>
      <c r="D26" s="138">
        <f t="shared" ca="1" si="0"/>
        <v>25</v>
      </c>
      <c r="E26" s="31">
        <f ca="1">VLOOKUP(A26,Rankings!$B$1:$H$651,6,FALSE)+(RAND()*0.00001)</f>
        <v>376.63055727532281</v>
      </c>
      <c r="F26" s="31">
        <f ca="1">E26-VLOOKUP(Settings!$K$3+Settings!$K$7,D$2:E$500,2,FALSE)</f>
        <v>93.651936732980914</v>
      </c>
      <c r="G26" s="138">
        <f t="shared" ca="1" si="1"/>
        <v>28</v>
      </c>
      <c r="H26" s="31">
        <f ca="1">VLOOKUP(A26,Rankings!$B$1:$H$651,7,FALSE)+(RAND()*0.00001)</f>
        <v>2.9663207480071621</v>
      </c>
      <c r="I26" s="31">
        <f ca="1">H26-VLOOKUP(Settings!$K$3+Settings!$K$7,G$2:H$94,2,FALSE)</f>
        <v>2.9602736559662004</v>
      </c>
      <c r="J26" s="31" t="str">
        <f>VLOOKUP(A26,Rankings!B:D,3,FALSE)</f>
        <v>NL</v>
      </c>
    </row>
    <row r="27" spans="1:10" ht="18.600000000000001" customHeight="1">
      <c r="A27" s="26" t="s">
        <v>262</v>
      </c>
      <c r="B27" s="27" t="s">
        <v>223</v>
      </c>
      <c r="C27" s="119" t="s">
        <v>11</v>
      </c>
      <c r="D27" s="138">
        <f t="shared" ca="1" si="0"/>
        <v>26</v>
      </c>
      <c r="E27" s="31">
        <f ca="1">VLOOKUP(A27,Rankings!$B$1:$H$651,6,FALSE)+(RAND()*0.00001)</f>
        <v>368.62244899740671</v>
      </c>
      <c r="F27" s="31">
        <f ca="1">E27-VLOOKUP(Settings!$K$3+Settings!$K$7,D$2:E$500,2,FALSE)</f>
        <v>85.643828455064806</v>
      </c>
      <c r="G27" s="138">
        <f t="shared" ca="1" si="1"/>
        <v>29</v>
      </c>
      <c r="H27" s="31">
        <f ca="1">VLOOKUP(A27,Rankings!$B$1:$H$651,7,FALSE)+(RAND()*0.00001)</f>
        <v>2.9489599952796404</v>
      </c>
      <c r="I27" s="31">
        <f ca="1">H27-VLOOKUP(Settings!$K$3+Settings!$K$7,G$2:H$94,2,FALSE)</f>
        <v>2.9429129032386787</v>
      </c>
      <c r="J27" s="31" t="str">
        <f>VLOOKUP(A27,Rankings!B:D,3,FALSE)</f>
        <v>NL</v>
      </c>
    </row>
    <row r="28" spans="1:10" ht="18.600000000000001" customHeight="1">
      <c r="A28" s="26" t="s">
        <v>320</v>
      </c>
      <c r="B28" s="27" t="s">
        <v>158</v>
      </c>
      <c r="C28" s="124" t="s">
        <v>27</v>
      </c>
      <c r="D28" s="138">
        <f t="shared" ca="1" si="0"/>
        <v>24</v>
      </c>
      <c r="E28" s="31">
        <f ca="1">VLOOKUP(A28,Rankings!$B$1:$H$651,6,FALSE)+(RAND()*0.00001)</f>
        <v>377.74528393722352</v>
      </c>
      <c r="F28" s="31">
        <f ca="1">E28-VLOOKUP(Settings!$K$3+Settings!$K$7,D$2:E$500,2,FALSE)</f>
        <v>94.766663394881618</v>
      </c>
      <c r="G28" s="138">
        <f t="shared" ca="1" si="1"/>
        <v>20</v>
      </c>
      <c r="H28" s="31">
        <f ca="1">VLOOKUP(A28,Rankings!$B$1:$H$651,7,FALSE)+(RAND()*0.00001)</f>
        <v>4.2445322199149418</v>
      </c>
      <c r="I28" s="31">
        <f ca="1">H28-VLOOKUP(Settings!$K$3+Settings!$K$7,G$2:H$94,2,FALSE)</f>
        <v>4.2384851278739797</v>
      </c>
      <c r="J28" s="31" t="str">
        <f>VLOOKUP(A28,Rankings!B:D,3,FALSE)</f>
        <v>NL</v>
      </c>
    </row>
    <row r="29" spans="1:10" ht="18.600000000000001" customHeight="1">
      <c r="A29" s="26" t="s">
        <v>324</v>
      </c>
      <c r="B29" s="27" t="s">
        <v>95</v>
      </c>
      <c r="C29" s="119" t="s">
        <v>11</v>
      </c>
      <c r="D29" s="138">
        <f t="shared" ca="1" si="0"/>
        <v>27</v>
      </c>
      <c r="E29" s="31">
        <f ca="1">VLOOKUP(A29,Rankings!$B$1:$H$651,6,FALSE)+(RAND()*0.00001)</f>
        <v>365.20722836616773</v>
      </c>
      <c r="F29" s="31">
        <f ca="1">E29-VLOOKUP(Settings!$K$3+Settings!$K$7,D$2:E$500,2,FALSE)</f>
        <v>82.228607823825826</v>
      </c>
      <c r="G29" s="138">
        <f t="shared" ca="1" si="1"/>
        <v>32</v>
      </c>
      <c r="H29" s="31">
        <f ca="1">VLOOKUP(A29,Rankings!$B$1:$H$651,7,FALSE)+(RAND()*0.00001)</f>
        <v>2.6448776624866235</v>
      </c>
      <c r="I29" s="31">
        <f ca="1">H29-VLOOKUP(Settings!$K$3+Settings!$K$7,G$2:H$94,2,FALSE)</f>
        <v>2.6388305704456618</v>
      </c>
      <c r="J29" s="31" t="str">
        <f>VLOOKUP(A29,Rankings!B:D,3,FALSE)</f>
        <v>NL</v>
      </c>
    </row>
    <row r="30" spans="1:10" ht="18.600000000000001" customHeight="1">
      <c r="A30" s="26" t="s">
        <v>299</v>
      </c>
      <c r="B30" s="27" t="s">
        <v>101</v>
      </c>
      <c r="C30" s="119" t="s">
        <v>11</v>
      </c>
      <c r="D30" s="138">
        <f t="shared" ca="1" si="0"/>
        <v>29</v>
      </c>
      <c r="E30" s="31">
        <f ca="1">VLOOKUP(A30,Rankings!$B$1:$H$651,6,FALSE)+(RAND()*0.00001)</f>
        <v>356.43777989233814</v>
      </c>
      <c r="F30" s="31">
        <f ca="1">E30-VLOOKUP(Settings!$K$3+Settings!$K$7,D$2:E$500,2,FALSE)</f>
        <v>73.459159349996241</v>
      </c>
      <c r="G30" s="138">
        <f t="shared" ca="1" si="1"/>
        <v>31</v>
      </c>
      <c r="H30" s="31">
        <f ca="1">VLOOKUP(A30,Rankings!$B$1:$H$651,7,FALSE)+(RAND()*0.00001)</f>
        <v>2.6955276442895935</v>
      </c>
      <c r="I30" s="31">
        <f ca="1">H30-VLOOKUP(Settings!$K$3+Settings!$K$7,G$2:H$94,2,FALSE)</f>
        <v>2.6894805522486318</v>
      </c>
      <c r="J30" s="31" t="str">
        <f>VLOOKUP(A30,Rankings!B:D,3,FALSE)</f>
        <v>AL</v>
      </c>
    </row>
    <row r="31" spans="1:10" ht="20.100000000000001" customHeight="1">
      <c r="A31" s="26" t="s">
        <v>332</v>
      </c>
      <c r="B31" s="27" t="s">
        <v>258</v>
      </c>
      <c r="C31" s="124" t="s">
        <v>27</v>
      </c>
      <c r="D31" s="138">
        <f t="shared" ca="1" si="0"/>
        <v>30</v>
      </c>
      <c r="E31" s="31">
        <f ca="1">VLOOKUP(A31,Rankings!$B$1:$H$651,6,FALSE)+(RAND()*0.00001)</f>
        <v>356.1655640860763</v>
      </c>
      <c r="F31" s="31">
        <f ca="1">E31-VLOOKUP(Settings!$K$3+Settings!$K$7,D$2:E$500,2,FALSE)</f>
        <v>73.186943543734401</v>
      </c>
      <c r="G31" s="138">
        <f t="shared" ca="1" si="1"/>
        <v>23</v>
      </c>
      <c r="H31" s="31">
        <f ca="1">VLOOKUP(A31,Rankings!$B$1:$H$651,7,FALSE)+(RAND()*0.00001)</f>
        <v>3.8460988312979487</v>
      </c>
      <c r="I31" s="31">
        <f ca="1">H31-VLOOKUP(Settings!$K$3+Settings!$K$7,G$2:H$94,2,FALSE)</f>
        <v>3.8400517392569871</v>
      </c>
      <c r="J31" s="31" t="str">
        <f>VLOOKUP(A31,Rankings!B:D,3,FALSE)</f>
        <v>AL</v>
      </c>
    </row>
    <row r="32" spans="1:10" ht="20.100000000000001" customHeight="1">
      <c r="A32" s="26" t="s">
        <v>314</v>
      </c>
      <c r="B32" s="27" t="s">
        <v>217</v>
      </c>
      <c r="C32" s="119" t="s">
        <v>11</v>
      </c>
      <c r="D32" s="138">
        <f t="shared" ca="1" si="0"/>
        <v>31</v>
      </c>
      <c r="E32" s="31">
        <f ca="1">VLOOKUP(A32,Rankings!$B$1:$H$651,6,FALSE)+(RAND()*0.00001)</f>
        <v>355.58333867766584</v>
      </c>
      <c r="F32" s="31">
        <f ca="1">E32-VLOOKUP(Settings!$K$3+Settings!$K$7,D$2:E$500,2,FALSE)</f>
        <v>72.604718135323935</v>
      </c>
      <c r="G32" s="138">
        <f t="shared" ca="1" si="1"/>
        <v>24</v>
      </c>
      <c r="H32" s="31">
        <f ca="1">VLOOKUP(A32,Rankings!$B$1:$H$651,7,FALSE)+(RAND()*0.00001)</f>
        <v>3.8116992317493241</v>
      </c>
      <c r="I32" s="31">
        <f ca="1">H32-VLOOKUP(Settings!$K$3+Settings!$K$7,G$2:H$94,2,FALSE)</f>
        <v>3.8056521397083625</v>
      </c>
      <c r="J32" s="31" t="str">
        <f>VLOOKUP(A32,Rankings!B:D,3,FALSE)</f>
        <v>NL</v>
      </c>
    </row>
    <row r="33" spans="1:10" ht="18.600000000000001" customHeight="1">
      <c r="A33" s="26" t="s">
        <v>300</v>
      </c>
      <c r="B33" s="27" t="s">
        <v>78</v>
      </c>
      <c r="C33" s="124" t="s">
        <v>27</v>
      </c>
      <c r="D33" s="138">
        <f t="shared" ca="1" si="0"/>
        <v>28</v>
      </c>
      <c r="E33" s="31">
        <f ca="1">VLOOKUP(A33,Rankings!$B$1:$H$651,6,FALSE)+(RAND()*0.00001)</f>
        <v>360.37833667203233</v>
      </c>
      <c r="F33" s="31">
        <f ca="1">E33-VLOOKUP(Settings!$K$3+Settings!$K$7,D$2:E$500,2,FALSE)</f>
        <v>77.399716129690432</v>
      </c>
      <c r="G33" s="138">
        <f t="shared" ca="1" si="1"/>
        <v>22</v>
      </c>
      <c r="H33" s="31">
        <f ca="1">VLOOKUP(A33,Rankings!$B$1:$H$651,7,FALSE)+(RAND()*0.00001)</f>
        <v>3.8937283945657581</v>
      </c>
      <c r="I33" s="31">
        <f ca="1">H33-VLOOKUP(Settings!$K$3+Settings!$K$7,G$2:H$94,2,FALSE)</f>
        <v>3.8876813025247965</v>
      </c>
      <c r="J33" s="31" t="str">
        <f>VLOOKUP(A33,Rankings!B:D,3,FALSE)</f>
        <v>AL</v>
      </c>
    </row>
    <row r="34" spans="1:10" ht="20.100000000000001" customHeight="1">
      <c r="A34" s="26" t="s">
        <v>414</v>
      </c>
      <c r="B34" s="27" t="s">
        <v>97</v>
      </c>
      <c r="C34" s="119" t="s">
        <v>11</v>
      </c>
      <c r="D34" s="138">
        <f t="shared" ref="D34:D65" ca="1" si="2">RANK(E34,E$2:E$500)</f>
        <v>32</v>
      </c>
      <c r="E34" s="31">
        <f ca="1">VLOOKUP(A34,Rankings!$B$1:$H$651,6,FALSE)+(RAND()*0.00001)</f>
        <v>339.63388907011262</v>
      </c>
      <c r="F34" s="31">
        <f ca="1">E34-VLOOKUP(Settings!$K$3+Settings!$K$7,D$2:E$500,2,FALSE)</f>
        <v>56.655268527770716</v>
      </c>
      <c r="G34" s="138">
        <f t="shared" ref="G34:G65" ca="1" si="3">RANK(H34,H$2:H$500)</f>
        <v>40</v>
      </c>
      <c r="H34" s="31">
        <f ca="1">VLOOKUP(A34,Rankings!$B$1:$H$651,7,FALSE)+(RAND()*0.00001)</f>
        <v>1.2386779017720992</v>
      </c>
      <c r="I34" s="31">
        <f ca="1">H34-VLOOKUP(Settings!$K$3+Settings!$K$7,G$2:H$94,2,FALSE)</f>
        <v>1.2326308097311376</v>
      </c>
      <c r="J34" s="31" t="str">
        <f>VLOOKUP(A34,Rankings!B:D,3,FALSE)</f>
        <v>NL</v>
      </c>
    </row>
    <row r="35" spans="1:10" ht="18.600000000000001" customHeight="1">
      <c r="A35" s="26" t="s">
        <v>307</v>
      </c>
      <c r="B35" s="27" t="s">
        <v>134</v>
      </c>
      <c r="C35" s="119" t="s">
        <v>11</v>
      </c>
      <c r="D35" s="138">
        <f t="shared" ca="1" si="2"/>
        <v>34</v>
      </c>
      <c r="E35" s="31">
        <f ca="1">VLOOKUP(A35,Rankings!$B$1:$H$651,6,FALSE)+(RAND()*0.00001)</f>
        <v>327.45222767259077</v>
      </c>
      <c r="F35" s="31">
        <f ca="1">E35-VLOOKUP(Settings!$K$3+Settings!$K$7,D$2:E$500,2,FALSE)</f>
        <v>44.473607130248865</v>
      </c>
      <c r="G35" s="138">
        <f t="shared" ca="1" si="3"/>
        <v>35</v>
      </c>
      <c r="H35" s="31">
        <f ca="1">VLOOKUP(A35,Rankings!$B$1:$H$651,7,FALSE)+(RAND()*0.00001)</f>
        <v>2.3737657039798448</v>
      </c>
      <c r="I35" s="31">
        <f ca="1">H35-VLOOKUP(Settings!$K$3+Settings!$K$7,G$2:H$94,2,FALSE)</f>
        <v>2.3677186119388831</v>
      </c>
      <c r="J35" s="31" t="str">
        <f>VLOOKUP(A35,Rankings!B:D,3,FALSE)</f>
        <v>NL</v>
      </c>
    </row>
    <row r="36" spans="1:10" ht="18.600000000000001" customHeight="1">
      <c r="A36" s="26" t="s">
        <v>275</v>
      </c>
      <c r="B36" s="27" t="s">
        <v>94</v>
      </c>
      <c r="C36" s="119" t="s">
        <v>11</v>
      </c>
      <c r="D36" s="138">
        <f t="shared" ca="1" si="2"/>
        <v>35</v>
      </c>
      <c r="E36" s="31">
        <f ca="1">VLOOKUP(A36,Rankings!$B$1:$H$651,6,FALSE)+(RAND()*0.00001)</f>
        <v>326.14167597821216</v>
      </c>
      <c r="F36" s="31">
        <f ca="1">E36-VLOOKUP(Settings!$K$3+Settings!$K$7,D$2:E$500,2,FALSE)</f>
        <v>43.163055435870262</v>
      </c>
      <c r="G36" s="138">
        <f t="shared" ca="1" si="3"/>
        <v>33</v>
      </c>
      <c r="H36" s="31">
        <f ca="1">VLOOKUP(A36,Rankings!$B$1:$H$651,7,FALSE)+(RAND()*0.00001)</f>
        <v>2.634866498599457</v>
      </c>
      <c r="I36" s="31">
        <f ca="1">H36-VLOOKUP(Settings!$K$3+Settings!$K$7,G$2:H$94,2,FALSE)</f>
        <v>2.6288194065584953</v>
      </c>
      <c r="J36" s="31" t="str">
        <f>VLOOKUP(A36,Rankings!B:D,3,FALSE)</f>
        <v>AL</v>
      </c>
    </row>
    <row r="37" spans="1:10" ht="18.600000000000001" customHeight="1">
      <c r="A37" s="26" t="s">
        <v>354</v>
      </c>
      <c r="B37" s="27" t="s">
        <v>176</v>
      </c>
      <c r="C37" s="124" t="s">
        <v>27</v>
      </c>
      <c r="D37" s="138">
        <f t="shared" ca="1" si="2"/>
        <v>36</v>
      </c>
      <c r="E37" s="31">
        <f ca="1">VLOOKUP(A37,Rankings!$B$1:$H$651,6,FALSE)+(RAND()*0.00001)</f>
        <v>325.55611238993862</v>
      </c>
      <c r="F37" s="31">
        <f ca="1">E37-VLOOKUP(Settings!$K$3+Settings!$K$7,D$2:E$500,2,FALSE)</f>
        <v>42.577491847596718</v>
      </c>
      <c r="G37" s="138">
        <f t="shared" ca="1" si="3"/>
        <v>27</v>
      </c>
      <c r="H37" s="31">
        <f ca="1">VLOOKUP(A37,Rankings!$B$1:$H$651,7,FALSE)+(RAND()*0.00001)</f>
        <v>3.0637469559174599</v>
      </c>
      <c r="I37" s="31">
        <f ca="1">H37-VLOOKUP(Settings!$K$3+Settings!$K$7,G$2:H$94,2,FALSE)</f>
        <v>3.0576998638764983</v>
      </c>
      <c r="J37" s="31" t="str">
        <f>VLOOKUP(A37,Rankings!B:D,3,FALSE)</f>
        <v>NL</v>
      </c>
    </row>
    <row r="38" spans="1:10" ht="18.600000000000001" customHeight="1">
      <c r="A38" s="26" t="s">
        <v>589</v>
      </c>
      <c r="B38" s="27" t="s">
        <v>71</v>
      </c>
      <c r="C38" s="124" t="s">
        <v>27</v>
      </c>
      <c r="D38" s="138">
        <f t="shared" ca="1" si="2"/>
        <v>37</v>
      </c>
      <c r="E38" s="31">
        <f ca="1">VLOOKUP(A38,Rankings!$B$1:$H$651,6,FALSE)+(RAND()*0.00001)</f>
        <v>319.96278494310678</v>
      </c>
      <c r="F38" s="31">
        <f ca="1">E38-VLOOKUP(Settings!$K$3+Settings!$K$7,D$2:E$500,2,FALSE)</f>
        <v>36.984164400764882</v>
      </c>
      <c r="G38" s="138">
        <f t="shared" ca="1" si="3"/>
        <v>51</v>
      </c>
      <c r="H38" s="31">
        <f ca="1">VLOOKUP(A38,Rankings!$B$1:$H$651,7,FALSE)+(RAND()*0.00001)</f>
        <v>-0.25426255134960313</v>
      </c>
      <c r="I38" s="31">
        <f ca="1">H38-VLOOKUP(Settings!$K$3+Settings!$K$7,G$2:H$94,2,FALSE)</f>
        <v>-0.26030964339056484</v>
      </c>
      <c r="J38" s="31" t="str">
        <f>VLOOKUP(A38,Rankings!B:D,3,FALSE)</f>
        <v>AL</v>
      </c>
    </row>
    <row r="39" spans="1:10" ht="18.600000000000001" customHeight="1">
      <c r="A39" s="26" t="s">
        <v>390</v>
      </c>
      <c r="B39" s="27" t="s">
        <v>71</v>
      </c>
      <c r="C39" s="119" t="s">
        <v>11</v>
      </c>
      <c r="D39" s="138">
        <f t="shared" ca="1" si="2"/>
        <v>38</v>
      </c>
      <c r="E39" s="31">
        <f ca="1">VLOOKUP(A39,Rankings!$B$1:$H$651,6,FALSE)+(RAND()*0.00001)</f>
        <v>315.16750096248677</v>
      </c>
      <c r="F39" s="31">
        <f ca="1">E39-VLOOKUP(Settings!$K$3+Settings!$K$7,D$2:E$500,2,FALSE)</f>
        <v>32.188880420144869</v>
      </c>
      <c r="G39" s="138">
        <f t="shared" ca="1" si="3"/>
        <v>38</v>
      </c>
      <c r="H39" s="31">
        <f ca="1">VLOOKUP(A39,Rankings!$B$1:$H$651,7,FALSE)+(RAND()*0.00001)</f>
        <v>1.6937530335448971</v>
      </c>
      <c r="I39" s="31">
        <f ca="1">H39-VLOOKUP(Settings!$K$3+Settings!$K$7,G$2:H$94,2,FALSE)</f>
        <v>1.6877059415039355</v>
      </c>
      <c r="J39" s="31" t="str">
        <f>VLOOKUP(A39,Rankings!B:D,3,FALSE)</f>
        <v>AL</v>
      </c>
    </row>
    <row r="40" spans="1:10" ht="18.600000000000001" customHeight="1">
      <c r="A40" s="26" t="s">
        <v>381</v>
      </c>
      <c r="B40" s="27" t="s">
        <v>120</v>
      </c>
      <c r="C40" s="119" t="s">
        <v>11</v>
      </c>
      <c r="D40" s="138">
        <f t="shared" ca="1" si="2"/>
        <v>39</v>
      </c>
      <c r="E40" s="31">
        <f ca="1">VLOOKUP(A40,Rankings!$B$1:$H$651,6,FALSE)+(RAND()*0.00001)</f>
        <v>309.65834265507141</v>
      </c>
      <c r="F40" s="31">
        <f ca="1">E40-VLOOKUP(Settings!$K$3+Settings!$K$7,D$2:E$500,2,FALSE)</f>
        <v>26.679722112729507</v>
      </c>
      <c r="G40" s="138">
        <f t="shared" ca="1" si="3"/>
        <v>39</v>
      </c>
      <c r="H40" s="31">
        <f ca="1">VLOOKUP(A40,Rankings!$B$1:$H$651,7,FALSE)+(RAND()*0.00001)</f>
        <v>1.6064715421022568</v>
      </c>
      <c r="I40" s="31">
        <f ca="1">H40-VLOOKUP(Settings!$K$3+Settings!$K$7,G$2:H$94,2,FALSE)</f>
        <v>1.6004244500612952</v>
      </c>
      <c r="J40" s="31" t="str">
        <f>VLOOKUP(A40,Rankings!B:D,3,FALSE)</f>
        <v>NL</v>
      </c>
    </row>
    <row r="41" spans="1:10" ht="20.100000000000001" customHeight="1">
      <c r="A41" s="26" t="s">
        <v>473</v>
      </c>
      <c r="B41" s="27" t="s">
        <v>306</v>
      </c>
      <c r="C41" s="124" t="s">
        <v>27</v>
      </c>
      <c r="D41" s="138">
        <f t="shared" ca="1" si="2"/>
        <v>41</v>
      </c>
      <c r="E41" s="31">
        <f ca="1">VLOOKUP(A41,Rankings!$B$1:$H$651,6,FALSE)+(RAND()*0.00001)</f>
        <v>302.78444627918589</v>
      </c>
      <c r="F41" s="31">
        <f ca="1">E41-VLOOKUP(Settings!$K$3+Settings!$K$7,D$2:E$500,2,FALSE)</f>
        <v>19.805825736843985</v>
      </c>
      <c r="G41" s="138">
        <f t="shared" ca="1" si="3"/>
        <v>37</v>
      </c>
      <c r="H41" s="31">
        <f ca="1">VLOOKUP(A41,Rankings!$B$1:$H$651,7,FALSE)+(RAND()*0.00001)</f>
        <v>1.7141008703230576</v>
      </c>
      <c r="I41" s="31">
        <f ca="1">H41-VLOOKUP(Settings!$K$3+Settings!$K$7,G$2:H$94,2,FALSE)</f>
        <v>1.7080537782820959</v>
      </c>
      <c r="J41" s="31" t="str">
        <f>VLOOKUP(A41,Rankings!B:D,3,FALSE)</f>
        <v>NL</v>
      </c>
    </row>
    <row r="42" spans="1:10" ht="18.600000000000001" customHeight="1">
      <c r="A42" s="26" t="s">
        <v>199</v>
      </c>
      <c r="B42" s="27" t="s">
        <v>73</v>
      </c>
      <c r="C42" s="119" t="s">
        <v>11</v>
      </c>
      <c r="D42" s="138">
        <f t="shared" ca="1" si="2"/>
        <v>42</v>
      </c>
      <c r="E42" s="31">
        <f ca="1">VLOOKUP(A42,Rankings!$B$1:$H$651,6,FALSE)+(RAND()*0.00001)</f>
        <v>293.73778433684657</v>
      </c>
      <c r="F42" s="31">
        <f ca="1">E42-VLOOKUP(Settings!$K$3+Settings!$K$7,D$2:E$500,2,FALSE)</f>
        <v>10.759163794504673</v>
      </c>
      <c r="G42" s="138">
        <f t="shared" ca="1" si="3"/>
        <v>36</v>
      </c>
      <c r="H42" s="31">
        <f ca="1">VLOOKUP(A42,Rankings!$B$1:$H$651,7,FALSE)+(RAND()*0.00001)</f>
        <v>1.9673340043690317</v>
      </c>
      <c r="I42" s="31">
        <f ca="1">H42-VLOOKUP(Settings!$K$3+Settings!$K$7,G$2:H$94,2,FALSE)</f>
        <v>1.9612869123280701</v>
      </c>
      <c r="J42" s="31" t="str">
        <f>VLOOKUP(A42,Rankings!B:D,3,FALSE)</f>
        <v>NL</v>
      </c>
    </row>
    <row r="43" spans="1:10" ht="18.600000000000001" customHeight="1">
      <c r="A43" s="26" t="s">
        <v>422</v>
      </c>
      <c r="B43" s="27" t="s">
        <v>68</v>
      </c>
      <c r="C43" s="119" t="s">
        <v>11</v>
      </c>
      <c r="D43" s="138">
        <f t="shared" ca="1" si="2"/>
        <v>40</v>
      </c>
      <c r="E43" s="31">
        <f ca="1">VLOOKUP(A43,Rankings!$B$1:$H$651,6,FALSE)+(RAND()*0.00001)</f>
        <v>305.07389747254501</v>
      </c>
      <c r="F43" s="31">
        <f ca="1">E43-VLOOKUP(Settings!$K$3+Settings!$K$7,D$2:E$500,2,FALSE)</f>
        <v>22.095276930203113</v>
      </c>
      <c r="G43" s="138">
        <f t="shared" ca="1" si="3"/>
        <v>42</v>
      </c>
      <c r="H43" s="31">
        <f ca="1">VLOOKUP(A43,Rankings!$B$1:$H$651,7,FALSE)+(RAND()*0.00001)</f>
        <v>0.89695364067564809</v>
      </c>
      <c r="I43" s="31">
        <f ca="1">H43-VLOOKUP(Settings!$K$3+Settings!$K$7,G$2:H$94,2,FALSE)</f>
        <v>0.89090654863468632</v>
      </c>
      <c r="J43" s="31" t="str">
        <f>VLOOKUP(A43,Rankings!B:D,3,FALSE)</f>
        <v>AL</v>
      </c>
    </row>
    <row r="44" spans="1:10" ht="18.600000000000001" customHeight="1">
      <c r="A44" s="26" t="s">
        <v>545</v>
      </c>
      <c r="B44" s="27" t="s">
        <v>140</v>
      </c>
      <c r="C44" s="119" t="s">
        <v>11</v>
      </c>
      <c r="D44" s="138">
        <f t="shared" ca="1" si="2"/>
        <v>43</v>
      </c>
      <c r="E44" s="31">
        <f ca="1">VLOOKUP(A44,Rankings!$B$1:$H$651,6,FALSE)+(RAND()*0.00001)</f>
        <v>293.27389536753469</v>
      </c>
      <c r="F44" s="31">
        <f ca="1">E44-VLOOKUP(Settings!$K$3+Settings!$K$7,D$2:E$500,2,FALSE)</f>
        <v>10.295274825192791</v>
      </c>
      <c r="G44" s="138">
        <f t="shared" ca="1" si="3"/>
        <v>54</v>
      </c>
      <c r="H44" s="31">
        <f ca="1">VLOOKUP(A44,Rankings!$B$1:$H$651,7,FALSE)+(RAND()*0.00001)</f>
        <v>-0.57514201311674573</v>
      </c>
      <c r="I44" s="31">
        <f ca="1">H44-VLOOKUP(Settings!$K$3+Settings!$K$7,G$2:H$94,2,FALSE)</f>
        <v>-0.5811891051577075</v>
      </c>
      <c r="J44" s="31" t="str">
        <f>VLOOKUP(A44,Rankings!B:D,3,FALSE)</f>
        <v>AL</v>
      </c>
    </row>
    <row r="45" spans="1:10" ht="18.600000000000001" customHeight="1">
      <c r="A45" s="26" t="s">
        <v>348</v>
      </c>
      <c r="B45" s="27" t="s">
        <v>306</v>
      </c>
      <c r="C45" s="119" t="s">
        <v>11</v>
      </c>
      <c r="D45" s="138">
        <f t="shared" ca="1" si="2"/>
        <v>45</v>
      </c>
      <c r="E45" s="31">
        <f ca="1">VLOOKUP(A45,Rankings!$B$1:$H$651,6,FALSE)+(RAND()*0.00001)</f>
        <v>287.13167490570021</v>
      </c>
      <c r="F45" s="31">
        <f ca="1">E45-VLOOKUP(Settings!$K$3+Settings!$K$7,D$2:E$500,2,FALSE)</f>
        <v>4.1530543633583079</v>
      </c>
      <c r="G45" s="138">
        <f t="shared" ca="1" si="3"/>
        <v>43</v>
      </c>
      <c r="H45" s="31">
        <f ca="1">VLOOKUP(A45,Rankings!$B$1:$H$651,7,FALSE)+(RAND()*0.00001)</f>
        <v>0.79900819604669437</v>
      </c>
      <c r="I45" s="31">
        <f ca="1">H45-VLOOKUP(Settings!$K$3+Settings!$K$7,G$2:H$94,2,FALSE)</f>
        <v>0.79296110400573261</v>
      </c>
      <c r="J45" s="31" t="str">
        <f>VLOOKUP(A45,Rankings!B:D,3,FALSE)</f>
        <v>NL</v>
      </c>
    </row>
    <row r="46" spans="1:10" ht="18.600000000000001" customHeight="1">
      <c r="A46" s="26" t="s">
        <v>477</v>
      </c>
      <c r="B46" s="27" t="s">
        <v>258</v>
      </c>
      <c r="C46" s="119" t="s">
        <v>11</v>
      </c>
      <c r="D46" s="138">
        <f t="shared" ca="1" si="2"/>
        <v>47</v>
      </c>
      <c r="E46" s="31">
        <f ca="1">VLOOKUP(A46,Rankings!$B$1:$H$651,6,FALSE)+(RAND()*0.00001)</f>
        <v>283.1455598230869</v>
      </c>
      <c r="F46" s="31">
        <f ca="1">E46-VLOOKUP(Settings!$K$3+Settings!$K$7,D$2:E$500,2,FALSE)</f>
        <v>0.16693928074499809</v>
      </c>
      <c r="G46" s="138">
        <f t="shared" ca="1" si="3"/>
        <v>49</v>
      </c>
      <c r="H46" s="31">
        <f ca="1">VLOOKUP(A46,Rankings!$B$1:$H$651,7,FALSE)+(RAND()*0.00001)</f>
        <v>-3.3373277557311093E-2</v>
      </c>
      <c r="I46" s="31">
        <f ca="1">H46-VLOOKUP(Settings!$K$3+Settings!$K$7,G$2:H$94,2,FALSE)</f>
        <v>-3.9420369598272831E-2</v>
      </c>
      <c r="J46" s="31" t="str">
        <f>VLOOKUP(A46,Rankings!B:D,3,FALSE)</f>
        <v>AL</v>
      </c>
    </row>
    <row r="47" spans="1:10" ht="18.600000000000001" customHeight="1">
      <c r="A47" s="26" t="s">
        <v>421</v>
      </c>
      <c r="B47" s="27" t="s">
        <v>81</v>
      </c>
      <c r="C47" s="119" t="s">
        <v>11</v>
      </c>
      <c r="D47" s="138">
        <f t="shared" ca="1" si="2"/>
        <v>44</v>
      </c>
      <c r="E47" s="31">
        <f ca="1">VLOOKUP(A47,Rankings!$B$1:$H$651,6,FALSE)+(RAND()*0.00001)</f>
        <v>288.47833442164927</v>
      </c>
      <c r="F47" s="31">
        <f ca="1">E47-VLOOKUP(Settings!$K$3+Settings!$K$7,D$2:E$500,2,FALSE)</f>
        <v>5.4997138793073646</v>
      </c>
      <c r="G47" s="138">
        <f t="shared" ca="1" si="3"/>
        <v>46</v>
      </c>
      <c r="H47" s="31">
        <f ca="1">VLOOKUP(A47,Rankings!$B$1:$H$651,7,FALSE)+(RAND()*0.00001)</f>
        <v>0.54432139846311378</v>
      </c>
      <c r="I47" s="31">
        <f ca="1">H47-VLOOKUP(Settings!$K$3+Settings!$K$7,G$2:H$94,2,FALSE)</f>
        <v>0.53827430642215202</v>
      </c>
      <c r="J47" s="31" t="str">
        <f>VLOOKUP(A47,Rankings!B:D,3,FALSE)</f>
        <v>NL</v>
      </c>
    </row>
    <row r="48" spans="1:10" ht="18.600000000000001" customHeight="1">
      <c r="A48" s="26" t="s">
        <v>508</v>
      </c>
      <c r="B48" s="27" t="s">
        <v>217</v>
      </c>
      <c r="C48" s="124" t="s">
        <v>27</v>
      </c>
      <c r="D48" s="138">
        <f t="shared" ca="1" si="2"/>
        <v>48</v>
      </c>
      <c r="E48" s="31">
        <f ca="1">VLOOKUP(A48,Rankings!$B$1:$H$651,6,FALSE)+(RAND()*0.00001)</f>
        <v>282.9786205423419</v>
      </c>
      <c r="F48" s="31">
        <f ca="1">E48-VLOOKUP(Settings!$K$3+Settings!$K$7,D$2:E$500,2,FALSE)</f>
        <v>0</v>
      </c>
      <c r="G48" s="138">
        <f t="shared" ca="1" si="3"/>
        <v>48</v>
      </c>
      <c r="H48" s="31">
        <f ca="1">VLOOKUP(A48,Rankings!$B$1:$H$651,7,FALSE)+(RAND()*0.00001)</f>
        <v>6.0470920409617362E-3</v>
      </c>
      <c r="I48" s="31">
        <f ca="1">H48-VLOOKUP(Settings!$K$3+Settings!$K$7,G$2:H$94,2,FALSE)</f>
        <v>0</v>
      </c>
      <c r="J48" s="31" t="str">
        <f>VLOOKUP(A48,Rankings!B:D,3,FALSE)</f>
        <v>NL</v>
      </c>
    </row>
    <row r="49" spans="1:10" ht="18.600000000000001" customHeight="1">
      <c r="A49" s="26" t="s">
        <v>551</v>
      </c>
      <c r="B49" s="27"/>
      <c r="C49" s="124" t="s">
        <v>27</v>
      </c>
      <c r="D49" s="138">
        <f t="shared" ca="1" si="2"/>
        <v>46</v>
      </c>
      <c r="E49" s="31">
        <f ca="1">VLOOKUP(A49,Rankings!$B$1:$H$651,6,FALSE)+(RAND()*0.00001)</f>
        <v>283.7272273231834</v>
      </c>
      <c r="F49" s="31">
        <f ca="1">E49-VLOOKUP(Settings!$K$3+Settings!$K$7,D$2:E$500,2,FALSE)</f>
        <v>0.74860678084149868</v>
      </c>
      <c r="G49" s="138">
        <f t="shared" ca="1" si="3"/>
        <v>45</v>
      </c>
      <c r="H49" s="31">
        <f ca="1">VLOOKUP(A49,Rankings!$B$1:$H$651,7,FALSE)+(RAND()*0.00001)</f>
        <v>0.62428799914621314</v>
      </c>
      <c r="I49" s="31">
        <f ca="1">H49-VLOOKUP(Settings!$K$3+Settings!$K$7,G$2:H$94,2,FALSE)</f>
        <v>0.61824090710525137</v>
      </c>
      <c r="J49" s="31" t="str">
        <f>VLOOKUP(A49,Rankings!B:D,3,FALSE)</f>
        <v>AL</v>
      </c>
    </row>
    <row r="50" spans="1:10" ht="18.600000000000001" customHeight="1">
      <c r="A50" s="26" t="s">
        <v>528</v>
      </c>
      <c r="B50" s="27" t="s">
        <v>84</v>
      </c>
      <c r="C50" s="124" t="s">
        <v>27</v>
      </c>
      <c r="D50" s="138">
        <f t="shared" ca="1" si="2"/>
        <v>50</v>
      </c>
      <c r="E50" s="31">
        <f ca="1">VLOOKUP(A50,Rankings!$B$1:$H$651,6,FALSE)+(RAND()*0.00001)</f>
        <v>263.3305579273399</v>
      </c>
      <c r="F50" s="31">
        <f ca="1">E50-VLOOKUP(Settings!$K$3+Settings!$K$7,D$2:E$500,2,FALSE)</f>
        <v>-19.648062615002004</v>
      </c>
      <c r="G50" s="138">
        <f t="shared" ca="1" si="3"/>
        <v>47</v>
      </c>
      <c r="H50" s="31">
        <f ca="1">VLOOKUP(A50,Rankings!$B$1:$H$651,7,FALSE)+(RAND()*0.00001)</f>
        <v>0.10032625071517222</v>
      </c>
      <c r="I50" s="31">
        <f ca="1">H50-VLOOKUP(Settings!$K$3+Settings!$K$7,G$2:H$94,2,FALSE)</f>
        <v>9.4279158674210481E-2</v>
      </c>
      <c r="J50" s="31" t="str">
        <f>VLOOKUP(A50,Rankings!B:D,3,FALSE)</f>
        <v>AL</v>
      </c>
    </row>
    <row r="51" spans="1:10" ht="18.600000000000001" customHeight="1">
      <c r="A51" s="26" t="s">
        <v>330</v>
      </c>
      <c r="B51" s="27" t="s">
        <v>176</v>
      </c>
      <c r="C51" s="119" t="s">
        <v>11</v>
      </c>
      <c r="D51" s="138">
        <f t="shared" ca="1" si="2"/>
        <v>71</v>
      </c>
      <c r="E51" s="31">
        <f ca="1">VLOOKUP(A51,Rankings!$B$1:$H$651,6,FALSE)+(RAND()*0.00001)</f>
        <v>180.50867186722891</v>
      </c>
      <c r="F51" s="31">
        <f ca="1">E51-VLOOKUP(Settings!$K$3+Settings!$K$7,D$2:E$500,2,FALSE)</f>
        <v>-102.46994867511299</v>
      </c>
      <c r="G51" s="138">
        <f t="shared" ca="1" si="3"/>
        <v>64</v>
      </c>
      <c r="H51" s="31">
        <f ca="1">VLOOKUP(A51,Rankings!$B$1:$H$651,7,FALSE)+(RAND()*0.00001)</f>
        <v>-1.6158202863258737</v>
      </c>
      <c r="I51" s="31">
        <f ca="1">H51-VLOOKUP(Settings!$K$3+Settings!$K$7,G$2:H$94,2,FALSE)</f>
        <v>-1.6218673783668354</v>
      </c>
      <c r="J51" s="31" t="str">
        <f>VLOOKUP(A51,Rankings!B:D,3,FALSE)</f>
        <v>NL</v>
      </c>
    </row>
    <row r="52" spans="1:10" ht="18.600000000000001" customHeight="1">
      <c r="A52" s="26" t="s">
        <v>516</v>
      </c>
      <c r="B52" s="27" t="s">
        <v>99</v>
      </c>
      <c r="C52" s="119" t="s">
        <v>11</v>
      </c>
      <c r="D52" s="138">
        <f t="shared" ca="1" si="2"/>
        <v>49</v>
      </c>
      <c r="E52" s="31">
        <f ca="1">VLOOKUP(A52,Rankings!$B$1:$H$651,6,FALSE)+(RAND()*0.00001)</f>
        <v>267.17945106405051</v>
      </c>
      <c r="F52" s="31">
        <f ca="1">E52-VLOOKUP(Settings!$K$3+Settings!$K$7,D$2:E$500,2,FALSE)</f>
        <v>-15.79916947829139</v>
      </c>
      <c r="G52" s="138">
        <f t="shared" ca="1" si="3"/>
        <v>57</v>
      </c>
      <c r="H52" s="31">
        <f ca="1">VLOOKUP(A52,Rankings!$B$1:$H$651,7,FALSE)+(RAND()*0.00001)</f>
        <v>-0.64388145921300644</v>
      </c>
      <c r="I52" s="31">
        <f ca="1">H52-VLOOKUP(Settings!$K$3+Settings!$K$7,G$2:H$94,2,FALSE)</f>
        <v>-0.6499285512539682</v>
      </c>
      <c r="J52" s="31" t="str">
        <f>VLOOKUP(A52,Rankings!B:D,3,FALSE)</f>
        <v>AL</v>
      </c>
    </row>
    <row r="53" spans="1:10" ht="18.600000000000001" customHeight="1">
      <c r="A53" s="26" t="s">
        <v>405</v>
      </c>
      <c r="B53" s="27" t="s">
        <v>158</v>
      </c>
      <c r="C53" s="119" t="s">
        <v>11</v>
      </c>
      <c r="D53" s="138">
        <f t="shared" ca="1" si="2"/>
        <v>56</v>
      </c>
      <c r="E53" s="31">
        <f ca="1">VLOOKUP(A53,Rankings!$B$1:$H$651,6,FALSE)+(RAND()*0.00001)</f>
        <v>244.78166923755373</v>
      </c>
      <c r="F53" s="31">
        <f ca="1">E53-VLOOKUP(Settings!$K$3+Settings!$K$7,D$2:E$500,2,FALSE)</f>
        <v>-38.196951304788172</v>
      </c>
      <c r="G53" s="138">
        <f t="shared" ca="1" si="3"/>
        <v>52</v>
      </c>
      <c r="H53" s="31">
        <f ca="1">VLOOKUP(A53,Rankings!$B$1:$H$651,7,FALSE)+(RAND()*0.00001)</f>
        <v>-0.37123585481389049</v>
      </c>
      <c r="I53" s="31">
        <f ca="1">H53-VLOOKUP(Settings!$K$3+Settings!$K$7,G$2:H$94,2,FALSE)</f>
        <v>-0.3772829468548522</v>
      </c>
      <c r="J53" s="31" t="str">
        <f>VLOOKUP(A53,Rankings!B:D,3,FALSE)</f>
        <v>NL</v>
      </c>
    </row>
    <row r="54" spans="1:10" ht="18.600000000000001" customHeight="1">
      <c r="A54" s="26" t="s">
        <v>548</v>
      </c>
      <c r="B54" s="27" t="s">
        <v>94</v>
      </c>
      <c r="C54" s="119" t="s">
        <v>11</v>
      </c>
      <c r="D54" s="138">
        <f t="shared" ca="1" si="2"/>
        <v>54</v>
      </c>
      <c r="E54" s="31">
        <f ca="1">VLOOKUP(A54,Rankings!$B$1:$H$651,6,FALSE)+(RAND()*0.00001)</f>
        <v>254.0177863576852</v>
      </c>
      <c r="F54" s="31">
        <f ca="1">E54-VLOOKUP(Settings!$K$3+Settings!$K$7,D$2:E$500,2,FALSE)</f>
        <v>-28.960834184656704</v>
      </c>
      <c r="G54" s="138">
        <f t="shared" ca="1" si="3"/>
        <v>53</v>
      </c>
      <c r="H54" s="31">
        <f ca="1">VLOOKUP(A54,Rankings!$B$1:$H$651,7,FALSE)+(RAND()*0.00001)</f>
        <v>-0.39194499463251414</v>
      </c>
      <c r="I54" s="31">
        <f ca="1">H54-VLOOKUP(Settings!$K$3+Settings!$K$7,G$2:H$94,2,FALSE)</f>
        <v>-0.39799208667347585</v>
      </c>
      <c r="J54" s="31" t="str">
        <f>VLOOKUP(A54,Rankings!B:D,3,FALSE)</f>
        <v>AL</v>
      </c>
    </row>
    <row r="55" spans="1:10" ht="18.600000000000001" customHeight="1">
      <c r="A55" s="26" t="s">
        <v>326</v>
      </c>
      <c r="B55" s="27" t="s">
        <v>103</v>
      </c>
      <c r="C55" s="124" t="s">
        <v>27</v>
      </c>
      <c r="D55" s="138">
        <f t="shared" ca="1" si="2"/>
        <v>55</v>
      </c>
      <c r="E55" s="31">
        <f ca="1">VLOOKUP(A55,Rankings!$B$1:$H$651,6,FALSE)+(RAND()*0.00001)</f>
        <v>246.44306280599386</v>
      </c>
      <c r="F55" s="31">
        <f ca="1">E55-VLOOKUP(Settings!$K$3+Settings!$K$7,D$2:E$500,2,FALSE)</f>
        <v>-36.535557736348039</v>
      </c>
      <c r="G55" s="138">
        <f t="shared" ca="1" si="3"/>
        <v>41</v>
      </c>
      <c r="H55" s="31">
        <f ca="1">VLOOKUP(A55,Rankings!$B$1:$H$651,7,FALSE)+(RAND()*0.00001)</f>
        <v>1.1859409330224304</v>
      </c>
      <c r="I55" s="31">
        <f ca="1">H55-VLOOKUP(Settings!$K$3+Settings!$K$7,G$2:H$94,2,FALSE)</f>
        <v>1.1798938409814688</v>
      </c>
      <c r="J55" s="31" t="str">
        <f>VLOOKUP(A55,Rankings!B:D,3,FALSE)</f>
        <v>AL</v>
      </c>
    </row>
    <row r="56" spans="1:10" ht="18.600000000000001" customHeight="1">
      <c r="A56" s="26" t="s">
        <v>660</v>
      </c>
      <c r="B56" s="27" t="s">
        <v>223</v>
      </c>
      <c r="C56" s="124" t="s">
        <v>27</v>
      </c>
      <c r="D56" s="138">
        <f t="shared" ca="1" si="2"/>
        <v>58</v>
      </c>
      <c r="E56" s="31">
        <f ca="1">VLOOKUP(A56,Rankings!$B$1:$H$651,6,FALSE)+(RAND()*0.00001)</f>
        <v>234.64555819551271</v>
      </c>
      <c r="F56" s="31">
        <f ca="1">E56-VLOOKUP(Settings!$K$3+Settings!$K$7,D$2:E$500,2,FALSE)</f>
        <v>-48.333062346829195</v>
      </c>
      <c r="G56" s="138">
        <f t="shared" ca="1" si="3"/>
        <v>59</v>
      </c>
      <c r="H56" s="31">
        <f ca="1">VLOOKUP(A56,Rankings!$B$1:$H$651,7,FALSE)+(RAND()*0.00001)</f>
        <v>-1.1193248537096341</v>
      </c>
      <c r="I56" s="31">
        <f ca="1">H56-VLOOKUP(Settings!$K$3+Settings!$K$7,G$2:H$94,2,FALSE)</f>
        <v>-1.1253719457505957</v>
      </c>
      <c r="J56" s="31" t="str">
        <f>VLOOKUP(A56,Rankings!B:D,3,FALSE)</f>
        <v>NL</v>
      </c>
    </row>
    <row r="57" spans="1:10" ht="18.600000000000001" customHeight="1">
      <c r="A57" s="26" t="s">
        <v>543</v>
      </c>
      <c r="B57" s="27" t="s">
        <v>99</v>
      </c>
      <c r="C57" s="119" t="s">
        <v>11</v>
      </c>
      <c r="D57" s="138">
        <f t="shared" ca="1" si="2"/>
        <v>60</v>
      </c>
      <c r="E57" s="31">
        <f ca="1">VLOOKUP(A57,Rankings!$B$1:$H$651,6,FALSE)+(RAND()*0.00001)</f>
        <v>227.45278528719521</v>
      </c>
      <c r="F57" s="31">
        <f ca="1">E57-VLOOKUP(Settings!$K$3+Settings!$K$7,D$2:E$500,2,FALSE)</f>
        <v>-55.525835255146688</v>
      </c>
      <c r="G57" s="138">
        <f t="shared" ca="1" si="3"/>
        <v>62</v>
      </c>
      <c r="H57" s="31">
        <f ca="1">VLOOKUP(A57,Rankings!$B$1:$H$651,7,FALSE)+(RAND()*0.00001)</f>
        <v>-1.3818031316119532</v>
      </c>
      <c r="I57" s="31">
        <f ca="1">H57-VLOOKUP(Settings!$K$3+Settings!$K$7,G$2:H$94,2,FALSE)</f>
        <v>-1.3878502236529149</v>
      </c>
      <c r="J57" s="31" t="str">
        <f>VLOOKUP(A57,Rankings!B:D,3,FALSE)</f>
        <v>AL</v>
      </c>
    </row>
    <row r="58" spans="1:10" ht="18.600000000000001" customHeight="1">
      <c r="A58" s="26" t="s">
        <v>639</v>
      </c>
      <c r="B58" s="27" t="s">
        <v>140</v>
      </c>
      <c r="C58" s="119" t="s">
        <v>11</v>
      </c>
      <c r="D58" s="138">
        <f t="shared" ca="1" si="2"/>
        <v>57</v>
      </c>
      <c r="E58" s="31">
        <f ca="1">VLOOKUP(A58,Rankings!$B$1:$H$651,6,FALSE)+(RAND()*0.00001)</f>
        <v>235.24445302799552</v>
      </c>
      <c r="F58" s="31">
        <f ca="1">E58-VLOOKUP(Settings!$K$3+Settings!$K$7,D$2:E$500,2,FALSE)</f>
        <v>-47.734167514346382</v>
      </c>
      <c r="G58" s="138">
        <f t="shared" ca="1" si="3"/>
        <v>65</v>
      </c>
      <c r="H58" s="31">
        <f ca="1">VLOOKUP(A58,Rankings!$B$1:$H$651,7,FALSE)+(RAND()*0.00001)</f>
        <v>-1.6289157521411857</v>
      </c>
      <c r="I58" s="31">
        <f ca="1">H58-VLOOKUP(Settings!$K$3+Settings!$K$7,G$2:H$94,2,FALSE)</f>
        <v>-1.6349628441821473</v>
      </c>
      <c r="J58" s="31" t="str">
        <f>VLOOKUP(A58,Rankings!B:D,3,FALSE)</f>
        <v>AL</v>
      </c>
    </row>
    <row r="59" spans="1:10" ht="18.600000000000001" customHeight="1">
      <c r="A59" s="26" t="s">
        <v>466</v>
      </c>
      <c r="B59" s="27" t="s">
        <v>117</v>
      </c>
      <c r="C59" s="119" t="s">
        <v>11</v>
      </c>
      <c r="D59" s="138">
        <f t="shared" ca="1" si="2"/>
        <v>61</v>
      </c>
      <c r="E59" s="31">
        <f ca="1">VLOOKUP(A59,Rankings!$B$1:$H$651,6,FALSE)+(RAND()*0.00001)</f>
        <v>222.43556054122701</v>
      </c>
      <c r="F59" s="31">
        <f ca="1">E59-VLOOKUP(Settings!$K$3+Settings!$K$7,D$2:E$500,2,FALSE)</f>
        <v>-60.543060001114895</v>
      </c>
      <c r="G59" s="138">
        <f t="shared" ca="1" si="3"/>
        <v>60</v>
      </c>
      <c r="H59" s="31">
        <f ca="1">VLOOKUP(A59,Rankings!$B$1:$H$651,7,FALSE)+(RAND()*0.00001)</f>
        <v>-1.184595978693141</v>
      </c>
      <c r="I59" s="31">
        <f ca="1">H59-VLOOKUP(Settings!$K$3+Settings!$K$7,G$2:H$94,2,FALSE)</f>
        <v>-1.1906430707341027</v>
      </c>
      <c r="J59" s="31" t="str">
        <f>VLOOKUP(A59,Rankings!B:D,3,FALSE)</f>
        <v>AL</v>
      </c>
    </row>
    <row r="60" spans="1:10" ht="18.600000000000001" customHeight="1">
      <c r="A60" s="26" t="s">
        <v>650</v>
      </c>
      <c r="B60" s="27" t="s">
        <v>81</v>
      </c>
      <c r="C60" s="124" t="s">
        <v>27</v>
      </c>
      <c r="D60" s="138">
        <f t="shared" ca="1" si="2"/>
        <v>51</v>
      </c>
      <c r="E60" s="31">
        <f ca="1">VLOOKUP(A60,Rankings!$B$1:$H$651,6,FALSE)+(RAND()*0.00001)</f>
        <v>259.54917418753627</v>
      </c>
      <c r="F60" s="31">
        <f ca="1">E60-VLOOKUP(Settings!$K$3+Settings!$K$7,D$2:E$500,2,FALSE)</f>
        <v>-23.429446354805634</v>
      </c>
      <c r="G60" s="138">
        <f t="shared" ca="1" si="3"/>
        <v>50</v>
      </c>
      <c r="H60" s="31">
        <f ca="1">VLOOKUP(A60,Rankings!$B$1:$H$651,7,FALSE)+(RAND()*0.00001)</f>
        <v>-0.24726209283648967</v>
      </c>
      <c r="I60" s="31">
        <f ca="1">H60-VLOOKUP(Settings!$K$3+Settings!$K$7,G$2:H$94,2,FALSE)</f>
        <v>-0.25330918487745141</v>
      </c>
      <c r="J60" s="31" t="str">
        <f>VLOOKUP(A60,Rankings!B:D,3,FALSE)</f>
        <v>NL</v>
      </c>
    </row>
    <row r="61" spans="1:10" ht="18.600000000000001" customHeight="1">
      <c r="A61" s="26" t="s">
        <v>544</v>
      </c>
      <c r="B61" s="27" t="s">
        <v>134</v>
      </c>
      <c r="C61" s="119" t="s">
        <v>11</v>
      </c>
      <c r="D61" s="138">
        <f t="shared" ca="1" si="2"/>
        <v>63</v>
      </c>
      <c r="E61" s="31">
        <f ca="1">VLOOKUP(A61,Rankings!$B$1:$H$651,6,FALSE)+(RAND()*0.00001)</f>
        <v>210.71777894707282</v>
      </c>
      <c r="F61" s="31">
        <f ca="1">E61-VLOOKUP(Settings!$K$3+Settings!$K$7,D$2:E$500,2,FALSE)</f>
        <v>-72.260841595269085</v>
      </c>
      <c r="G61" s="138">
        <f t="shared" ca="1" si="3"/>
        <v>58</v>
      </c>
      <c r="H61" s="31">
        <f ca="1">VLOOKUP(A61,Rankings!$B$1:$H$651,7,FALSE)+(RAND()*0.00001)</f>
        <v>-0.65905220359910976</v>
      </c>
      <c r="I61" s="31">
        <f ca="1">H61-VLOOKUP(Settings!$K$3+Settings!$K$7,G$2:H$94,2,FALSE)</f>
        <v>-0.66509929564007153</v>
      </c>
      <c r="J61" s="31" t="str">
        <f>VLOOKUP(A61,Rankings!B:D,3,FALSE)</f>
        <v>NL</v>
      </c>
    </row>
    <row r="62" spans="1:10" ht="18.600000000000001" customHeight="1">
      <c r="A62" s="26" t="s">
        <v>632</v>
      </c>
      <c r="B62" s="27" t="s">
        <v>97</v>
      </c>
      <c r="C62" s="124" t="s">
        <v>27</v>
      </c>
      <c r="D62" s="138">
        <f t="shared" ca="1" si="2"/>
        <v>64</v>
      </c>
      <c r="E62" s="31">
        <f ca="1">VLOOKUP(A62,Rankings!$B$1:$H$651,6,FALSE)+(RAND()*0.00001)</f>
        <v>207.99333587357015</v>
      </c>
      <c r="F62" s="31">
        <f ca="1">E62-VLOOKUP(Settings!$K$3+Settings!$K$7,D$2:E$500,2,FALSE)</f>
        <v>-74.985284668771754</v>
      </c>
      <c r="G62" s="138">
        <f t="shared" ca="1" si="3"/>
        <v>67</v>
      </c>
      <c r="H62" s="31">
        <f ca="1">VLOOKUP(A62,Rankings!$B$1:$H$651,7,FALSE)+(RAND()*0.00001)</f>
        <v>-1.8719127476081272</v>
      </c>
      <c r="I62" s="31">
        <f ca="1">H62-VLOOKUP(Settings!$K$3+Settings!$K$7,G$2:H$94,2,FALSE)</f>
        <v>-1.8779598396490889</v>
      </c>
      <c r="J62" s="31" t="str">
        <f>VLOOKUP(A62,Rankings!B:D,3,FALSE)</f>
        <v>NL</v>
      </c>
    </row>
    <row r="63" spans="1:10" ht="18.600000000000001" customHeight="1">
      <c r="A63" s="26" t="s">
        <v>714</v>
      </c>
      <c r="B63" s="27" t="s">
        <v>140</v>
      </c>
      <c r="C63" s="124" t="s">
        <v>27</v>
      </c>
      <c r="D63" s="138">
        <f t="shared" ca="1" si="2"/>
        <v>65</v>
      </c>
      <c r="E63" s="31">
        <f ca="1">VLOOKUP(A63,Rankings!$B$1:$H$651,6,FALSE)+(RAND()*0.00001)</f>
        <v>202.45223193551729</v>
      </c>
      <c r="F63" s="31">
        <f ca="1">E63-VLOOKUP(Settings!$K$3+Settings!$K$7,D$2:E$500,2,FALSE)</f>
        <v>-80.526388606824611</v>
      </c>
      <c r="G63" s="138">
        <f t="shared" ca="1" si="3"/>
        <v>78</v>
      </c>
      <c r="H63" s="31">
        <f ca="1">VLOOKUP(A63,Rankings!$B$1:$H$651,7,FALSE)+(RAND()*0.00001)</f>
        <v>-3.2345401081771796</v>
      </c>
      <c r="I63" s="31">
        <f ca="1">H63-VLOOKUP(Settings!$K$3+Settings!$K$7,G$2:H$94,2,FALSE)</f>
        <v>-3.2405872002181413</v>
      </c>
      <c r="J63" s="31" t="str">
        <f>VLOOKUP(A63,Rankings!B:D,3,FALSE)</f>
        <v>AL</v>
      </c>
    </row>
    <row r="64" spans="1:10" ht="18.600000000000001" customHeight="1">
      <c r="A64" s="26" t="s">
        <v>680</v>
      </c>
      <c r="B64" s="27" t="s">
        <v>99</v>
      </c>
      <c r="C64" s="124" t="s">
        <v>27</v>
      </c>
      <c r="D64" s="138">
        <f t="shared" ca="1" si="2"/>
        <v>62</v>
      </c>
      <c r="E64" s="31">
        <f ca="1">VLOOKUP(A64,Rankings!$B$1:$H$651,6,FALSE)+(RAND()*0.00001)</f>
        <v>216.60306055822835</v>
      </c>
      <c r="F64" s="31">
        <f ca="1">E64-VLOOKUP(Settings!$K$3+Settings!$K$7,D$2:E$500,2,FALSE)</f>
        <v>-66.375559984113551</v>
      </c>
      <c r="G64" s="138">
        <f t="shared" ca="1" si="3"/>
        <v>55</v>
      </c>
      <c r="H64" s="31">
        <f ca="1">VLOOKUP(A64,Rankings!$B$1:$H$651,7,FALSE)+(RAND()*0.00001)</f>
        <v>-0.62494012023669754</v>
      </c>
      <c r="I64" s="31">
        <f ca="1">H64-VLOOKUP(Settings!$K$3+Settings!$K$7,G$2:H$94,2,FALSE)</f>
        <v>-0.6309872122776593</v>
      </c>
      <c r="J64" s="31" t="str">
        <f>VLOOKUP(A64,Rankings!B:D,3,FALSE)</f>
        <v>AL</v>
      </c>
    </row>
    <row r="65" spans="1:10" ht="18.600000000000001" customHeight="1">
      <c r="A65" s="26" t="s">
        <v>678</v>
      </c>
      <c r="B65" s="27" t="s">
        <v>120</v>
      </c>
      <c r="C65" s="124" t="s">
        <v>27</v>
      </c>
      <c r="D65" s="138">
        <f t="shared" ca="1" si="2"/>
        <v>68</v>
      </c>
      <c r="E65" s="31">
        <f ca="1">VLOOKUP(A65,Rankings!$B$1:$H$651,6,FALSE)+(RAND()*0.00001)</f>
        <v>195.37667250445006</v>
      </c>
      <c r="F65" s="31">
        <f ca="1">E65-VLOOKUP(Settings!$K$3+Settings!$K$7,D$2:E$500,2,FALSE)</f>
        <v>-87.601948037891844</v>
      </c>
      <c r="G65" s="138">
        <f t="shared" ca="1" si="3"/>
        <v>75</v>
      </c>
      <c r="H65" s="31">
        <f ca="1">VLOOKUP(A65,Rankings!$B$1:$H$651,7,FALSE)+(RAND()*0.00001)</f>
        <v>-2.8721637619401883</v>
      </c>
      <c r="I65" s="31">
        <f ca="1">H65-VLOOKUP(Settings!$K$3+Settings!$K$7,G$2:H$94,2,FALSE)</f>
        <v>-2.87821085398115</v>
      </c>
      <c r="J65" s="31" t="str">
        <f>VLOOKUP(A65,Rankings!B:D,3,FALSE)</f>
        <v>NL</v>
      </c>
    </row>
    <row r="66" spans="1:10" ht="18.600000000000001" customHeight="1">
      <c r="A66" s="26" t="s">
        <v>617</v>
      </c>
      <c r="B66" s="27" t="s">
        <v>123</v>
      </c>
      <c r="C66" s="119" t="s">
        <v>11</v>
      </c>
      <c r="D66" s="138">
        <f t="shared" ref="D66:D94" ca="1" si="4">RANK(E66,E$2:E$500)</f>
        <v>66</v>
      </c>
      <c r="E66" s="31">
        <f ca="1">VLOOKUP(A66,Rankings!$B$1:$H$651,6,FALSE)+(RAND()*0.00001)</f>
        <v>200.97556164837886</v>
      </c>
      <c r="F66" s="31">
        <f ca="1">E66-VLOOKUP(Settings!$K$3+Settings!$K$7,D$2:E$500,2,FALSE)</f>
        <v>-82.003058893963043</v>
      </c>
      <c r="G66" s="138">
        <f t="shared" ref="G66:G94" ca="1" si="5">RANK(H66,H$2:H$500)</f>
        <v>66</v>
      </c>
      <c r="H66" s="31">
        <f ca="1">VLOOKUP(A66,Rankings!$B$1:$H$651,7,FALSE)+(RAND()*0.00001)</f>
        <v>-1.8526665244118794</v>
      </c>
      <c r="I66" s="31">
        <f ca="1">H66-VLOOKUP(Settings!$K$3+Settings!$K$7,G$2:H$94,2,FALSE)</f>
        <v>-1.8587136164528411</v>
      </c>
      <c r="J66" s="31" t="str">
        <f>VLOOKUP(A66,Rankings!B:D,3,FALSE)</f>
        <v>NL</v>
      </c>
    </row>
    <row r="67" spans="1:10" ht="18.600000000000001" customHeight="1">
      <c r="A67" s="26" t="s">
        <v>637</v>
      </c>
      <c r="B67" s="27"/>
      <c r="C67" s="124" t="s">
        <v>27</v>
      </c>
      <c r="D67" s="138">
        <f t="shared" ca="1" si="4"/>
        <v>72</v>
      </c>
      <c r="E67" s="31">
        <f ca="1">VLOOKUP(A67,Rankings!$B$1:$H$651,6,FALSE)+(RAND()*0.00001)</f>
        <v>173.42889424356173</v>
      </c>
      <c r="F67" s="31">
        <f ca="1">E67-VLOOKUP(Settings!$K$3+Settings!$K$7,D$2:E$500,2,FALSE)</f>
        <v>-109.54972629878017</v>
      </c>
      <c r="G67" s="138">
        <f t="shared" ca="1" si="5"/>
        <v>70</v>
      </c>
      <c r="H67" s="31">
        <f ca="1">VLOOKUP(A67,Rankings!$B$1:$H$651,7,FALSE)+(RAND()*0.00001)</f>
        <v>-2.2190746657923612</v>
      </c>
      <c r="I67" s="31">
        <f ca="1">H67-VLOOKUP(Settings!$K$3+Settings!$K$7,G$2:H$94,2,FALSE)</f>
        <v>-2.2251217578333229</v>
      </c>
      <c r="J67" s="31" t="str">
        <f>VLOOKUP(A67,Rankings!B:D,3,FALSE)</f>
        <v>AL</v>
      </c>
    </row>
    <row r="68" spans="1:10" ht="18.600000000000001" customHeight="1">
      <c r="A68" s="26" t="s">
        <v>622</v>
      </c>
      <c r="B68" s="27" t="s">
        <v>71</v>
      </c>
      <c r="C68" s="119" t="s">
        <v>11</v>
      </c>
      <c r="D68" s="138">
        <f t="shared" ca="1" si="4"/>
        <v>70</v>
      </c>
      <c r="E68" s="31">
        <f ca="1">VLOOKUP(A68,Rankings!$B$1:$H$651,6,FALSE)+(RAND()*0.00001)</f>
        <v>183.55833909895853</v>
      </c>
      <c r="F68" s="31">
        <f ca="1">E68-VLOOKUP(Settings!$K$3+Settings!$K$7,D$2:E$500,2,FALSE)</f>
        <v>-99.420281443383374</v>
      </c>
      <c r="G68" s="138">
        <f t="shared" ca="1" si="5"/>
        <v>74</v>
      </c>
      <c r="H68" s="31">
        <f ca="1">VLOOKUP(A68,Rankings!$B$1:$H$651,7,FALSE)+(RAND()*0.00001)</f>
        <v>-2.6442352437793315</v>
      </c>
      <c r="I68" s="31">
        <f ca="1">H68-VLOOKUP(Settings!$K$3+Settings!$K$7,G$2:H$94,2,FALSE)</f>
        <v>-2.6502823358202932</v>
      </c>
      <c r="J68" s="31" t="str">
        <f>VLOOKUP(A68,Rankings!B:D,3,FALSE)</f>
        <v>AL</v>
      </c>
    </row>
    <row r="69" spans="1:10" ht="18.600000000000001" customHeight="1">
      <c r="A69" s="26" t="s">
        <v>588</v>
      </c>
      <c r="B69" s="27" t="s">
        <v>103</v>
      </c>
      <c r="C69" s="119" t="s">
        <v>11</v>
      </c>
      <c r="D69" s="138">
        <f t="shared" ca="1" si="4"/>
        <v>69</v>
      </c>
      <c r="E69" s="31">
        <f ca="1">VLOOKUP(A69,Rankings!$B$1:$H$651,6,FALSE)+(RAND()*0.00001)</f>
        <v>187.98945190929282</v>
      </c>
      <c r="F69" s="31">
        <f ca="1">E69-VLOOKUP(Settings!$K$3+Settings!$K$7,D$2:E$500,2,FALSE)</f>
        <v>-94.989168633049076</v>
      </c>
      <c r="G69" s="138">
        <f t="shared" ca="1" si="5"/>
        <v>63</v>
      </c>
      <c r="H69" s="31">
        <f ca="1">VLOOKUP(A69,Rankings!$B$1:$H$651,7,FALSE)+(RAND()*0.00001)</f>
        <v>-1.4809062211441704</v>
      </c>
      <c r="I69" s="31">
        <f ca="1">H69-VLOOKUP(Settings!$K$3+Settings!$K$7,G$2:H$94,2,FALSE)</f>
        <v>-1.486953313185132</v>
      </c>
      <c r="J69" s="31" t="str">
        <f>VLOOKUP(A69,Rankings!B:D,3,FALSE)</f>
        <v>AL</v>
      </c>
    </row>
    <row r="70" spans="1:10" ht="18.600000000000001" customHeight="1">
      <c r="A70" s="26" t="s">
        <v>664</v>
      </c>
      <c r="B70" s="27" t="s">
        <v>84</v>
      </c>
      <c r="C70" s="119" t="s">
        <v>11</v>
      </c>
      <c r="D70" s="138">
        <f t="shared" ca="1" si="4"/>
        <v>67</v>
      </c>
      <c r="E70" s="31">
        <f ca="1">VLOOKUP(A70,Rankings!$B$1:$H$651,6,FALSE)+(RAND()*0.00001)</f>
        <v>199.3816697013653</v>
      </c>
      <c r="F70" s="31">
        <f ca="1">E70-VLOOKUP(Settings!$K$3+Settings!$K$7,D$2:E$500,2,FALSE)</f>
        <v>-83.596950840976604</v>
      </c>
      <c r="G70" s="138">
        <f t="shared" ca="1" si="5"/>
        <v>68</v>
      </c>
      <c r="H70" s="31">
        <f ca="1">VLOOKUP(A70,Rankings!$B$1:$H$651,7,FALSE)+(RAND()*0.00001)</f>
        <v>-2.2112373812291155</v>
      </c>
      <c r="I70" s="31">
        <f ca="1">H70-VLOOKUP(Settings!$K$3+Settings!$K$7,G$2:H$94,2,FALSE)</f>
        <v>-2.2172844732700772</v>
      </c>
      <c r="J70" s="31" t="str">
        <f>VLOOKUP(A70,Rankings!B:D,3,FALSE)</f>
        <v>AL</v>
      </c>
    </row>
    <row r="71" spans="1:10" ht="18.600000000000001" customHeight="1">
      <c r="A71" s="26" t="s">
        <v>425</v>
      </c>
      <c r="B71" s="27" t="s">
        <v>223</v>
      </c>
      <c r="C71" s="124" t="s">
        <v>27</v>
      </c>
      <c r="D71" s="138">
        <f t="shared" ca="1" si="4"/>
        <v>77</v>
      </c>
      <c r="E71" s="31">
        <f ca="1">VLOOKUP(A71,Rankings!$B$1:$H$651,6,FALSE)+(RAND()*0.00001)</f>
        <v>151.79000551507602</v>
      </c>
      <c r="F71" s="31">
        <f ca="1">E71-VLOOKUP(Settings!$K$3+Settings!$K$7,D$2:E$500,2,FALSE)</f>
        <v>-131.18861502726588</v>
      </c>
      <c r="G71" s="138">
        <f t="shared" ca="1" si="5"/>
        <v>72</v>
      </c>
      <c r="H71" s="31">
        <f ca="1">VLOOKUP(A71,Rankings!$B$1:$H$651,7,FALSE)+(RAND()*0.00001)</f>
        <v>-2.3425752317614421</v>
      </c>
      <c r="I71" s="31">
        <f ca="1">H71-VLOOKUP(Settings!$K$3+Settings!$K$7,G$2:H$94,2,FALSE)</f>
        <v>-2.3486223238024038</v>
      </c>
      <c r="J71" s="31" t="str">
        <f>VLOOKUP(A71,Rankings!B:D,3,FALSE)</f>
        <v>NL</v>
      </c>
    </row>
    <row r="72" spans="1:10" ht="18.600000000000001" customHeight="1">
      <c r="A72" s="26" t="s">
        <v>651</v>
      </c>
      <c r="B72" s="27" t="s">
        <v>68</v>
      </c>
      <c r="C72" s="124" t="s">
        <v>27</v>
      </c>
      <c r="D72" s="138">
        <f t="shared" ca="1" si="4"/>
        <v>52</v>
      </c>
      <c r="E72" s="31">
        <f ca="1">VLOOKUP(A72,Rankings!$B$1:$H$651,6,FALSE)+(RAND()*0.00001)</f>
        <v>258.86750771745392</v>
      </c>
      <c r="F72" s="31">
        <f ca="1">E72-VLOOKUP(Settings!$K$3+Settings!$K$7,D$2:E$500,2,FALSE)</f>
        <v>-24.111112824887982</v>
      </c>
      <c r="G72" s="138">
        <f t="shared" ca="1" si="5"/>
        <v>44</v>
      </c>
      <c r="H72" s="31">
        <f ca="1">VLOOKUP(A72,Rankings!$B$1:$H$651,7,FALSE)+(RAND()*0.00001)</f>
        <v>0.65305183627457353</v>
      </c>
      <c r="I72" s="31">
        <f ca="1">H72-VLOOKUP(Settings!$K$3+Settings!$K$7,G$2:H$94,2,FALSE)</f>
        <v>0.64700474423361176</v>
      </c>
      <c r="J72" s="31" t="str">
        <f>VLOOKUP(A72,Rankings!B:D,3,FALSE)</f>
        <v>AL</v>
      </c>
    </row>
    <row r="73" spans="1:10" ht="18.600000000000001" customHeight="1">
      <c r="A73" s="26" t="s">
        <v>635</v>
      </c>
      <c r="B73" s="27" t="s">
        <v>101</v>
      </c>
      <c r="C73" s="119" t="s">
        <v>11</v>
      </c>
      <c r="D73" s="138">
        <f t="shared" ca="1" si="4"/>
        <v>75</v>
      </c>
      <c r="E73" s="31">
        <f ca="1">VLOOKUP(A73,Rankings!$B$1:$H$651,6,FALSE)+(RAND()*0.00001)</f>
        <v>163.98167631328317</v>
      </c>
      <c r="F73" s="31">
        <f ca="1">E73-VLOOKUP(Settings!$K$3+Settings!$K$7,D$2:E$500,2,FALSE)</f>
        <v>-118.99694422905873</v>
      </c>
      <c r="G73" s="138">
        <f t="shared" ca="1" si="5"/>
        <v>77</v>
      </c>
      <c r="H73" s="31">
        <f ca="1">VLOOKUP(A73,Rankings!$B$1:$H$651,7,FALSE)+(RAND()*0.00001)</f>
        <v>-3.0993094717245691</v>
      </c>
      <c r="I73" s="31">
        <f ca="1">H73-VLOOKUP(Settings!$K$3+Settings!$K$7,G$2:H$94,2,FALSE)</f>
        <v>-3.1053565637655307</v>
      </c>
      <c r="J73" s="31" t="str">
        <f>VLOOKUP(A73,Rankings!B:D,3,FALSE)</f>
        <v>AL</v>
      </c>
    </row>
    <row r="74" spans="1:10" ht="18.600000000000001" customHeight="1">
      <c r="A74" s="26" t="s">
        <v>702</v>
      </c>
      <c r="B74" s="27" t="s">
        <v>78</v>
      </c>
      <c r="C74" s="124" t="s">
        <v>27</v>
      </c>
      <c r="D74" s="138">
        <f t="shared" ca="1" si="4"/>
        <v>53</v>
      </c>
      <c r="E74" s="31">
        <f ca="1">VLOOKUP(A74,Rankings!$B$1:$H$651,6,FALSE)+(RAND()*0.00001)</f>
        <v>255.1966717450635</v>
      </c>
      <c r="F74" s="31">
        <f ca="1">E74-VLOOKUP(Settings!$K$3+Settings!$K$7,D$2:E$500,2,FALSE)</f>
        <v>-27.781948797278403</v>
      </c>
      <c r="G74" s="138">
        <f t="shared" ca="1" si="5"/>
        <v>56</v>
      </c>
      <c r="H74" s="31">
        <f ca="1">VLOOKUP(A74,Rankings!$B$1:$H$651,7,FALSE)+(RAND()*0.00001)</f>
        <v>-0.62864118746153119</v>
      </c>
      <c r="I74" s="31">
        <f ca="1">H74-VLOOKUP(Settings!$K$3+Settings!$K$7,G$2:H$94,2,FALSE)</f>
        <v>-0.63468827950249296</v>
      </c>
      <c r="J74" s="31" t="str">
        <f>VLOOKUP(A74,Rankings!B:D,3,FALSE)</f>
        <v>AL</v>
      </c>
    </row>
    <row r="75" spans="1:10" ht="18.600000000000001" customHeight="1">
      <c r="A75" s="26" t="s">
        <v>577</v>
      </c>
      <c r="B75" s="27" t="s">
        <v>68</v>
      </c>
      <c r="C75" s="124" t="s">
        <v>27</v>
      </c>
      <c r="D75" s="138">
        <f t="shared" ca="1" si="4"/>
        <v>76</v>
      </c>
      <c r="E75" s="31">
        <f ca="1">VLOOKUP(A75,Rankings!$B$1:$H$651,6,FALSE)+(RAND()*0.00001)</f>
        <v>161.92333731739456</v>
      </c>
      <c r="F75" s="31">
        <f ca="1">E75-VLOOKUP(Settings!$K$3+Settings!$K$7,D$2:E$500,2,FALSE)</f>
        <v>-121.05528322494735</v>
      </c>
      <c r="G75" s="138">
        <f t="shared" ca="1" si="5"/>
        <v>69</v>
      </c>
      <c r="H75" s="31">
        <f ca="1">VLOOKUP(A75,Rankings!$B$1:$H$651,7,FALSE)+(RAND()*0.00001)</f>
        <v>-2.2179986294939118</v>
      </c>
      <c r="I75" s="31">
        <f ca="1">H75-VLOOKUP(Settings!$K$3+Settings!$K$7,G$2:H$94,2,FALSE)</f>
        <v>-2.2240457215348735</v>
      </c>
      <c r="J75" s="31" t="str">
        <f>VLOOKUP(A75,Rankings!B:D,3,FALSE)</f>
        <v>AL</v>
      </c>
    </row>
    <row r="76" spans="1:10" ht="18.600000000000001" customHeight="1">
      <c r="A76" s="26" t="s">
        <v>691</v>
      </c>
      <c r="B76" s="27" t="s">
        <v>73</v>
      </c>
      <c r="C76" s="119" t="s">
        <v>11</v>
      </c>
      <c r="D76" s="138">
        <f t="shared" ca="1" si="4"/>
        <v>73</v>
      </c>
      <c r="E76" s="31">
        <f ca="1">VLOOKUP(A76,Rankings!$B$1:$H$651,6,FALSE)+(RAND()*0.00001)</f>
        <v>165.5888953333579</v>
      </c>
      <c r="F76" s="31">
        <f ca="1">E76-VLOOKUP(Settings!$K$3+Settings!$K$7,D$2:E$500,2,FALSE)</f>
        <v>-117.389725208984</v>
      </c>
      <c r="G76" s="138">
        <f t="shared" ca="1" si="5"/>
        <v>76</v>
      </c>
      <c r="H76" s="31">
        <f ca="1">VLOOKUP(A76,Rankings!$B$1:$H$651,7,FALSE)+(RAND()*0.00001)</f>
        <v>-3.0128997601171368</v>
      </c>
      <c r="I76" s="31">
        <f ca="1">H76-VLOOKUP(Settings!$K$3+Settings!$K$7,G$2:H$94,2,FALSE)</f>
        <v>-3.0189468521580984</v>
      </c>
      <c r="J76" s="31" t="str">
        <f>VLOOKUP(A76,Rankings!B:D,3,FALSE)</f>
        <v>NL</v>
      </c>
    </row>
    <row r="77" spans="1:10" ht="18.600000000000001" customHeight="1">
      <c r="A77" s="26" t="s">
        <v>558</v>
      </c>
      <c r="B77" s="27" t="s">
        <v>103</v>
      </c>
      <c r="C77" s="119" t="s">
        <v>11</v>
      </c>
      <c r="D77" s="138">
        <f t="shared" ca="1" si="4"/>
        <v>74</v>
      </c>
      <c r="E77" s="31">
        <f ca="1">VLOOKUP(A77,Rankings!$B$1:$H$651,6,FALSE)+(RAND()*0.00001)</f>
        <v>164.23555944697586</v>
      </c>
      <c r="F77" s="31">
        <f ca="1">E77-VLOOKUP(Settings!$K$3+Settings!$K$7,D$2:E$500,2,FALSE)</f>
        <v>-118.74306109536604</v>
      </c>
      <c r="G77" s="138">
        <f t="shared" ca="1" si="5"/>
        <v>71</v>
      </c>
      <c r="H77" s="31">
        <f ca="1">VLOOKUP(A77,Rankings!$B$1:$H$651,7,FALSE)+(RAND()*0.00001)</f>
        <v>-2.2432562820075175</v>
      </c>
      <c r="I77" s="31">
        <f ca="1">H77-VLOOKUP(Settings!$K$3+Settings!$K$7,G$2:H$94,2,FALSE)</f>
        <v>-2.2493033740484791</v>
      </c>
      <c r="J77" s="31" t="str">
        <f>VLOOKUP(A77,Rankings!B:D,3,FALSE)</f>
        <v>AL</v>
      </c>
    </row>
    <row r="78" spans="1:10" ht="18.600000000000001" customHeight="1">
      <c r="A78" s="26" t="s">
        <v>689</v>
      </c>
      <c r="B78" s="27" t="s">
        <v>68</v>
      </c>
      <c r="C78" s="124" t="s">
        <v>27</v>
      </c>
      <c r="D78" s="138">
        <f t="shared" ca="1" si="4"/>
        <v>59</v>
      </c>
      <c r="E78" s="31">
        <f ca="1">VLOOKUP(A78,Rankings!$B$1:$H$651,6,FALSE)+(RAND()*0.00001)</f>
        <v>227.82917176229708</v>
      </c>
      <c r="F78" s="31">
        <f ca="1">E78-VLOOKUP(Settings!$K$3+Settings!$K$7,D$2:E$500,2,FALSE)</f>
        <v>-55.149448780044821</v>
      </c>
      <c r="G78" s="138">
        <f t="shared" ca="1" si="5"/>
        <v>61</v>
      </c>
      <c r="H78" s="31">
        <f ca="1">VLOOKUP(A78,Rankings!$B$1:$H$651,7,FALSE)+(RAND()*0.00001)</f>
        <v>-1.2355477285304652</v>
      </c>
      <c r="I78" s="31">
        <f ca="1">H78-VLOOKUP(Settings!$K$3+Settings!$K$7,G$2:H$94,2,FALSE)</f>
        <v>-1.2415948205714269</v>
      </c>
      <c r="J78" s="31" t="str">
        <f>VLOOKUP(A78,Rankings!B:D,3,FALSE)</f>
        <v>AL</v>
      </c>
    </row>
    <row r="79" spans="1:10" ht="18.600000000000001" customHeight="1">
      <c r="A79" s="26" t="s">
        <v>676</v>
      </c>
      <c r="B79" s="27" t="s">
        <v>156</v>
      </c>
      <c r="C79" s="124" t="s">
        <v>27</v>
      </c>
      <c r="D79" s="138">
        <f t="shared" ca="1" si="4"/>
        <v>79</v>
      </c>
      <c r="E79" s="31">
        <f ca="1">VLOOKUP(A79,Rankings!$B$1:$H$651,6,FALSE)+(RAND()*0.00001)</f>
        <v>147.20833645986025</v>
      </c>
      <c r="F79" s="31">
        <f ca="1">E79-VLOOKUP(Settings!$K$3+Settings!$K$7,D$2:E$500,2,FALSE)</f>
        <v>-135.77028408248165</v>
      </c>
      <c r="G79" s="138">
        <f t="shared" ca="1" si="5"/>
        <v>73</v>
      </c>
      <c r="H79" s="31">
        <f ca="1">VLOOKUP(A79,Rankings!$B$1:$H$651,7,FALSE)+(RAND()*0.00001)</f>
        <v>-2.5784532664323696</v>
      </c>
      <c r="I79" s="31">
        <f ca="1">H79-VLOOKUP(Settings!$K$3+Settings!$K$7,G$2:H$94,2,FALSE)</f>
        <v>-2.5845003584733313</v>
      </c>
      <c r="J79" s="31" t="str">
        <f>VLOOKUP(A79,Rankings!B:D,3,FALSE)</f>
        <v>AL</v>
      </c>
    </row>
    <row r="80" spans="1:10" ht="18.600000000000001" customHeight="1">
      <c r="A80" s="26" t="s">
        <v>667</v>
      </c>
      <c r="B80" s="27" t="s">
        <v>156</v>
      </c>
      <c r="C80" s="124" t="s">
        <v>27</v>
      </c>
      <c r="D80" s="138">
        <f t="shared" ca="1" si="4"/>
        <v>78</v>
      </c>
      <c r="E80" s="31">
        <f ca="1">VLOOKUP(A80,Rankings!$B$1:$H$651,6,FALSE)+(RAND()*0.00001)</f>
        <v>150.90611668482154</v>
      </c>
      <c r="F80" s="31">
        <f ca="1">E80-VLOOKUP(Settings!$K$3+Settings!$K$7,D$2:E$500,2,FALSE)</f>
        <v>-132.07250385752036</v>
      </c>
      <c r="G80" s="138">
        <f t="shared" ca="1" si="5"/>
        <v>79</v>
      </c>
      <c r="H80" s="31">
        <f ca="1">VLOOKUP(A80,Rankings!$B$1:$H$651,7,FALSE)+(RAND()*0.00001)</f>
        <v>-3.3992228942812321</v>
      </c>
      <c r="I80" s="31">
        <f ca="1">H80-VLOOKUP(Settings!$K$3+Settings!$K$7,G$2:H$94,2,FALSE)</f>
        <v>-3.4052699863221938</v>
      </c>
      <c r="J80" s="31" t="str">
        <f>VLOOKUP(A80,Rankings!B:D,3,FALSE)</f>
        <v>AL</v>
      </c>
    </row>
    <row r="81" spans="1:10" ht="18.600000000000001" customHeight="1">
      <c r="A81" s="26" t="s">
        <v>731</v>
      </c>
      <c r="B81" s="27" t="s">
        <v>101</v>
      </c>
      <c r="C81" s="124" t="s">
        <v>27</v>
      </c>
      <c r="D81" s="138">
        <f t="shared" ca="1" si="4"/>
        <v>80</v>
      </c>
      <c r="E81" s="31">
        <f ca="1">VLOOKUP(A81,Rankings!$B$1:$H$651,6,FALSE)+(RAND()*0.00001)</f>
        <v>135.26112055541412</v>
      </c>
      <c r="F81" s="31">
        <f ca="1">E81-VLOOKUP(Settings!$K$3+Settings!$K$7,D$2:E$500,2,FALSE)</f>
        <v>-147.71749998692778</v>
      </c>
      <c r="G81" s="138">
        <f t="shared" ca="1" si="5"/>
        <v>84</v>
      </c>
      <c r="H81" s="31">
        <f ca="1">VLOOKUP(A81,Rankings!$B$1:$H$651,7,FALSE)+(RAND()*0.00001)</f>
        <v>-5.4557916886872357</v>
      </c>
      <c r="I81" s="31">
        <f ca="1">H81-VLOOKUP(Settings!$K$3+Settings!$K$7,G$2:H$94,2,FALSE)</f>
        <v>-5.4618387807281978</v>
      </c>
      <c r="J81" s="31" t="str">
        <f>VLOOKUP(A81,Rankings!B:D,3,FALSE)</f>
        <v>AL</v>
      </c>
    </row>
    <row r="82" spans="1:10" ht="18.600000000000001" customHeight="1">
      <c r="A82" s="26" t="s">
        <v>712</v>
      </c>
      <c r="B82" s="27" t="s">
        <v>258</v>
      </c>
      <c r="C82" s="119" t="s">
        <v>11</v>
      </c>
      <c r="D82" s="138">
        <f t="shared" ca="1" si="4"/>
        <v>83</v>
      </c>
      <c r="E82" s="31">
        <f ca="1">VLOOKUP(A82,Rankings!$B$1:$H$651,6,FALSE)+(RAND()*0.00001)</f>
        <v>110.523334374117</v>
      </c>
      <c r="F82" s="31">
        <f ca="1">E82-VLOOKUP(Settings!$K$3+Settings!$K$7,D$2:E$500,2,FALSE)</f>
        <v>-172.45528616822492</v>
      </c>
      <c r="G82" s="138">
        <f t="shared" ca="1" si="5"/>
        <v>82</v>
      </c>
      <c r="H82" s="31">
        <f ca="1">VLOOKUP(A82,Rankings!$B$1:$H$651,7,FALSE)+(RAND()*0.00001)</f>
        <v>-4.7870706476425404</v>
      </c>
      <c r="I82" s="31">
        <f ca="1">H82-VLOOKUP(Settings!$K$3+Settings!$K$7,G$2:H$94,2,FALSE)</f>
        <v>-4.7931177396835025</v>
      </c>
      <c r="J82" s="31" t="str">
        <f>VLOOKUP(A82,Rankings!B:D,3,FALSE)</f>
        <v>AL</v>
      </c>
    </row>
    <row r="83" spans="1:10" ht="18.600000000000001" customHeight="1">
      <c r="A83" s="26" t="s">
        <v>730</v>
      </c>
      <c r="B83" s="27" t="s">
        <v>123</v>
      </c>
      <c r="C83" s="124" t="s">
        <v>27</v>
      </c>
      <c r="D83" s="138">
        <f t="shared" ca="1" si="4"/>
        <v>84</v>
      </c>
      <c r="E83" s="31">
        <f ca="1">VLOOKUP(A83,Rankings!$B$1:$H$651,6,FALSE)+(RAND()*0.00001)</f>
        <v>109.85889724795827</v>
      </c>
      <c r="F83" s="31">
        <f ca="1">E83-VLOOKUP(Settings!$K$3+Settings!$K$7,D$2:E$500,2,FALSE)</f>
        <v>-173.11972329438362</v>
      </c>
      <c r="G83" s="138">
        <f t="shared" ca="1" si="5"/>
        <v>90</v>
      </c>
      <c r="H83" s="31">
        <f ca="1">VLOOKUP(A83,Rankings!$B$1:$H$651,7,FALSE)+(RAND()*0.00001)</f>
        <v>-5.9074811629947295</v>
      </c>
      <c r="I83" s="31">
        <f ca="1">H83-VLOOKUP(Settings!$K$3+Settings!$K$7,G$2:H$94,2,FALSE)</f>
        <v>-5.9135282550356916</v>
      </c>
      <c r="J83" s="31" t="str">
        <f>VLOOKUP(A83,Rankings!B:D,3,FALSE)</f>
        <v>NL</v>
      </c>
    </row>
    <row r="84" spans="1:10" ht="18.600000000000001" customHeight="1">
      <c r="A84" s="26" t="s">
        <v>732</v>
      </c>
      <c r="B84" s="27" t="s">
        <v>120</v>
      </c>
      <c r="C84" s="124" t="s">
        <v>27</v>
      </c>
      <c r="D84" s="138">
        <f t="shared" ca="1" si="4"/>
        <v>82</v>
      </c>
      <c r="E84" s="31">
        <f ca="1">VLOOKUP(A84,Rankings!$B$1:$H$651,6,FALSE)+(RAND()*0.00001)</f>
        <v>111.70667321987945</v>
      </c>
      <c r="F84" s="31">
        <f ca="1">E84-VLOOKUP(Settings!$K$3+Settings!$K$7,D$2:E$500,2,FALSE)</f>
        <v>-171.27194732246244</v>
      </c>
      <c r="G84" s="138">
        <f t="shared" ca="1" si="5"/>
        <v>85</v>
      </c>
      <c r="H84" s="31">
        <f ca="1">VLOOKUP(A84,Rankings!$B$1:$H$651,7,FALSE)+(RAND()*0.00001)</f>
        <v>-5.5686421182549326</v>
      </c>
      <c r="I84" s="31">
        <f ca="1">H84-VLOOKUP(Settings!$K$3+Settings!$K$7,G$2:H$94,2,FALSE)</f>
        <v>-5.5746892102958947</v>
      </c>
      <c r="J84" s="31" t="str">
        <f>VLOOKUP(A84,Rankings!B:D,3,FALSE)</f>
        <v>NL</v>
      </c>
    </row>
    <row r="85" spans="1:10" ht="18.600000000000001" customHeight="1">
      <c r="A85" s="26" t="s">
        <v>711</v>
      </c>
      <c r="B85" s="27" t="s">
        <v>91</v>
      </c>
      <c r="C85" s="119" t="s">
        <v>11</v>
      </c>
      <c r="D85" s="138">
        <f t="shared" ca="1" si="4"/>
        <v>85</v>
      </c>
      <c r="E85" s="31">
        <f ca="1">VLOOKUP(A85,Rankings!$B$1:$H$651,6,FALSE)+(RAND()*0.00001)</f>
        <v>106.87222708687092</v>
      </c>
      <c r="F85" s="31">
        <f ca="1">E85-VLOOKUP(Settings!$K$3+Settings!$K$7,D$2:E$500,2,FALSE)</f>
        <v>-176.10639345547099</v>
      </c>
      <c r="G85" s="138">
        <f t="shared" ca="1" si="5"/>
        <v>81</v>
      </c>
      <c r="H85" s="31">
        <f ca="1">VLOOKUP(A85,Rankings!$B$1:$H$651,7,FALSE)+(RAND()*0.00001)</f>
        <v>-4.4086513698433363</v>
      </c>
      <c r="I85" s="31">
        <f ca="1">H85-VLOOKUP(Settings!$K$3+Settings!$K$7,G$2:H$94,2,FALSE)</f>
        <v>-4.4146984618842984</v>
      </c>
      <c r="J85" s="31" t="str">
        <f>VLOOKUP(A85,Rankings!B:D,3,FALSE)</f>
        <v>NL</v>
      </c>
    </row>
    <row r="86" spans="1:10" ht="18.600000000000001" customHeight="1">
      <c r="A86" s="26" t="s">
        <v>733</v>
      </c>
      <c r="B86" s="27" t="s">
        <v>258</v>
      </c>
      <c r="C86" s="124" t="s">
        <v>27</v>
      </c>
      <c r="D86" s="138">
        <f t="shared" ca="1" si="4"/>
        <v>86</v>
      </c>
      <c r="E86" s="31">
        <f ca="1">VLOOKUP(A86,Rankings!$B$1:$H$651,6,FALSE)+(RAND()*0.00001)</f>
        <v>91.322782108575623</v>
      </c>
      <c r="F86" s="31">
        <f ca="1">E86-VLOOKUP(Settings!$K$3+Settings!$K$7,D$2:E$500,2,FALSE)</f>
        <v>-191.65583843376629</v>
      </c>
      <c r="G86" s="138">
        <f t="shared" ca="1" si="5"/>
        <v>91</v>
      </c>
      <c r="H86" s="31">
        <f ca="1">VLOOKUP(A86,Rankings!$B$1:$H$651,7,FALSE)+(RAND()*0.00001)</f>
        <v>-6.0931789739594846</v>
      </c>
      <c r="I86" s="31">
        <f ca="1">H86-VLOOKUP(Settings!$K$3+Settings!$K$7,G$2:H$94,2,FALSE)</f>
        <v>-6.0992260660004467</v>
      </c>
      <c r="J86" s="31" t="str">
        <f>VLOOKUP(A86,Rankings!B:D,3,FALSE)</f>
        <v>AL</v>
      </c>
    </row>
    <row r="87" spans="1:10" ht="18.600000000000001" customHeight="1">
      <c r="A87" s="26" t="s">
        <v>729</v>
      </c>
      <c r="B87" s="27" t="s">
        <v>176</v>
      </c>
      <c r="C87" s="124" t="s">
        <v>27</v>
      </c>
      <c r="D87" s="138">
        <f t="shared" ca="1" si="4"/>
        <v>81</v>
      </c>
      <c r="E87" s="31">
        <f ca="1">VLOOKUP(A87,Rankings!$B$1:$H$651,6,FALSE)+(RAND()*0.00001)</f>
        <v>118.93583639216477</v>
      </c>
      <c r="F87" s="31">
        <f ca="1">E87-VLOOKUP(Settings!$K$3+Settings!$K$7,D$2:E$500,2,FALSE)</f>
        <v>-164.04278415017711</v>
      </c>
      <c r="G87" s="138">
        <f t="shared" ca="1" si="5"/>
        <v>80</v>
      </c>
      <c r="H87" s="31">
        <f ca="1">VLOOKUP(A87,Rankings!$B$1:$H$651,7,FALSE)+(RAND()*0.00001)</f>
        <v>-3.9590345929582309</v>
      </c>
      <c r="I87" s="31">
        <f ca="1">H87-VLOOKUP(Settings!$K$3+Settings!$K$7,G$2:H$94,2,FALSE)</f>
        <v>-3.9650816849991926</v>
      </c>
      <c r="J87" s="31" t="str">
        <f>VLOOKUP(A87,Rankings!B:D,3,FALSE)</f>
        <v>NL</v>
      </c>
    </row>
    <row r="88" spans="1:10" ht="18.600000000000001" customHeight="1">
      <c r="A88" s="26" t="s">
        <v>709</v>
      </c>
      <c r="B88" s="27" t="s">
        <v>114</v>
      </c>
      <c r="C88" s="119" t="s">
        <v>11</v>
      </c>
      <c r="D88" s="138">
        <f t="shared" ca="1" si="4"/>
        <v>89</v>
      </c>
      <c r="E88" s="31">
        <f ca="1">VLOOKUP(A88,Rankings!$B$1:$H$651,6,FALSE)+(RAND()*0.00001)</f>
        <v>80.730560397182956</v>
      </c>
      <c r="F88" s="31">
        <f ca="1">E88-VLOOKUP(Settings!$K$3+Settings!$K$7,D$2:E$500,2,FALSE)</f>
        <v>-202.24806014515895</v>
      </c>
      <c r="G88" s="138">
        <f t="shared" ca="1" si="5"/>
        <v>88</v>
      </c>
      <c r="H88" s="31">
        <f ca="1">VLOOKUP(A88,Rankings!$B$1:$H$651,7,FALSE)+(RAND()*0.00001)</f>
        <v>-5.8277687181162863</v>
      </c>
      <c r="I88" s="31">
        <f ca="1">H88-VLOOKUP(Settings!$K$3+Settings!$K$7,G$2:H$94,2,FALSE)</f>
        <v>-5.8338158101572484</v>
      </c>
      <c r="J88" s="31" t="str">
        <f>VLOOKUP(A88,Rankings!B:D,3,FALSE)</f>
        <v>AL</v>
      </c>
    </row>
    <row r="89" spans="1:10" ht="18.600000000000001" customHeight="1">
      <c r="A89" s="26" t="s">
        <v>728</v>
      </c>
      <c r="B89" s="27" t="s">
        <v>97</v>
      </c>
      <c r="C89" s="119" t="s">
        <v>11</v>
      </c>
      <c r="D89" s="138">
        <f t="shared" ca="1" si="4"/>
        <v>88</v>
      </c>
      <c r="E89" s="31">
        <f ca="1">VLOOKUP(A89,Rankings!$B$1:$H$651,6,FALSE)+(RAND()*0.00001)</f>
        <v>81.992225406627</v>
      </c>
      <c r="F89" s="31">
        <f ca="1">E89-VLOOKUP(Settings!$K$3+Settings!$K$7,D$2:E$500,2,FALSE)</f>
        <v>-200.9863951357149</v>
      </c>
      <c r="G89" s="138">
        <f t="shared" ca="1" si="5"/>
        <v>89</v>
      </c>
      <c r="H89" s="31">
        <f ca="1">VLOOKUP(A89,Rankings!$B$1:$H$651,7,FALSE)+(RAND()*0.00001)</f>
        <v>-5.8288624187027143</v>
      </c>
      <c r="I89" s="31">
        <f ca="1">H89-VLOOKUP(Settings!$K$3+Settings!$K$7,G$2:H$94,2,FALSE)</f>
        <v>-5.8349095107436764</v>
      </c>
      <c r="J89" s="31" t="str">
        <f>VLOOKUP(A89,Rankings!B:D,3,FALSE)</f>
        <v>NL</v>
      </c>
    </row>
    <row r="90" spans="1:10" ht="18.600000000000001" customHeight="1">
      <c r="A90" s="26" t="s">
        <v>721</v>
      </c>
      <c r="B90" s="27" t="s">
        <v>114</v>
      </c>
      <c r="C90" s="119" t="s">
        <v>11</v>
      </c>
      <c r="D90" s="138">
        <f t="shared" ca="1" si="4"/>
        <v>87</v>
      </c>
      <c r="E90" s="31">
        <f ca="1">VLOOKUP(A90,Rankings!$B$1:$H$651,6,FALSE)+(RAND()*0.00001)</f>
        <v>87.008896237758776</v>
      </c>
      <c r="F90" s="31">
        <f ca="1">E90-VLOOKUP(Settings!$K$3+Settings!$K$7,D$2:E$500,2,FALSE)</f>
        <v>-195.96972430458311</v>
      </c>
      <c r="G90" s="138">
        <f t="shared" ca="1" si="5"/>
        <v>83</v>
      </c>
      <c r="H90" s="31">
        <f ca="1">VLOOKUP(A90,Rankings!$B$1:$H$651,7,FALSE)+(RAND()*0.00001)</f>
        <v>-5.2093027595036707</v>
      </c>
      <c r="I90" s="31">
        <f ca="1">H90-VLOOKUP(Settings!$K$3+Settings!$K$7,G$2:H$94,2,FALSE)</f>
        <v>-5.2153498515446328</v>
      </c>
      <c r="J90" s="31" t="str">
        <f>VLOOKUP(A90,Rankings!B:D,3,FALSE)</f>
        <v>AL</v>
      </c>
    </row>
    <row r="91" spans="1:10" ht="18.600000000000001" customHeight="1">
      <c r="A91" s="26" t="s">
        <v>734</v>
      </c>
      <c r="B91" s="27" t="s">
        <v>223</v>
      </c>
      <c r="C91" s="124" t="s">
        <v>27</v>
      </c>
      <c r="D91" s="138">
        <f t="shared" ca="1" si="4"/>
        <v>90</v>
      </c>
      <c r="E91" s="31">
        <f ca="1">VLOOKUP(A91,Rankings!$B$1:$H$651,6,FALSE)+(RAND()*0.00001)</f>
        <v>77.52722703396654</v>
      </c>
      <c r="F91" s="31">
        <f ca="1">E91-VLOOKUP(Settings!$K$3+Settings!$K$7,D$2:E$500,2,FALSE)</f>
        <v>-205.45139350837536</v>
      </c>
      <c r="G91" s="138">
        <f t="shared" ca="1" si="5"/>
        <v>92</v>
      </c>
      <c r="H91" s="31">
        <f ca="1">VLOOKUP(A91,Rankings!$B$1:$H$651,7,FALSE)+(RAND()*0.00001)</f>
        <v>-6.4706538379633063</v>
      </c>
      <c r="I91" s="31">
        <f ca="1">H91-VLOOKUP(Settings!$K$3+Settings!$K$7,G$2:H$94,2,FALSE)</f>
        <v>-6.4767009300042684</v>
      </c>
      <c r="J91" s="31" t="str">
        <f>VLOOKUP(A91,Rankings!B:D,3,FALSE)</f>
        <v>NL</v>
      </c>
    </row>
    <row r="92" spans="1:10" ht="18.600000000000001" customHeight="1">
      <c r="A92" s="26" t="s">
        <v>726</v>
      </c>
      <c r="B92" s="27" t="s">
        <v>114</v>
      </c>
      <c r="C92" s="119" t="s">
        <v>11</v>
      </c>
      <c r="D92" s="138">
        <f t="shared" ca="1" si="4"/>
        <v>91</v>
      </c>
      <c r="E92" s="31">
        <f ca="1">VLOOKUP(A92,Rankings!$B$1:$H$651,6,FALSE)+(RAND()*0.00001)</f>
        <v>64.171120703855536</v>
      </c>
      <c r="F92" s="31">
        <f ca="1">E92-VLOOKUP(Settings!$K$3+Settings!$K$7,D$2:E$500,2,FALSE)</f>
        <v>-218.80749983848636</v>
      </c>
      <c r="G92" s="138">
        <f t="shared" ca="1" si="5"/>
        <v>86</v>
      </c>
      <c r="H92" s="31">
        <f ca="1">VLOOKUP(A92,Rankings!$B$1:$H$651,7,FALSE)+(RAND()*0.00001)</f>
        <v>-5.6883263024662094</v>
      </c>
      <c r="I92" s="31">
        <f ca="1">H92-VLOOKUP(Settings!$K$3+Settings!$K$7,G$2:H$94,2,FALSE)</f>
        <v>-5.6943733945071715</v>
      </c>
      <c r="J92" s="31" t="str">
        <f>VLOOKUP(A92,Rankings!B:D,3,FALSE)</f>
        <v>AL</v>
      </c>
    </row>
    <row r="93" spans="1:10" ht="18.600000000000001" customHeight="1">
      <c r="A93" s="26" t="s">
        <v>716</v>
      </c>
      <c r="B93" s="27" t="s">
        <v>114</v>
      </c>
      <c r="C93" s="119" t="s">
        <v>11</v>
      </c>
      <c r="D93" s="138">
        <f t="shared" ca="1" si="4"/>
        <v>92</v>
      </c>
      <c r="E93" s="31">
        <f ca="1">VLOOKUP(A93,Rankings!$B$1:$H$651,6,FALSE)+(RAND()*0.00001)</f>
        <v>51.627229238612749</v>
      </c>
      <c r="F93" s="31">
        <f ca="1">E93-VLOOKUP(Settings!$K$3+Settings!$K$7,D$2:E$500,2,FALSE)</f>
        <v>-231.35139130372914</v>
      </c>
      <c r="G93" s="138">
        <f t="shared" ca="1" si="5"/>
        <v>87</v>
      </c>
      <c r="H93" s="31">
        <f ca="1">VLOOKUP(A93,Rankings!$B$1:$H$651,7,FALSE)+(RAND()*0.00001)</f>
        <v>-5.7107605199821609</v>
      </c>
      <c r="I93" s="31">
        <f ca="1">H93-VLOOKUP(Settings!$K$3+Settings!$K$7,G$2:H$94,2,FALSE)</f>
        <v>-5.716807612023123</v>
      </c>
      <c r="J93" s="31" t="str">
        <f>VLOOKUP(A93,Rankings!B:D,3,FALSE)</f>
        <v>AL</v>
      </c>
    </row>
    <row r="94" spans="1:10" ht="18.600000000000001" customHeight="1">
      <c r="A94" s="131" t="s">
        <v>747</v>
      </c>
      <c r="B94" s="132" t="s">
        <v>81</v>
      </c>
      <c r="C94" s="119" t="s">
        <v>11</v>
      </c>
      <c r="D94" s="138">
        <f t="shared" ca="1" si="4"/>
        <v>93</v>
      </c>
      <c r="E94" s="31">
        <f ca="1">VLOOKUP(A94,Rankings!$B$1:$H$651,6,FALSE)+(RAND()*0.00001)</f>
        <v>51.400837901905824</v>
      </c>
      <c r="F94" s="31">
        <f ca="1">E94-VLOOKUP(Settings!$K$3+Settings!$K$7,D$2:E$500,2,FALSE)</f>
        <v>-231.57778264043608</v>
      </c>
      <c r="G94" s="138">
        <f t="shared" ca="1" si="5"/>
        <v>93</v>
      </c>
      <c r="H94" s="31">
        <f ca="1">VLOOKUP(A94,Rankings!$B$1:$H$651,7,FALSE)+(RAND()*0.00001)</f>
        <v>-6.7573255868019793</v>
      </c>
      <c r="I94" s="31">
        <f ca="1">H94-VLOOKUP(Settings!$K$3+Settings!$K$7,G$2:H$94,2,FALSE)</f>
        <v>-6.7633726788429414</v>
      </c>
      <c r="J94" s="31" t="str">
        <f>VLOOKUP(A94,Rankings!B:D,3,FALSE)</f>
        <v>NL</v>
      </c>
    </row>
    <row r="95" spans="1:10" ht="20.100000000000001" customHeight="1">
      <c r="J95" s="31"/>
    </row>
    <row r="96" spans="1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94" xr:uid="{00000000-0001-0000-0C00-000000000000}">
    <sortState xmlns:xlrd2="http://schemas.microsoft.com/office/spreadsheetml/2017/richdata2" ref="A2:I94">
      <sortCondition ref="D1:D9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U401"/>
  <sheetViews>
    <sheetView showGridLines="0" workbookViewId="0">
      <selection activeCell="D7" sqref="D7"/>
    </sheetView>
  </sheetViews>
  <sheetFormatPr defaultColWidth="16.28515625" defaultRowHeight="20.100000000000001" customHeight="1"/>
  <cols>
    <col min="1" max="1" width="23.7109375" style="1" customWidth="1"/>
    <col min="2" max="20" width="7.140625" style="1" customWidth="1"/>
    <col min="21" max="16384" width="16.28515625" style="1"/>
  </cols>
  <sheetData>
    <row r="1" spans="1:20" ht="18.600000000000001" customHeight="1">
      <c r="A1" s="139" t="s">
        <v>738</v>
      </c>
      <c r="B1" s="140" t="s">
        <v>739</v>
      </c>
      <c r="C1" s="140" t="s">
        <v>740</v>
      </c>
      <c r="D1" s="140" t="s">
        <v>6</v>
      </c>
      <c r="E1" s="140" t="s">
        <v>10</v>
      </c>
      <c r="F1" s="140" t="s">
        <v>14</v>
      </c>
      <c r="G1" s="140" t="s">
        <v>18</v>
      </c>
      <c r="H1" s="140" t="s">
        <v>22</v>
      </c>
      <c r="I1" s="140" t="s">
        <v>26</v>
      </c>
      <c r="J1" s="140" t="s">
        <v>30</v>
      </c>
      <c r="K1" s="140" t="s">
        <v>33</v>
      </c>
      <c r="L1" s="140" t="s">
        <v>36</v>
      </c>
      <c r="M1" s="140" t="s">
        <v>13</v>
      </c>
      <c r="N1" s="140" t="s">
        <v>39</v>
      </c>
      <c r="O1" s="140" t="s">
        <v>41</v>
      </c>
      <c r="P1" s="140" t="s">
        <v>46</v>
      </c>
      <c r="Q1" s="140" t="s">
        <v>48</v>
      </c>
      <c r="R1" s="140" t="s">
        <v>743</v>
      </c>
      <c r="S1" s="140" t="s">
        <v>55</v>
      </c>
      <c r="T1" s="130" t="s">
        <v>749</v>
      </c>
    </row>
    <row r="2" spans="1:20" ht="18.600000000000001" customHeight="1">
      <c r="A2" s="26" t="s">
        <v>92</v>
      </c>
      <c r="B2" s="27" t="s">
        <v>68</v>
      </c>
      <c r="C2" s="36" t="s">
        <v>31</v>
      </c>
      <c r="D2" s="31">
        <v>196.01333333333332</v>
      </c>
      <c r="E2" s="33">
        <v>3.1207060744167063</v>
      </c>
      <c r="F2" s="33">
        <v>1.0353547377729406</v>
      </c>
      <c r="G2" s="31">
        <v>241.12833333333333</v>
      </c>
      <c r="H2" s="31">
        <v>14.804444444444444</v>
      </c>
      <c r="I2" s="31">
        <v>0</v>
      </c>
      <c r="J2" s="31">
        <v>67.966666666666654</v>
      </c>
      <c r="K2" s="31">
        <v>154.36666666666665</v>
      </c>
      <c r="L2" s="31">
        <v>48.576666666666675</v>
      </c>
      <c r="M2" s="31">
        <v>26.2</v>
      </c>
      <c r="N2" s="31">
        <v>31.03</v>
      </c>
      <c r="O2" s="31">
        <v>31.03</v>
      </c>
      <c r="P2" s="31">
        <v>7.9899999999999993</v>
      </c>
      <c r="Q2" s="31">
        <v>24.6</v>
      </c>
      <c r="R2" s="31">
        <v>0</v>
      </c>
      <c r="S2" s="31">
        <v>0</v>
      </c>
      <c r="T2" s="31" t="str">
        <f>VLOOKUP(A2,Rankings!B:E,3,FALSE)</f>
        <v>AL</v>
      </c>
    </row>
    <row r="3" spans="1:20" ht="18.600000000000001" customHeight="1">
      <c r="A3" s="26" t="s">
        <v>96</v>
      </c>
      <c r="B3" s="27" t="s">
        <v>97</v>
      </c>
      <c r="C3" s="36" t="s">
        <v>31</v>
      </c>
      <c r="D3" s="31">
        <v>191.71888888888887</v>
      </c>
      <c r="E3" s="33">
        <v>3.0356946223347845</v>
      </c>
      <c r="F3" s="33">
        <v>1.0561122476774445</v>
      </c>
      <c r="G3" s="31">
        <v>232.1866666666667</v>
      </c>
      <c r="H3" s="31">
        <v>13.07</v>
      </c>
      <c r="I3" s="31">
        <v>0</v>
      </c>
      <c r="J3" s="31">
        <v>64.666666666666671</v>
      </c>
      <c r="K3" s="31">
        <v>150.73333333333332</v>
      </c>
      <c r="L3" s="31">
        <v>51.743333333333332</v>
      </c>
      <c r="M3" s="31">
        <v>19.2</v>
      </c>
      <c r="N3" s="31">
        <v>31.331111111111113</v>
      </c>
      <c r="O3" s="31">
        <v>31.03</v>
      </c>
      <c r="P3" s="31">
        <v>7.9666666666666659</v>
      </c>
      <c r="Q3" s="31">
        <v>22.9</v>
      </c>
      <c r="R3" s="31">
        <v>0</v>
      </c>
      <c r="S3" s="31">
        <v>0</v>
      </c>
      <c r="T3" s="31" t="str">
        <f>VLOOKUP(A3,Rankings!B:E,3,FALSE)</f>
        <v>NL</v>
      </c>
    </row>
    <row r="4" spans="1:20" ht="18.600000000000001" customHeight="1">
      <c r="A4" s="26" t="s">
        <v>85</v>
      </c>
      <c r="B4" s="27" t="s">
        <v>86</v>
      </c>
      <c r="C4" s="36" t="s">
        <v>31</v>
      </c>
      <c r="D4" s="31">
        <v>146.33666666666667</v>
      </c>
      <c r="E4" s="33">
        <v>2.5113323158925764</v>
      </c>
      <c r="F4" s="33">
        <v>0.92246190291792896</v>
      </c>
      <c r="G4" s="31">
        <v>199.00166666666667</v>
      </c>
      <c r="H4" s="31">
        <v>10.614444444444445</v>
      </c>
      <c r="I4" s="31">
        <v>0</v>
      </c>
      <c r="J4" s="31">
        <v>40.833333333333336</v>
      </c>
      <c r="K4" s="31">
        <v>104.34666666666668</v>
      </c>
      <c r="L4" s="31">
        <v>30.643333333333334</v>
      </c>
      <c r="M4" s="31">
        <v>15.4</v>
      </c>
      <c r="N4" s="31">
        <v>25.338333333333335</v>
      </c>
      <c r="O4" s="31">
        <v>25.338333333333335</v>
      </c>
      <c r="P4" s="31">
        <v>5.9750000000000005</v>
      </c>
      <c r="Q4" s="31">
        <v>19</v>
      </c>
      <c r="R4" s="31">
        <v>0</v>
      </c>
      <c r="S4" s="31">
        <v>0</v>
      </c>
      <c r="T4" s="31" t="str">
        <f>VLOOKUP(A4,Rankings!B:E,3,FALSE)</f>
        <v>AL</v>
      </c>
    </row>
    <row r="5" spans="1:20" ht="18.600000000000001" customHeight="1">
      <c r="A5" s="26" t="s">
        <v>111</v>
      </c>
      <c r="B5" s="27" t="s">
        <v>73</v>
      </c>
      <c r="C5" s="36" t="s">
        <v>31</v>
      </c>
      <c r="D5" s="31">
        <v>166.15386666666669</v>
      </c>
      <c r="E5" s="33">
        <v>3.0493085124310473</v>
      </c>
      <c r="F5" s="33">
        <v>1.0891976433089328</v>
      </c>
      <c r="G5" s="31">
        <v>225.46453333333332</v>
      </c>
      <c r="H5" s="31">
        <v>13.161066666666665</v>
      </c>
      <c r="I5" s="31">
        <v>0</v>
      </c>
      <c r="J5" s="31">
        <v>56.294933333333326</v>
      </c>
      <c r="K5" s="31">
        <v>123.048</v>
      </c>
      <c r="L5" s="31">
        <v>57.926400000000001</v>
      </c>
      <c r="M5" s="31">
        <v>16.079999999999998</v>
      </c>
      <c r="N5" s="31">
        <v>30.650133333333333</v>
      </c>
      <c r="O5" s="31">
        <v>28.58666666666667</v>
      </c>
      <c r="P5" s="31">
        <v>7.2330666666666659</v>
      </c>
      <c r="Q5" s="31">
        <v>21.5</v>
      </c>
      <c r="R5" s="31">
        <v>0</v>
      </c>
      <c r="S5" s="31">
        <v>0</v>
      </c>
      <c r="T5" s="31" t="str">
        <f>VLOOKUP(A5,Rankings!B:E,3,FALSE)</f>
        <v>NL</v>
      </c>
    </row>
    <row r="6" spans="1:20" ht="18.600000000000001" customHeight="1">
      <c r="A6" s="26" t="s">
        <v>121</v>
      </c>
      <c r="B6" s="27" t="s">
        <v>91</v>
      </c>
      <c r="C6" s="36" t="s">
        <v>31</v>
      </c>
      <c r="D6" s="31">
        <v>195.86333333333334</v>
      </c>
      <c r="E6" s="33">
        <v>3.4112561479943495</v>
      </c>
      <c r="F6" s="33">
        <v>1.0673372022441951</v>
      </c>
      <c r="G6" s="31">
        <v>217.03666666666666</v>
      </c>
      <c r="H6" s="31">
        <v>13.691111111111113</v>
      </c>
      <c r="I6" s="31">
        <v>0</v>
      </c>
      <c r="J6" s="31">
        <v>74.237777777777779</v>
      </c>
      <c r="K6" s="31">
        <v>168.81222222222223</v>
      </c>
      <c r="L6" s="31">
        <v>40.24</v>
      </c>
      <c r="M6" s="31">
        <v>23.066666666666666</v>
      </c>
      <c r="N6" s="31">
        <v>31.03</v>
      </c>
      <c r="O6" s="31">
        <v>31.03</v>
      </c>
      <c r="P6" s="31">
        <v>9.0144444444444449</v>
      </c>
      <c r="Q6" s="31">
        <v>22.3</v>
      </c>
      <c r="R6" s="31">
        <v>0</v>
      </c>
      <c r="S6" s="31">
        <v>0</v>
      </c>
      <c r="T6" s="31" t="str">
        <f>VLOOKUP(A6,Rankings!B:E,3,FALSE)</f>
        <v>NL</v>
      </c>
    </row>
    <row r="7" spans="1:20" ht="18.600000000000001" customHeight="1">
      <c r="A7" s="26" t="s">
        <v>110</v>
      </c>
      <c r="B7" s="27" t="s">
        <v>95</v>
      </c>
      <c r="C7" s="36" t="s">
        <v>31</v>
      </c>
      <c r="D7" s="31">
        <v>169.99555555555557</v>
      </c>
      <c r="E7" s="33">
        <v>3.1311406834165596</v>
      </c>
      <c r="F7" s="33">
        <v>1.0319158670814923</v>
      </c>
      <c r="G7" s="31">
        <v>202.80222222222221</v>
      </c>
      <c r="H7" s="31">
        <v>11.985555555555555</v>
      </c>
      <c r="I7" s="31">
        <v>0</v>
      </c>
      <c r="J7" s="31">
        <v>59.142222222222223</v>
      </c>
      <c r="K7" s="31">
        <v>137.82222222222222</v>
      </c>
      <c r="L7" s="31">
        <v>37.598888888888887</v>
      </c>
      <c r="M7" s="31">
        <v>21.133333333333333</v>
      </c>
      <c r="N7" s="31">
        <v>28.072222222222223</v>
      </c>
      <c r="O7" s="31">
        <v>28.072222222222223</v>
      </c>
      <c r="P7" s="31">
        <v>6.9877777777777768</v>
      </c>
      <c r="Q7" s="31">
        <v>20</v>
      </c>
      <c r="R7" s="31">
        <v>0</v>
      </c>
      <c r="S7" s="31">
        <v>0</v>
      </c>
      <c r="T7" s="31" t="str">
        <f>VLOOKUP(A7,Rankings!B:E,3,FALSE)</f>
        <v>NL</v>
      </c>
    </row>
    <row r="8" spans="1:20" ht="18.600000000000001" customHeight="1">
      <c r="A8" s="26" t="s">
        <v>152</v>
      </c>
      <c r="B8" s="27" t="s">
        <v>78</v>
      </c>
      <c r="C8" s="36" t="s">
        <v>31</v>
      </c>
      <c r="D8" s="31">
        <v>181.52666666666667</v>
      </c>
      <c r="E8" s="33">
        <v>3.4832832641668809</v>
      </c>
      <c r="F8" s="33">
        <v>1.0990811267398728</v>
      </c>
      <c r="G8" s="31">
        <v>221.11306666666667</v>
      </c>
      <c r="H8" s="31">
        <v>13.534133333333335</v>
      </c>
      <c r="I8" s="31">
        <v>0</v>
      </c>
      <c r="J8" s="31">
        <v>70.256533333333337</v>
      </c>
      <c r="K8" s="31">
        <v>130.77279999999999</v>
      </c>
      <c r="L8" s="31">
        <v>68.739733333333334</v>
      </c>
      <c r="M8" s="31">
        <v>24.912000000000003</v>
      </c>
      <c r="N8" s="31">
        <v>32.572800000000001</v>
      </c>
      <c r="O8" s="31">
        <v>29.881333333333334</v>
      </c>
      <c r="P8" s="31">
        <v>8.438933333333333</v>
      </c>
      <c r="Q8" s="31">
        <v>21.8</v>
      </c>
      <c r="R8" s="31">
        <v>0</v>
      </c>
      <c r="S8" s="31">
        <v>0</v>
      </c>
      <c r="T8" s="31" t="str">
        <f>VLOOKUP(A8,Rankings!B:E,3,FALSE)</f>
        <v>AL</v>
      </c>
    </row>
    <row r="9" spans="1:20" ht="18.600000000000001" customHeight="1">
      <c r="A9" s="26" t="s">
        <v>745</v>
      </c>
      <c r="B9" s="27" t="s">
        <v>84</v>
      </c>
      <c r="C9" s="36" t="s">
        <v>31</v>
      </c>
      <c r="D9" s="31">
        <v>166.97</v>
      </c>
      <c r="E9" s="33">
        <v>3.0672875366832364</v>
      </c>
      <c r="F9" s="33">
        <v>1.0781777165558684</v>
      </c>
      <c r="G9" s="31">
        <v>206.10666666666665</v>
      </c>
      <c r="H9" s="31">
        <v>12.646666666666667</v>
      </c>
      <c r="I9" s="31">
        <v>0</v>
      </c>
      <c r="J9" s="31">
        <v>56.905000000000001</v>
      </c>
      <c r="K9" s="31">
        <v>130.32833333333335</v>
      </c>
      <c r="L9" s="31">
        <v>49.695</v>
      </c>
      <c r="M9" s="31">
        <v>17.3</v>
      </c>
      <c r="N9" s="31">
        <v>33.024999999999999</v>
      </c>
      <c r="O9" s="31">
        <v>28.641666666666666</v>
      </c>
      <c r="P9" s="31">
        <v>7.9733333333333336</v>
      </c>
      <c r="Q9" s="31">
        <v>18</v>
      </c>
      <c r="R9" s="31">
        <v>0</v>
      </c>
      <c r="S9" s="31">
        <v>0</v>
      </c>
      <c r="T9" s="31" t="str">
        <f>VLOOKUP(A9,Rankings!B:E,3,FALSE)</f>
        <v>AL</v>
      </c>
    </row>
    <row r="10" spans="1:20" ht="18.600000000000001" customHeight="1">
      <c r="A10" s="26" t="s">
        <v>107</v>
      </c>
      <c r="B10" s="27" t="s">
        <v>95</v>
      </c>
      <c r="C10" s="36" t="s">
        <v>31</v>
      </c>
      <c r="D10" s="31">
        <v>170.09555555555556</v>
      </c>
      <c r="E10" s="33">
        <v>2.9489306664227946</v>
      </c>
      <c r="F10" s="33">
        <v>1.0194139241994695</v>
      </c>
      <c r="G10" s="31">
        <v>187</v>
      </c>
      <c r="H10" s="31">
        <v>13.1</v>
      </c>
      <c r="I10" s="31">
        <v>0</v>
      </c>
      <c r="J10" s="31">
        <v>55.733333333333327</v>
      </c>
      <c r="K10" s="31">
        <v>136.86666666666667</v>
      </c>
      <c r="L10" s="31">
        <v>36.531111111111109</v>
      </c>
      <c r="M10" s="31">
        <v>21.233333333333334</v>
      </c>
      <c r="N10" s="31">
        <v>28.068888888888889</v>
      </c>
      <c r="O10" s="31">
        <v>28.402222222222221</v>
      </c>
      <c r="P10" s="31">
        <v>7.5244444444444447</v>
      </c>
      <c r="Q10" s="31">
        <v>18</v>
      </c>
      <c r="R10" s="31">
        <v>0</v>
      </c>
      <c r="S10" s="31">
        <v>0</v>
      </c>
      <c r="T10" s="31" t="str">
        <f>VLOOKUP(A10,Rankings!B:E,3,FALSE)</f>
        <v>NL</v>
      </c>
    </row>
    <row r="11" spans="1:20" ht="18.600000000000001" customHeight="1">
      <c r="A11" s="26" t="s">
        <v>115</v>
      </c>
      <c r="B11" s="27" t="s">
        <v>101</v>
      </c>
      <c r="C11" s="36" t="s">
        <v>31</v>
      </c>
      <c r="D11" s="31">
        <v>174.71666666666667</v>
      </c>
      <c r="E11" s="33">
        <v>3.1002766383668803</v>
      </c>
      <c r="F11" s="33">
        <v>1.089064835129893</v>
      </c>
      <c r="G11" s="31">
        <v>198.35</v>
      </c>
      <c r="H11" s="31">
        <v>12.443333333333333</v>
      </c>
      <c r="I11" s="31">
        <v>0</v>
      </c>
      <c r="J11" s="31">
        <v>60.18555555555556</v>
      </c>
      <c r="K11" s="31">
        <v>142.70111111111112</v>
      </c>
      <c r="L11" s="31">
        <v>47.576666666666675</v>
      </c>
      <c r="M11" s="31">
        <v>18.233333333333334</v>
      </c>
      <c r="N11" s="31">
        <v>29.513333333333332</v>
      </c>
      <c r="O11" s="31">
        <v>29.513333333333332</v>
      </c>
      <c r="P11" s="31">
        <v>7.9777777777777779</v>
      </c>
      <c r="Q11" s="31">
        <v>20</v>
      </c>
      <c r="R11" s="31">
        <v>0</v>
      </c>
      <c r="S11" s="31">
        <v>0</v>
      </c>
      <c r="T11" s="31" t="str">
        <f>VLOOKUP(A11,Rankings!B:E,3,FALSE)</f>
        <v>AL</v>
      </c>
    </row>
    <row r="12" spans="1:20" ht="18.600000000000001" customHeight="1">
      <c r="A12" s="26" t="s">
        <v>104</v>
      </c>
      <c r="B12" s="27" t="s">
        <v>68</v>
      </c>
      <c r="C12" s="36" t="s">
        <v>31</v>
      </c>
      <c r="D12" s="31">
        <v>148.22333333333333</v>
      </c>
      <c r="E12" s="33">
        <v>3.0059774664357839</v>
      </c>
      <c r="F12" s="33">
        <v>1.0249818217254745</v>
      </c>
      <c r="G12" s="31">
        <v>187.77733333333333</v>
      </c>
      <c r="H12" s="31">
        <v>11.36</v>
      </c>
      <c r="I12" s="31">
        <v>0</v>
      </c>
      <c r="J12" s="31">
        <v>49.50622222222222</v>
      </c>
      <c r="K12" s="31">
        <v>109.69733333333333</v>
      </c>
      <c r="L12" s="31">
        <v>42.228888888888889</v>
      </c>
      <c r="M12" s="31">
        <v>15.12</v>
      </c>
      <c r="N12" s="31">
        <v>25.602666666666668</v>
      </c>
      <c r="O12" s="31">
        <v>25.575999999999997</v>
      </c>
      <c r="P12" s="31">
        <v>6.3475555555555561</v>
      </c>
      <c r="Q12" s="31">
        <v>15.200000000000001</v>
      </c>
      <c r="R12" s="31">
        <v>0</v>
      </c>
      <c r="S12" s="31">
        <v>0</v>
      </c>
      <c r="T12" s="31" t="str">
        <f>VLOOKUP(A12,Rankings!B:E,3,FALSE)</f>
        <v>AL</v>
      </c>
    </row>
    <row r="13" spans="1:20" ht="18.600000000000001" customHeight="1">
      <c r="A13" s="26" t="s">
        <v>128</v>
      </c>
      <c r="B13" s="27" t="s">
        <v>97</v>
      </c>
      <c r="C13" s="36" t="s">
        <v>31</v>
      </c>
      <c r="D13" s="31">
        <v>173.04333333333332</v>
      </c>
      <c r="E13" s="33">
        <v>3.276867066052819</v>
      </c>
      <c r="F13" s="33">
        <v>1.091537765107006</v>
      </c>
      <c r="G13" s="31">
        <v>199.02833333333334</v>
      </c>
      <c r="H13" s="31">
        <v>11.984444444444444</v>
      </c>
      <c r="I13" s="31">
        <v>0</v>
      </c>
      <c r="J13" s="31">
        <v>63.004444444444438</v>
      </c>
      <c r="K13" s="31">
        <v>141.72333333333333</v>
      </c>
      <c r="L13" s="31">
        <v>47.160000000000004</v>
      </c>
      <c r="M13" s="31">
        <v>19.866666666666667</v>
      </c>
      <c r="N13" s="31">
        <v>29.831111111111113</v>
      </c>
      <c r="O13" s="31">
        <v>29.296666666666667</v>
      </c>
      <c r="P13" s="31">
        <v>8.0033333333333321</v>
      </c>
      <c r="Q13" s="31">
        <v>17</v>
      </c>
      <c r="R13" s="31">
        <v>0</v>
      </c>
      <c r="S13" s="31">
        <v>0</v>
      </c>
      <c r="T13" s="31" t="str">
        <f>VLOOKUP(A13,Rankings!B:E,3,FALSE)</f>
        <v>NL</v>
      </c>
    </row>
    <row r="14" spans="1:20" ht="18.600000000000001" customHeight="1">
      <c r="A14" s="26" t="s">
        <v>138</v>
      </c>
      <c r="B14" s="27" t="s">
        <v>76</v>
      </c>
      <c r="C14" s="36" t="s">
        <v>31</v>
      </c>
      <c r="D14" s="31">
        <v>193.41555555555556</v>
      </c>
      <c r="E14" s="33">
        <v>3.3307041832783759</v>
      </c>
      <c r="F14" s="33">
        <v>1.1192136677504967</v>
      </c>
      <c r="G14" s="31">
        <v>200.06000000000003</v>
      </c>
      <c r="H14" s="31">
        <v>13.318888888888887</v>
      </c>
      <c r="I14" s="31">
        <v>0</v>
      </c>
      <c r="J14" s="31">
        <v>71.578888888888898</v>
      </c>
      <c r="K14" s="31">
        <v>171.27111111111108</v>
      </c>
      <c r="L14" s="31">
        <v>45.202222222222225</v>
      </c>
      <c r="M14" s="31">
        <v>22.3</v>
      </c>
      <c r="N14" s="31">
        <v>30.953333333333333</v>
      </c>
      <c r="O14" s="31">
        <v>30.942222222222224</v>
      </c>
      <c r="P14" s="31">
        <v>8.956666666666667</v>
      </c>
      <c r="Q14" s="31">
        <v>22.7</v>
      </c>
      <c r="R14" s="31">
        <v>0</v>
      </c>
      <c r="S14" s="31">
        <v>0</v>
      </c>
      <c r="T14" s="31" t="str">
        <f>VLOOKUP(A14,Rankings!B:E,3,FALSE)</f>
        <v>AL</v>
      </c>
    </row>
    <row r="15" spans="1:20" ht="18.600000000000001" customHeight="1">
      <c r="A15" s="26" t="s">
        <v>146</v>
      </c>
      <c r="B15" s="27" t="s">
        <v>114</v>
      </c>
      <c r="C15" s="36" t="s">
        <v>31</v>
      </c>
      <c r="D15" s="31">
        <v>181.21222222222221</v>
      </c>
      <c r="E15" s="33">
        <v>3.5050615913814993</v>
      </c>
      <c r="F15" s="33">
        <v>1.1999374582288416</v>
      </c>
      <c r="G15" s="31">
        <v>217.26833333333332</v>
      </c>
      <c r="H15" s="31">
        <v>12.852222222222222</v>
      </c>
      <c r="I15" s="31">
        <v>0</v>
      </c>
      <c r="J15" s="31">
        <v>70.573333333333338</v>
      </c>
      <c r="K15" s="31">
        <v>144.42555555555555</v>
      </c>
      <c r="L15" s="31">
        <v>73.017777777777781</v>
      </c>
      <c r="M15" s="31">
        <v>22.3</v>
      </c>
      <c r="N15" s="31">
        <v>31.03</v>
      </c>
      <c r="O15" s="31">
        <v>31.013333333333335</v>
      </c>
      <c r="P15" s="31">
        <v>8.9700000000000006</v>
      </c>
      <c r="Q15" s="31">
        <v>17</v>
      </c>
      <c r="R15" s="31">
        <v>0</v>
      </c>
      <c r="S15" s="31">
        <v>0</v>
      </c>
      <c r="T15" s="31" t="str">
        <f>VLOOKUP(A15,Rankings!B:E,3,FALSE)</f>
        <v>AL</v>
      </c>
    </row>
    <row r="16" spans="1:20" ht="18.600000000000001" customHeight="1">
      <c r="A16" s="26" t="s">
        <v>147</v>
      </c>
      <c r="B16" s="27" t="s">
        <v>94</v>
      </c>
      <c r="C16" s="36" t="s">
        <v>31</v>
      </c>
      <c r="D16" s="31">
        <v>177.15222222222224</v>
      </c>
      <c r="E16" s="33">
        <v>3.4540351361352757</v>
      </c>
      <c r="F16" s="33">
        <v>1.1185797525041237</v>
      </c>
      <c r="G16" s="31">
        <v>196.17444444444445</v>
      </c>
      <c r="H16" s="31">
        <v>12.965555555555556</v>
      </c>
      <c r="I16" s="31">
        <v>0</v>
      </c>
      <c r="J16" s="31">
        <v>67.987777777777779</v>
      </c>
      <c r="K16" s="31">
        <v>159.50444444444443</v>
      </c>
      <c r="L16" s="31">
        <v>38.654444444444444</v>
      </c>
      <c r="M16" s="31">
        <v>21.900000000000002</v>
      </c>
      <c r="N16" s="31">
        <v>30.331111111111113</v>
      </c>
      <c r="O16" s="31">
        <v>30.331111111111113</v>
      </c>
      <c r="P16" s="31">
        <v>8.0033333333333321</v>
      </c>
      <c r="Q16" s="31">
        <v>17</v>
      </c>
      <c r="R16" s="31">
        <v>0</v>
      </c>
      <c r="S16" s="31">
        <v>0</v>
      </c>
      <c r="T16" s="31" t="str">
        <f>VLOOKUP(A16,Rankings!B:E,3,FALSE)</f>
        <v>AL</v>
      </c>
    </row>
    <row r="17" spans="1:20" ht="18.600000000000001" customHeight="1">
      <c r="A17" s="26" t="s">
        <v>222</v>
      </c>
      <c r="B17" s="27" t="s">
        <v>223</v>
      </c>
      <c r="C17" s="36" t="s">
        <v>31</v>
      </c>
      <c r="D17" s="31">
        <v>177.07480000000001</v>
      </c>
      <c r="E17" s="33">
        <v>3.7466607332042727</v>
      </c>
      <c r="F17" s="33">
        <v>1.1454759984669376</v>
      </c>
      <c r="G17" s="31">
        <v>218.35626666666667</v>
      </c>
      <c r="H17" s="31">
        <v>10.184799999999999</v>
      </c>
      <c r="I17" s="31">
        <v>0</v>
      </c>
      <c r="J17" s="31">
        <v>73.715466666666671</v>
      </c>
      <c r="K17" s="31">
        <v>141.72319999999999</v>
      </c>
      <c r="L17" s="31">
        <v>61.111733333333326</v>
      </c>
      <c r="M17" s="31">
        <v>24.741333333333333</v>
      </c>
      <c r="N17" s="31">
        <v>33.005600000000001</v>
      </c>
      <c r="O17" s="31">
        <v>29.146666666666665</v>
      </c>
      <c r="P17" s="31">
        <v>10.9048</v>
      </c>
      <c r="Q17" s="31">
        <v>20.3</v>
      </c>
      <c r="R17" s="31">
        <v>0</v>
      </c>
      <c r="S17" s="31">
        <v>0</v>
      </c>
      <c r="T17" s="31" t="str">
        <f>VLOOKUP(A17,Rankings!B:E,3,FALSE)</f>
        <v>NL</v>
      </c>
    </row>
    <row r="18" spans="1:20" ht="18.600000000000001" customHeight="1">
      <c r="A18" s="26" t="s">
        <v>133</v>
      </c>
      <c r="B18" s="27" t="s">
        <v>134</v>
      </c>
      <c r="C18" s="36" t="s">
        <v>31</v>
      </c>
      <c r="D18" s="31">
        <v>205.8122222222222</v>
      </c>
      <c r="E18" s="33">
        <v>3.3088413926394611</v>
      </c>
      <c r="F18" s="33">
        <v>1.1315060653994204</v>
      </c>
      <c r="G18" s="31">
        <v>192.1477777777778</v>
      </c>
      <c r="H18" s="31">
        <v>12.983333333333334</v>
      </c>
      <c r="I18" s="31">
        <v>0</v>
      </c>
      <c r="J18" s="31">
        <v>75.666666666666671</v>
      </c>
      <c r="K18" s="31">
        <v>181.20000000000002</v>
      </c>
      <c r="L18" s="31">
        <v>51.677777777777777</v>
      </c>
      <c r="M18" s="31">
        <v>19.3</v>
      </c>
      <c r="N18" s="31">
        <v>30.986666666666668</v>
      </c>
      <c r="O18" s="31">
        <v>31.02</v>
      </c>
      <c r="P18" s="31">
        <v>9.9922222222222228</v>
      </c>
      <c r="Q18" s="31">
        <v>20.621300000000002</v>
      </c>
      <c r="R18" s="31">
        <v>0</v>
      </c>
      <c r="S18" s="31">
        <v>0</v>
      </c>
      <c r="T18" s="31" t="str">
        <f>VLOOKUP(A18,Rankings!B:E,3,FALSE)</f>
        <v>NL</v>
      </c>
    </row>
    <row r="19" spans="1:20" ht="18.600000000000001" customHeight="1">
      <c r="A19" s="26" t="s">
        <v>177</v>
      </c>
      <c r="B19" s="27" t="s">
        <v>71</v>
      </c>
      <c r="C19" s="36" t="s">
        <v>31</v>
      </c>
      <c r="D19" s="31">
        <v>187.86111111111109</v>
      </c>
      <c r="E19" s="33">
        <v>3.3127132929173446</v>
      </c>
      <c r="F19" s="33">
        <v>1.1797545467987582</v>
      </c>
      <c r="G19" s="31">
        <v>196.23222222222225</v>
      </c>
      <c r="H19" s="31">
        <v>12.51</v>
      </c>
      <c r="I19" s="31">
        <v>0</v>
      </c>
      <c r="J19" s="31">
        <v>69.147777777777776</v>
      </c>
      <c r="K19" s="31">
        <v>159.95333333333335</v>
      </c>
      <c r="L19" s="31">
        <v>61.676666666666669</v>
      </c>
      <c r="M19" s="31">
        <v>17.3</v>
      </c>
      <c r="N19" s="31">
        <v>30.886666666666667</v>
      </c>
      <c r="O19" s="31">
        <v>30.886666666666667</v>
      </c>
      <c r="P19" s="31">
        <v>9.0088888888888885</v>
      </c>
      <c r="Q19" s="31">
        <v>20.952300000000001</v>
      </c>
      <c r="R19" s="31">
        <v>0</v>
      </c>
      <c r="S19" s="31">
        <v>0</v>
      </c>
      <c r="T19" s="31" t="str">
        <f>VLOOKUP(A19,Rankings!B:E,3,FALSE)</f>
        <v>AL</v>
      </c>
    </row>
    <row r="20" spans="1:20" ht="18.600000000000001" customHeight="1">
      <c r="A20" s="26" t="s">
        <v>144</v>
      </c>
      <c r="B20" s="27" t="s">
        <v>91</v>
      </c>
      <c r="C20" s="36" t="s">
        <v>31</v>
      </c>
      <c r="D20" s="31">
        <v>182.91777777777779</v>
      </c>
      <c r="E20" s="33">
        <v>3.3255925552464376</v>
      </c>
      <c r="F20" s="33">
        <v>1.1266385625599844</v>
      </c>
      <c r="G20" s="31">
        <v>184.50222222222223</v>
      </c>
      <c r="H20" s="31">
        <v>12.968888888888889</v>
      </c>
      <c r="I20" s="31">
        <v>0</v>
      </c>
      <c r="J20" s="31">
        <v>67.59</v>
      </c>
      <c r="K20" s="31">
        <v>162.21777777777777</v>
      </c>
      <c r="L20" s="31">
        <v>43.864444444444445</v>
      </c>
      <c r="M20" s="31">
        <v>17.966666666666665</v>
      </c>
      <c r="N20" s="31">
        <v>29.64222222222222</v>
      </c>
      <c r="O20" s="31">
        <v>29.64222222222222</v>
      </c>
      <c r="P20" s="31">
        <v>8.5333333333333332</v>
      </c>
      <c r="Q20" s="31">
        <v>19</v>
      </c>
      <c r="R20" s="31">
        <v>0</v>
      </c>
      <c r="S20" s="31">
        <v>0</v>
      </c>
      <c r="T20" s="31" t="str">
        <f>VLOOKUP(A20,Rankings!B:E,3,FALSE)</f>
        <v>NL</v>
      </c>
    </row>
    <row r="21" spans="1:20" ht="18.600000000000001" customHeight="1">
      <c r="A21" s="26" t="s">
        <v>189</v>
      </c>
      <c r="B21" s="27" t="s">
        <v>71</v>
      </c>
      <c r="C21" s="36" t="s">
        <v>31</v>
      </c>
      <c r="D21" s="31">
        <v>184.54</v>
      </c>
      <c r="E21" s="33">
        <v>3.7633575376612121</v>
      </c>
      <c r="F21" s="33">
        <v>1.1825018363980109</v>
      </c>
      <c r="G21" s="31">
        <v>211.46666666666667</v>
      </c>
      <c r="H21" s="31">
        <v>11.981111111111112</v>
      </c>
      <c r="I21" s="31">
        <v>0</v>
      </c>
      <c r="J21" s="31">
        <v>77.165555555555557</v>
      </c>
      <c r="K21" s="31">
        <v>157.45111111111112</v>
      </c>
      <c r="L21" s="31">
        <v>60.767777777777781</v>
      </c>
      <c r="M21" s="31">
        <v>28.966666666666669</v>
      </c>
      <c r="N21" s="31">
        <v>31.00888888888889</v>
      </c>
      <c r="O21" s="31">
        <v>31.00888888888889</v>
      </c>
      <c r="P21" s="31">
        <v>9.9933333333333341</v>
      </c>
      <c r="Q21" s="31">
        <v>18</v>
      </c>
      <c r="R21" s="31">
        <v>0</v>
      </c>
      <c r="S21" s="31">
        <v>0</v>
      </c>
      <c r="T21" s="31" t="str">
        <f>VLOOKUP(A21,Rankings!B:E,3,FALSE)</f>
        <v>AL</v>
      </c>
    </row>
    <row r="22" spans="1:20" ht="18.600000000000001" customHeight="1">
      <c r="A22" s="26" t="s">
        <v>143</v>
      </c>
      <c r="B22" s="27" t="s">
        <v>63</v>
      </c>
      <c r="C22" s="36" t="s">
        <v>31</v>
      </c>
      <c r="D22" s="31">
        <v>184.73333333333332</v>
      </c>
      <c r="E22" s="33">
        <v>3.718440996030314</v>
      </c>
      <c r="F22" s="33">
        <v>1.1154938048839169</v>
      </c>
      <c r="G22" s="31">
        <v>189.88555555555556</v>
      </c>
      <c r="H22" s="31">
        <v>13.005555555555555</v>
      </c>
      <c r="I22" s="31">
        <v>0</v>
      </c>
      <c r="J22" s="31">
        <v>76.324444444444438</v>
      </c>
      <c r="K22" s="31">
        <v>159.96666666666667</v>
      </c>
      <c r="L22" s="31">
        <v>46.102222222222224</v>
      </c>
      <c r="M22" s="31">
        <v>25.066666666666666</v>
      </c>
      <c r="N22" s="31">
        <v>29.997777777777781</v>
      </c>
      <c r="O22" s="31">
        <v>29.997777777777781</v>
      </c>
      <c r="P22" s="31">
        <v>8.9966666666666679</v>
      </c>
      <c r="Q22" s="31">
        <v>18</v>
      </c>
      <c r="R22" s="31">
        <v>0</v>
      </c>
      <c r="S22" s="31">
        <v>0</v>
      </c>
      <c r="T22" s="31" t="str">
        <f>VLOOKUP(A22,Rankings!B:E,3,FALSE)</f>
        <v>NL</v>
      </c>
    </row>
    <row r="23" spans="1:20" ht="18.600000000000001" customHeight="1">
      <c r="A23" s="26" t="s">
        <v>169</v>
      </c>
      <c r="B23" s="27" t="s">
        <v>94</v>
      </c>
      <c r="C23" s="36" t="s">
        <v>31</v>
      </c>
      <c r="D23" s="31">
        <v>190.76555555555555</v>
      </c>
      <c r="E23" s="33">
        <v>3.5674553407614931</v>
      </c>
      <c r="F23" s="33">
        <v>1.1360221097449457</v>
      </c>
      <c r="G23" s="31">
        <v>183.77111111111108</v>
      </c>
      <c r="H23" s="31">
        <v>13.448888888888888</v>
      </c>
      <c r="I23" s="31">
        <v>0</v>
      </c>
      <c r="J23" s="31">
        <v>75.616399999999999</v>
      </c>
      <c r="K23" s="31">
        <v>160.90555555555554</v>
      </c>
      <c r="L23" s="31">
        <v>55.808333333333337</v>
      </c>
      <c r="M23" s="31">
        <v>23.333333333333332</v>
      </c>
      <c r="N23" s="31">
        <v>30.997777777777781</v>
      </c>
      <c r="O23" s="31">
        <v>30.997777777777781</v>
      </c>
      <c r="P23" s="31">
        <v>8.5233333333333334</v>
      </c>
      <c r="Q23" s="31">
        <v>18</v>
      </c>
      <c r="R23" s="31">
        <v>0</v>
      </c>
      <c r="S23" s="31">
        <v>0</v>
      </c>
      <c r="T23" s="31" t="str">
        <f>VLOOKUP(A23,Rankings!B:E,3,FALSE)</f>
        <v>AL</v>
      </c>
    </row>
    <row r="24" spans="1:20" ht="18.600000000000001" customHeight="1">
      <c r="A24" s="26" t="s">
        <v>179</v>
      </c>
      <c r="B24" s="27" t="s">
        <v>76</v>
      </c>
      <c r="C24" s="36" t="s">
        <v>31</v>
      </c>
      <c r="D24" s="31">
        <v>188.92</v>
      </c>
      <c r="E24" s="33">
        <v>3.7520643658691513</v>
      </c>
      <c r="F24" s="33">
        <v>1.1369327404898018</v>
      </c>
      <c r="G24" s="31">
        <v>195.20000000000002</v>
      </c>
      <c r="H24" s="31">
        <v>11.774666666666667</v>
      </c>
      <c r="I24" s="31">
        <v>0</v>
      </c>
      <c r="J24" s="31">
        <v>78.760000000000005</v>
      </c>
      <c r="K24" s="31">
        <v>157.96</v>
      </c>
      <c r="L24" s="31">
        <v>56.829333333333331</v>
      </c>
      <c r="M24" s="31">
        <v>28.346666666666664</v>
      </c>
      <c r="N24" s="31">
        <v>30.930666666666667</v>
      </c>
      <c r="O24" s="31">
        <v>31.263999999999999</v>
      </c>
      <c r="P24" s="31">
        <v>10.249333333333333</v>
      </c>
      <c r="Q24" s="31">
        <v>19.2</v>
      </c>
      <c r="R24" s="31">
        <v>0</v>
      </c>
      <c r="S24" s="31">
        <v>0</v>
      </c>
      <c r="T24" s="31" t="str">
        <f>VLOOKUP(A24,Rankings!B:E,3,FALSE)</f>
        <v>AL</v>
      </c>
    </row>
    <row r="25" spans="1:20" ht="18.600000000000001" customHeight="1">
      <c r="A25" s="26" t="s">
        <v>393</v>
      </c>
      <c r="B25" s="27" t="s">
        <v>99</v>
      </c>
      <c r="C25" s="36" t="s">
        <v>31</v>
      </c>
      <c r="D25" s="31">
        <v>164.48333333333332</v>
      </c>
      <c r="E25" s="33">
        <v>3.5018745566926741</v>
      </c>
      <c r="F25" s="33">
        <v>1.1380146586955791</v>
      </c>
      <c r="G25" s="31">
        <v>187.78333333333333</v>
      </c>
      <c r="H25" s="31">
        <v>11.326666666666666</v>
      </c>
      <c r="I25" s="31">
        <v>0</v>
      </c>
      <c r="J25" s="31">
        <v>64</v>
      </c>
      <c r="K25" s="31">
        <v>134.33333333333334</v>
      </c>
      <c r="L25" s="31">
        <v>52.851111111111116</v>
      </c>
      <c r="M25" s="31">
        <v>19.733333333333334</v>
      </c>
      <c r="N25" s="31">
        <v>34.51</v>
      </c>
      <c r="O25" s="31">
        <v>34.343333333333334</v>
      </c>
      <c r="P25" s="31">
        <v>9</v>
      </c>
      <c r="Q25" s="31">
        <v>17</v>
      </c>
      <c r="R25" s="31">
        <v>0</v>
      </c>
      <c r="S25" s="31">
        <v>0</v>
      </c>
      <c r="T25" s="31" t="str">
        <f>VLOOKUP(A25,Rankings!B:E,3,FALSE)</f>
        <v>AL</v>
      </c>
    </row>
    <row r="26" spans="1:20" ht="18.600000000000001" customHeight="1">
      <c r="A26" s="26" t="s">
        <v>150</v>
      </c>
      <c r="B26" s="27" t="s">
        <v>81</v>
      </c>
      <c r="C26" s="36" t="s">
        <v>31</v>
      </c>
      <c r="D26" s="31">
        <v>180.41666666666666</v>
      </c>
      <c r="E26" s="33">
        <v>3.4942525635103925</v>
      </c>
      <c r="F26" s="33">
        <v>1.1158183217859894</v>
      </c>
      <c r="G26" s="31">
        <v>174.06111111111113</v>
      </c>
      <c r="H26" s="31">
        <v>13.946666666666667</v>
      </c>
      <c r="I26" s="31">
        <v>0</v>
      </c>
      <c r="J26" s="31">
        <v>70.046822222222218</v>
      </c>
      <c r="K26" s="31">
        <v>157.68333333333334</v>
      </c>
      <c r="L26" s="31">
        <v>43.628888888888888</v>
      </c>
      <c r="M26" s="31">
        <v>22.733333333333334</v>
      </c>
      <c r="N26" s="31">
        <v>30.997777777777781</v>
      </c>
      <c r="O26" s="31">
        <v>30.997777777777781</v>
      </c>
      <c r="P26" s="31">
        <v>7.9622222222222225</v>
      </c>
      <c r="Q26" s="31">
        <v>17</v>
      </c>
      <c r="R26" s="31">
        <v>0</v>
      </c>
      <c r="S26" s="31">
        <v>0</v>
      </c>
      <c r="T26" s="31" t="str">
        <f>VLOOKUP(A26,Rankings!B:E,3,FALSE)</f>
        <v>NL</v>
      </c>
    </row>
    <row r="27" spans="1:20" ht="18.600000000000001" customHeight="1">
      <c r="A27" s="26" t="s">
        <v>162</v>
      </c>
      <c r="B27" s="27" t="s">
        <v>120</v>
      </c>
      <c r="C27" s="36" t="s">
        <v>31</v>
      </c>
      <c r="D27" s="31">
        <v>177.77777777777774</v>
      </c>
      <c r="E27" s="33">
        <v>3.4943062500000002</v>
      </c>
      <c r="F27" s="33">
        <v>1.1516312500000003</v>
      </c>
      <c r="G27" s="31">
        <v>187.03111111111113</v>
      </c>
      <c r="H27" s="31">
        <v>10.99111111111111</v>
      </c>
      <c r="I27" s="31">
        <v>0</v>
      </c>
      <c r="J27" s="31">
        <v>69.023333333333326</v>
      </c>
      <c r="K27" s="31">
        <v>150.37111111111111</v>
      </c>
      <c r="L27" s="31">
        <v>54.363333333333337</v>
      </c>
      <c r="M27" s="31">
        <v>20.099999999999998</v>
      </c>
      <c r="N27" s="31">
        <v>30.197777777777777</v>
      </c>
      <c r="O27" s="31">
        <v>30.197777777777777</v>
      </c>
      <c r="P27" s="31">
        <v>8.5400000000000009</v>
      </c>
      <c r="Q27" s="31">
        <v>17</v>
      </c>
      <c r="R27" s="31">
        <v>0</v>
      </c>
      <c r="S27" s="31">
        <v>0</v>
      </c>
      <c r="T27" s="31" t="str">
        <f>VLOOKUP(A27,Rankings!B:E,3,FALSE)</f>
        <v>NL</v>
      </c>
    </row>
    <row r="28" spans="1:20" ht="18.600000000000001" customHeight="1">
      <c r="A28" s="26" t="s">
        <v>210</v>
      </c>
      <c r="B28" s="27" t="s">
        <v>71</v>
      </c>
      <c r="C28" s="36" t="s">
        <v>31</v>
      </c>
      <c r="D28" s="31">
        <v>170.95000000000002</v>
      </c>
      <c r="E28" s="33">
        <v>3.3694062591400993</v>
      </c>
      <c r="F28" s="33">
        <v>1.148483962172175</v>
      </c>
      <c r="G28" s="31">
        <v>182.66666666666666</v>
      </c>
      <c r="H28" s="31">
        <v>10.444666666666665</v>
      </c>
      <c r="I28" s="31">
        <v>0</v>
      </c>
      <c r="J28" s="31">
        <v>64</v>
      </c>
      <c r="K28" s="31">
        <v>157.33333333333334</v>
      </c>
      <c r="L28" s="31">
        <v>39</v>
      </c>
      <c r="M28" s="31">
        <v>17.706666666666667</v>
      </c>
      <c r="N28" s="31">
        <v>30.501333333333335</v>
      </c>
      <c r="O28" s="31">
        <v>30.334666666666667</v>
      </c>
      <c r="P28" s="31">
        <v>7.9442222222222227</v>
      </c>
      <c r="Q28" s="31">
        <v>18.2</v>
      </c>
      <c r="R28" s="31">
        <v>0</v>
      </c>
      <c r="S28" s="31">
        <v>0</v>
      </c>
      <c r="T28" s="31" t="str">
        <f>VLOOKUP(A28,Rankings!B:E,3,FALSE)</f>
        <v>AL</v>
      </c>
    </row>
    <row r="29" spans="1:20" ht="18.600000000000001" customHeight="1">
      <c r="A29" s="26" t="s">
        <v>151</v>
      </c>
      <c r="B29" s="27" t="s">
        <v>73</v>
      </c>
      <c r="C29" s="36" t="s">
        <v>31</v>
      </c>
      <c r="D29" s="31">
        <v>184.75944444444443</v>
      </c>
      <c r="E29" s="33">
        <v>3.2761512236632018</v>
      </c>
      <c r="F29" s="33">
        <v>1.1577444545008977</v>
      </c>
      <c r="G29" s="31">
        <v>168.96666666666667</v>
      </c>
      <c r="H29" s="31">
        <v>14.04788888888889</v>
      </c>
      <c r="I29" s="31">
        <v>0</v>
      </c>
      <c r="J29" s="31">
        <v>67.255542222222218</v>
      </c>
      <c r="K29" s="31">
        <v>170.62233333333333</v>
      </c>
      <c r="L29" s="31">
        <v>43.281888888888886</v>
      </c>
      <c r="M29" s="31">
        <v>17.366666666666667</v>
      </c>
      <c r="N29" s="31">
        <v>30.209777777777777</v>
      </c>
      <c r="O29" s="31">
        <v>30.209777777777777</v>
      </c>
      <c r="P29" s="31">
        <v>7.9961111111111114</v>
      </c>
      <c r="Q29" s="31">
        <v>21.6</v>
      </c>
      <c r="R29" s="31">
        <v>0</v>
      </c>
      <c r="S29" s="31">
        <v>0</v>
      </c>
      <c r="T29" s="31" t="str">
        <f>VLOOKUP(A29,Rankings!B:E,3,FALSE)</f>
        <v>NL</v>
      </c>
    </row>
    <row r="30" spans="1:20" ht="18.600000000000001" customHeight="1">
      <c r="A30" s="26" t="s">
        <v>163</v>
      </c>
      <c r="B30" s="27" t="s">
        <v>78</v>
      </c>
      <c r="C30" s="36" t="s">
        <v>31</v>
      </c>
      <c r="D30" s="31">
        <v>192.40333333333334</v>
      </c>
      <c r="E30" s="33">
        <v>3.2845709533791863</v>
      </c>
      <c r="F30" s="33">
        <v>1.2386191045431183</v>
      </c>
      <c r="G30" s="31">
        <v>181.10333333333332</v>
      </c>
      <c r="H30" s="31">
        <v>14.161666666666669</v>
      </c>
      <c r="I30" s="31">
        <v>0</v>
      </c>
      <c r="J30" s="31">
        <v>70.218044444444445</v>
      </c>
      <c r="K30" s="31">
        <v>170.57777777777778</v>
      </c>
      <c r="L30" s="31">
        <v>67.736666666666665</v>
      </c>
      <c r="M30" s="31">
        <v>14.466666666666667</v>
      </c>
      <c r="N30" s="31">
        <v>30.480000000000004</v>
      </c>
      <c r="O30" s="31">
        <v>30.480000000000004</v>
      </c>
      <c r="P30" s="31">
        <v>7.9533333333333331</v>
      </c>
      <c r="Q30" s="31">
        <v>22.2</v>
      </c>
      <c r="R30" s="31">
        <v>0</v>
      </c>
      <c r="S30" s="31">
        <v>0</v>
      </c>
      <c r="T30" s="31" t="str">
        <f>VLOOKUP(A30,Rankings!B:E,3,FALSE)</f>
        <v>AL</v>
      </c>
    </row>
    <row r="31" spans="1:20" ht="18.600000000000001" customHeight="1">
      <c r="A31" s="26" t="s">
        <v>277</v>
      </c>
      <c r="B31" s="27" t="s">
        <v>114</v>
      </c>
      <c r="C31" s="36" t="s">
        <v>31</v>
      </c>
      <c r="D31" s="31">
        <v>177.70000000000002</v>
      </c>
      <c r="E31" s="33">
        <v>3.8819358469330325</v>
      </c>
      <c r="F31" s="33">
        <v>1.1963859188394921</v>
      </c>
      <c r="G31" s="31">
        <v>190</v>
      </c>
      <c r="H31" s="31">
        <v>10.995555555555555</v>
      </c>
      <c r="I31" s="31">
        <v>0</v>
      </c>
      <c r="J31" s="31">
        <v>76.646666666666661</v>
      </c>
      <c r="K31" s="31">
        <v>155.36444444444444</v>
      </c>
      <c r="L31" s="31">
        <v>57.233333333333327</v>
      </c>
      <c r="M31" s="31">
        <v>23.666666666666668</v>
      </c>
      <c r="N31" s="31">
        <v>30.331111111111113</v>
      </c>
      <c r="O31" s="31">
        <v>30.02</v>
      </c>
      <c r="P31" s="31">
        <v>9.6311111111111121</v>
      </c>
      <c r="Q31" s="31">
        <v>15</v>
      </c>
      <c r="R31" s="31">
        <v>0</v>
      </c>
      <c r="S31" s="31">
        <v>0</v>
      </c>
      <c r="T31" s="31" t="str">
        <f>VLOOKUP(A31,Rankings!B:E,3,FALSE)</f>
        <v>AL</v>
      </c>
    </row>
    <row r="32" spans="1:20" ht="18.600000000000001" customHeight="1">
      <c r="A32" s="26" t="s">
        <v>224</v>
      </c>
      <c r="B32" s="27" t="s">
        <v>63</v>
      </c>
      <c r="C32" s="36" t="s">
        <v>31</v>
      </c>
      <c r="D32" s="31">
        <v>147.17555555555555</v>
      </c>
      <c r="E32" s="33">
        <v>3.5626840205952082</v>
      </c>
      <c r="F32" s="33">
        <v>1.2075299340168206</v>
      </c>
      <c r="G32" s="31">
        <v>182.17666666666665</v>
      </c>
      <c r="H32" s="31">
        <v>10.488888888888889</v>
      </c>
      <c r="I32" s="31">
        <v>0</v>
      </c>
      <c r="J32" s="31">
        <v>58.26</v>
      </c>
      <c r="K32" s="31">
        <v>118.25333333333334</v>
      </c>
      <c r="L32" s="31">
        <v>59.465555555555561</v>
      </c>
      <c r="M32" s="31">
        <v>17.066666666666666</v>
      </c>
      <c r="N32" s="31">
        <v>27.45</v>
      </c>
      <c r="O32" s="31">
        <v>27.158333333333331</v>
      </c>
      <c r="P32" s="31">
        <v>7.7016666666666671</v>
      </c>
      <c r="Q32" s="31">
        <v>15</v>
      </c>
      <c r="R32" s="31">
        <v>0</v>
      </c>
      <c r="S32" s="31">
        <v>0</v>
      </c>
      <c r="T32" s="31" t="str">
        <f>VLOOKUP(A32,Rankings!B:E,3,FALSE)</f>
        <v>NL</v>
      </c>
    </row>
    <row r="33" spans="1:20" ht="18.600000000000001" customHeight="1">
      <c r="A33" s="26" t="s">
        <v>353</v>
      </c>
      <c r="B33" s="27" t="s">
        <v>84</v>
      </c>
      <c r="C33" s="36" t="s">
        <v>31</v>
      </c>
      <c r="D33" s="31">
        <v>170.76666666666665</v>
      </c>
      <c r="E33" s="33">
        <v>3.6412826468865904</v>
      </c>
      <c r="F33" s="33">
        <v>1.1594768690220576</v>
      </c>
      <c r="G33" s="31">
        <v>179</v>
      </c>
      <c r="H33" s="31">
        <v>9.2200000000000006</v>
      </c>
      <c r="I33" s="31">
        <v>0</v>
      </c>
      <c r="J33" s="31">
        <v>69.089966666666669</v>
      </c>
      <c r="K33" s="31">
        <v>142.66666666666666</v>
      </c>
      <c r="L33" s="31">
        <v>55.333333333333336</v>
      </c>
      <c r="M33" s="31">
        <v>20.5</v>
      </c>
      <c r="N33" s="31">
        <v>28.67</v>
      </c>
      <c r="O33" s="31">
        <v>28.33666666666667</v>
      </c>
      <c r="P33" s="31">
        <v>8.65</v>
      </c>
      <c r="Q33" s="31">
        <v>12</v>
      </c>
      <c r="R33" s="31">
        <v>0</v>
      </c>
      <c r="S33" s="31">
        <v>0</v>
      </c>
      <c r="T33" s="31" t="str">
        <f>VLOOKUP(A33,Rankings!B:E,3,FALSE)</f>
        <v>AL</v>
      </c>
    </row>
    <row r="34" spans="1:20" ht="18.600000000000001" customHeight="1">
      <c r="A34" s="26" t="s">
        <v>201</v>
      </c>
      <c r="B34" s="27" t="s">
        <v>156</v>
      </c>
      <c r="C34" s="36" t="s">
        <v>31</v>
      </c>
      <c r="D34" s="31">
        <v>166.03333333333333</v>
      </c>
      <c r="E34" s="33">
        <v>3.7876731580004015</v>
      </c>
      <c r="F34" s="33">
        <v>1.1239108612728368</v>
      </c>
      <c r="G34" s="31">
        <v>172.33333333333334</v>
      </c>
      <c r="H34" s="31">
        <v>11.03</v>
      </c>
      <c r="I34" s="31">
        <v>0</v>
      </c>
      <c r="J34" s="31">
        <v>69.87555555555555</v>
      </c>
      <c r="K34" s="31">
        <v>139.05111111111111</v>
      </c>
      <c r="L34" s="31">
        <v>47.55555555555555</v>
      </c>
      <c r="M34" s="31">
        <v>23.033333333333331</v>
      </c>
      <c r="N34" s="31">
        <v>29.146666666666665</v>
      </c>
      <c r="O34" s="31">
        <v>29.146666666666665</v>
      </c>
      <c r="P34" s="31">
        <v>9.2983333333333338</v>
      </c>
      <c r="Q34" s="31">
        <v>14</v>
      </c>
      <c r="R34" s="31">
        <v>0</v>
      </c>
      <c r="S34" s="31">
        <v>0</v>
      </c>
      <c r="T34" s="31" t="str">
        <f>VLOOKUP(A34,Rankings!B:E,3,FALSE)</f>
        <v>AL</v>
      </c>
    </row>
    <row r="35" spans="1:20" ht="18.600000000000001" customHeight="1">
      <c r="A35" s="26" t="s">
        <v>170</v>
      </c>
      <c r="B35" s="27" t="s">
        <v>68</v>
      </c>
      <c r="C35" s="36" t="s">
        <v>31</v>
      </c>
      <c r="D35" s="31">
        <v>161.17855555555556</v>
      </c>
      <c r="E35" s="33">
        <v>3.5991202303587388</v>
      </c>
      <c r="F35" s="33">
        <v>1.1307583652912196</v>
      </c>
      <c r="G35" s="31">
        <v>165.36011111111111</v>
      </c>
      <c r="H35" s="31">
        <v>11.052</v>
      </c>
      <c r="I35" s="31">
        <v>0</v>
      </c>
      <c r="J35" s="31">
        <v>64.455666666666659</v>
      </c>
      <c r="K35" s="31">
        <v>137.75055555555556</v>
      </c>
      <c r="L35" s="31">
        <v>44.503444444444447</v>
      </c>
      <c r="M35" s="31">
        <v>22.86</v>
      </c>
      <c r="N35" s="31">
        <v>28.334888888888887</v>
      </c>
      <c r="O35" s="31">
        <v>28.334888888888887</v>
      </c>
      <c r="P35" s="31">
        <v>7.5917777777777777</v>
      </c>
      <c r="Q35" s="31">
        <v>18.2</v>
      </c>
      <c r="R35" s="31">
        <v>0</v>
      </c>
      <c r="S35" s="31">
        <v>0</v>
      </c>
      <c r="T35" s="31" t="str">
        <f>VLOOKUP(A35,Rankings!B:E,3,FALSE)</f>
        <v>AL</v>
      </c>
    </row>
    <row r="36" spans="1:20" ht="18.600000000000001" customHeight="1">
      <c r="A36" s="26" t="s">
        <v>171</v>
      </c>
      <c r="B36" s="27" t="s">
        <v>63</v>
      </c>
      <c r="C36" s="36" t="s">
        <v>31</v>
      </c>
      <c r="D36" s="31">
        <v>164.13716666666667</v>
      </c>
      <c r="E36" s="33">
        <v>3.4929748797499651</v>
      </c>
      <c r="F36" s="33">
        <v>1.1392300951541545</v>
      </c>
      <c r="G36" s="31">
        <v>162.97266666666664</v>
      </c>
      <c r="H36" s="31">
        <v>10.809666666666667</v>
      </c>
      <c r="I36" s="31">
        <v>0</v>
      </c>
      <c r="J36" s="31">
        <v>63.703000000000003</v>
      </c>
      <c r="K36" s="31">
        <v>143.48466666666667</v>
      </c>
      <c r="L36" s="31">
        <v>43.505333333333333</v>
      </c>
      <c r="M36" s="31">
        <v>19.12</v>
      </c>
      <c r="N36" s="31">
        <v>27.661333333333335</v>
      </c>
      <c r="O36" s="31">
        <v>27.65133333333333</v>
      </c>
      <c r="P36" s="31">
        <v>7.1903333333333341</v>
      </c>
      <c r="Q36" s="31">
        <v>16.2</v>
      </c>
      <c r="R36" s="31">
        <v>0</v>
      </c>
      <c r="S36" s="31">
        <v>0</v>
      </c>
      <c r="T36" s="31" t="str">
        <f>VLOOKUP(A36,Rankings!B:E,3,FALSE)</f>
        <v>NL</v>
      </c>
    </row>
    <row r="37" spans="1:20" ht="18.600000000000001" customHeight="1">
      <c r="A37" s="26" t="s">
        <v>193</v>
      </c>
      <c r="B37" s="27" t="s">
        <v>101</v>
      </c>
      <c r="C37" s="36" t="s">
        <v>31</v>
      </c>
      <c r="D37" s="31">
        <v>158.47243333333333</v>
      </c>
      <c r="E37" s="33">
        <v>3.4825350276483422</v>
      </c>
      <c r="F37" s="33">
        <v>1.1399376225195563</v>
      </c>
      <c r="G37" s="31">
        <v>162.87710000000001</v>
      </c>
      <c r="H37" s="31">
        <v>10.454466666666667</v>
      </c>
      <c r="I37" s="31">
        <v>0</v>
      </c>
      <c r="J37" s="31">
        <v>61.32064444444444</v>
      </c>
      <c r="K37" s="31">
        <v>137.74322222222222</v>
      </c>
      <c r="L37" s="31">
        <v>42.905466666666662</v>
      </c>
      <c r="M37" s="31">
        <v>20.839333333333332</v>
      </c>
      <c r="N37" s="31">
        <v>30.930966666666666</v>
      </c>
      <c r="O37" s="31">
        <v>27.98</v>
      </c>
      <c r="P37" s="31">
        <v>8.3929777777777783</v>
      </c>
      <c r="Q37" s="31">
        <v>20.235133333333334</v>
      </c>
      <c r="R37" s="31">
        <v>0</v>
      </c>
      <c r="S37" s="31">
        <v>0</v>
      </c>
      <c r="T37" s="31" t="str">
        <f>VLOOKUP(A37,Rankings!B:E,3,FALSE)</f>
        <v>AL</v>
      </c>
    </row>
    <row r="38" spans="1:20" ht="18.600000000000001" customHeight="1">
      <c r="A38" s="26" t="s">
        <v>240</v>
      </c>
      <c r="B38" s="27" t="s">
        <v>73</v>
      </c>
      <c r="C38" s="36" t="s">
        <v>31</v>
      </c>
      <c r="D38" s="31">
        <v>166.535</v>
      </c>
      <c r="E38" s="33">
        <v>3.8014831717056472</v>
      </c>
      <c r="F38" s="33">
        <v>1.2172216050680036</v>
      </c>
      <c r="G38" s="31">
        <v>184.07833333333335</v>
      </c>
      <c r="H38" s="31">
        <v>10.817777777777778</v>
      </c>
      <c r="I38" s="31">
        <v>0</v>
      </c>
      <c r="J38" s="31">
        <v>70.342222222222219</v>
      </c>
      <c r="K38" s="31">
        <v>145.42555555555555</v>
      </c>
      <c r="L38" s="31">
        <v>57.284444444444439</v>
      </c>
      <c r="M38" s="31">
        <v>20.033333333333335</v>
      </c>
      <c r="N38" s="31">
        <v>29.808888888888887</v>
      </c>
      <c r="O38" s="31">
        <v>29.463333333333335</v>
      </c>
      <c r="P38" s="31">
        <v>7.5266666666666664</v>
      </c>
      <c r="Q38" s="31">
        <v>15</v>
      </c>
      <c r="R38" s="31">
        <v>0</v>
      </c>
      <c r="S38" s="31">
        <v>0</v>
      </c>
      <c r="T38" s="31" t="str">
        <f>VLOOKUP(A38,Rankings!B:E,3,FALSE)</f>
        <v>NL</v>
      </c>
    </row>
    <row r="39" spans="1:20" ht="18.600000000000001" customHeight="1">
      <c r="A39" s="26" t="s">
        <v>154</v>
      </c>
      <c r="B39" s="27" t="s">
        <v>81</v>
      </c>
      <c r="C39" s="36" t="s">
        <v>31</v>
      </c>
      <c r="D39" s="31">
        <v>138.39000000000001</v>
      </c>
      <c r="E39" s="33">
        <v>3.3048991979189246</v>
      </c>
      <c r="F39" s="33">
        <v>1.0982569389246171</v>
      </c>
      <c r="G39" s="31">
        <v>145.82166666666669</v>
      </c>
      <c r="H39" s="31">
        <v>10.534444444444444</v>
      </c>
      <c r="I39" s="31">
        <v>0</v>
      </c>
      <c r="J39" s="31">
        <v>50.818333333333335</v>
      </c>
      <c r="K39" s="31">
        <v>122.64222222222223</v>
      </c>
      <c r="L39" s="31">
        <v>29.345555555555553</v>
      </c>
      <c r="M39" s="31">
        <v>16.766666666666666</v>
      </c>
      <c r="N39" s="31">
        <v>24.169999999999998</v>
      </c>
      <c r="O39" s="31">
        <v>24.169999999999998</v>
      </c>
      <c r="P39" s="31">
        <v>5.9933333333333332</v>
      </c>
      <c r="Q39" s="31">
        <v>17</v>
      </c>
      <c r="R39" s="31">
        <v>0</v>
      </c>
      <c r="S39" s="31">
        <v>0</v>
      </c>
      <c r="T39" s="31" t="str">
        <f>VLOOKUP(A39,Rankings!B:E,3,FALSE)</f>
        <v>NL</v>
      </c>
    </row>
    <row r="40" spans="1:20" ht="18.600000000000001" customHeight="1">
      <c r="A40" s="26" t="s">
        <v>231</v>
      </c>
      <c r="B40" s="27" t="s">
        <v>223</v>
      </c>
      <c r="C40" s="36" t="s">
        <v>31</v>
      </c>
      <c r="D40" s="31">
        <v>163.10613333333333</v>
      </c>
      <c r="E40" s="33">
        <v>3.8219041017055559</v>
      </c>
      <c r="F40" s="33">
        <v>1.2283077848697288</v>
      </c>
      <c r="G40" s="31">
        <v>189.92160000000001</v>
      </c>
      <c r="H40" s="31">
        <v>8.9408000000000012</v>
      </c>
      <c r="I40" s="31">
        <v>0</v>
      </c>
      <c r="J40" s="31">
        <v>69.263999999999996</v>
      </c>
      <c r="K40" s="31">
        <v>143.7328</v>
      </c>
      <c r="L40" s="31">
        <v>56.611733333333326</v>
      </c>
      <c r="M40" s="31">
        <v>19.781333333333333</v>
      </c>
      <c r="N40" s="31">
        <v>29.616533333333333</v>
      </c>
      <c r="O40" s="31">
        <v>28.143111111111111</v>
      </c>
      <c r="P40" s="31">
        <v>9.4944000000000006</v>
      </c>
      <c r="Q40" s="31">
        <v>19.600000000000001</v>
      </c>
      <c r="R40" s="31">
        <v>0</v>
      </c>
      <c r="S40" s="31">
        <v>0</v>
      </c>
      <c r="T40" s="31" t="str">
        <f>VLOOKUP(A40,Rankings!B:E,3,FALSE)</f>
        <v>NL</v>
      </c>
    </row>
    <row r="41" spans="1:20" ht="18.600000000000001" customHeight="1">
      <c r="A41" s="26" t="s">
        <v>153</v>
      </c>
      <c r="B41" s="27" t="s">
        <v>68</v>
      </c>
      <c r="C41" s="36" t="s">
        <v>31</v>
      </c>
      <c r="D41" s="31">
        <v>149.78673333333333</v>
      </c>
      <c r="E41" s="33">
        <v>3.5138812916675755</v>
      </c>
      <c r="F41" s="33">
        <v>1.1416742441067693</v>
      </c>
      <c r="G41" s="31">
        <v>160.0283</v>
      </c>
      <c r="H41" s="31">
        <v>10.280700000000001</v>
      </c>
      <c r="I41" s="31">
        <v>0</v>
      </c>
      <c r="J41" s="31">
        <v>58.481422222222221</v>
      </c>
      <c r="K41" s="31">
        <v>126.8121</v>
      </c>
      <c r="L41" s="31">
        <v>44.195555555555558</v>
      </c>
      <c r="M41" s="31">
        <v>18.526666666666667</v>
      </c>
      <c r="N41" s="31">
        <v>28.532722222222223</v>
      </c>
      <c r="O41" s="31">
        <v>27.286666666666665</v>
      </c>
      <c r="P41" s="31">
        <v>6.6384666666666661</v>
      </c>
      <c r="Q41" s="31">
        <v>20.621300000000002</v>
      </c>
      <c r="R41" s="31">
        <v>1.2675000000000001</v>
      </c>
      <c r="S41" s="31">
        <v>0</v>
      </c>
      <c r="T41" s="31" t="str">
        <f>VLOOKUP(A41,Rankings!B:E,3,FALSE)</f>
        <v>AL</v>
      </c>
    </row>
    <row r="42" spans="1:20" ht="18.600000000000001" customHeight="1">
      <c r="A42" s="26" t="s">
        <v>219</v>
      </c>
      <c r="B42" s="27" t="s">
        <v>217</v>
      </c>
      <c r="C42" s="36" t="s">
        <v>31</v>
      </c>
      <c r="D42" s="31">
        <v>189.37</v>
      </c>
      <c r="E42" s="33">
        <v>3.5409188361408881</v>
      </c>
      <c r="F42" s="33">
        <v>1.2331884083481484</v>
      </c>
      <c r="G42" s="31">
        <v>164.76111111111112</v>
      </c>
      <c r="H42" s="31">
        <v>12.997777777777777</v>
      </c>
      <c r="I42" s="31">
        <v>0</v>
      </c>
      <c r="J42" s="31">
        <v>74.504866666666672</v>
      </c>
      <c r="K42" s="31">
        <v>182.02555555555554</v>
      </c>
      <c r="L42" s="31">
        <v>51.50333333333333</v>
      </c>
      <c r="M42" s="31">
        <v>14.299999999999999</v>
      </c>
      <c r="N42" s="31">
        <v>31.975555555555555</v>
      </c>
      <c r="O42" s="31">
        <v>31.953333333333333</v>
      </c>
      <c r="P42" s="31">
        <v>9.5355555555555558</v>
      </c>
      <c r="Q42" s="31">
        <v>18</v>
      </c>
      <c r="R42" s="31">
        <v>0</v>
      </c>
      <c r="S42" s="31">
        <v>0</v>
      </c>
      <c r="T42" s="31" t="str">
        <f>VLOOKUP(A42,Rankings!B:E,3,FALSE)</f>
        <v>NL</v>
      </c>
    </row>
    <row r="43" spans="1:20" ht="18.600000000000001" customHeight="1">
      <c r="A43" s="26" t="s">
        <v>748</v>
      </c>
      <c r="B43" s="27" t="s">
        <v>120</v>
      </c>
      <c r="C43" s="36" t="s">
        <v>31</v>
      </c>
      <c r="D43" s="31">
        <v>134.68058581333332</v>
      </c>
      <c r="E43" s="33">
        <v>3.5276694838445253</v>
      </c>
      <c r="F43" s="33">
        <v>1.0580066618571728</v>
      </c>
      <c r="G43" s="31">
        <v>151.86666666666665</v>
      </c>
      <c r="H43" s="31">
        <v>7.3646724266666652</v>
      </c>
      <c r="I43" s="31">
        <v>0</v>
      </c>
      <c r="J43" s="31">
        <v>52.789843626666652</v>
      </c>
      <c r="K43" s="31">
        <v>112.45581397333331</v>
      </c>
      <c r="L43" s="31">
        <v>30.03714304</v>
      </c>
      <c r="M43" s="31">
        <v>17.300785066666663</v>
      </c>
      <c r="N43" s="31">
        <v>26.130031786666667</v>
      </c>
      <c r="O43" s="31">
        <v>16.237666666666666</v>
      </c>
      <c r="P43" s="31">
        <v>6.8421286399999994</v>
      </c>
      <c r="Q43" s="31">
        <v>13.3</v>
      </c>
      <c r="R43" s="31">
        <v>0</v>
      </c>
      <c r="S43" s="31">
        <v>0</v>
      </c>
      <c r="T43" s="31" t="str">
        <f>VLOOKUP(A43,Rankings!B:E,3,FALSE)</f>
        <v>AL</v>
      </c>
    </row>
    <row r="44" spans="1:20" ht="18.600000000000001" customHeight="1">
      <c r="A44" s="26" t="s">
        <v>225</v>
      </c>
      <c r="B44" s="27" t="s">
        <v>71</v>
      </c>
      <c r="C44" s="36" t="s">
        <v>31</v>
      </c>
      <c r="D44" s="31">
        <v>177.7488888888889</v>
      </c>
      <c r="E44" s="33">
        <v>3.7851544626001723</v>
      </c>
      <c r="F44" s="33">
        <v>1.1900246290022127</v>
      </c>
      <c r="G44" s="31">
        <v>170.67999999999998</v>
      </c>
      <c r="H44" s="31">
        <v>11</v>
      </c>
      <c r="I44" s="31">
        <v>0</v>
      </c>
      <c r="J44" s="31">
        <v>74.75633333333333</v>
      </c>
      <c r="K44" s="31">
        <v>163.50444444444443</v>
      </c>
      <c r="L44" s="31">
        <v>48.021111111111111</v>
      </c>
      <c r="M44" s="31">
        <v>22.599999999999998</v>
      </c>
      <c r="N44" s="31">
        <v>30.986666666666668</v>
      </c>
      <c r="O44" s="31">
        <v>30.986666666666668</v>
      </c>
      <c r="P44" s="31">
        <v>8.9711111111111119</v>
      </c>
      <c r="Q44" s="31">
        <v>16</v>
      </c>
      <c r="R44" s="31">
        <v>0</v>
      </c>
      <c r="S44" s="31">
        <v>0</v>
      </c>
      <c r="T44" s="31" t="str">
        <f>VLOOKUP(A44,Rankings!B:E,3,FALSE)</f>
        <v>AL</v>
      </c>
    </row>
    <row r="45" spans="1:20" ht="18.600000000000001" customHeight="1">
      <c r="A45" s="26" t="s">
        <v>244</v>
      </c>
      <c r="B45" s="27" t="s">
        <v>156</v>
      </c>
      <c r="C45" s="36" t="s">
        <v>31</v>
      </c>
      <c r="D45" s="31">
        <v>167.70666666666662</v>
      </c>
      <c r="E45" s="33">
        <v>3.6854515821275258</v>
      </c>
      <c r="F45" s="33">
        <v>1.1870262892881756</v>
      </c>
      <c r="G45" s="31">
        <v>165.73333333333332</v>
      </c>
      <c r="H45" s="31">
        <v>10.066666666666666</v>
      </c>
      <c r="I45" s="31">
        <v>0</v>
      </c>
      <c r="J45" s="31">
        <v>68.674977777777784</v>
      </c>
      <c r="K45" s="31">
        <v>151.94777777777779</v>
      </c>
      <c r="L45" s="31">
        <v>47.124444444444443</v>
      </c>
      <c r="M45" s="31">
        <v>20.033333333333335</v>
      </c>
      <c r="N45" s="31">
        <v>29.124444444444446</v>
      </c>
      <c r="O45" s="31">
        <v>29.124444444444446</v>
      </c>
      <c r="P45" s="31">
        <v>8.9933333333333341</v>
      </c>
      <c r="Q45" s="31">
        <v>16</v>
      </c>
      <c r="R45" s="31">
        <v>0</v>
      </c>
      <c r="S45" s="31">
        <v>0</v>
      </c>
      <c r="T45" s="31" t="str">
        <f>VLOOKUP(A45,Rankings!B:E,3,FALSE)</f>
        <v>AL</v>
      </c>
    </row>
    <row r="46" spans="1:20" ht="18.600000000000001" customHeight="1">
      <c r="A46" s="26" t="s">
        <v>167</v>
      </c>
      <c r="B46" s="27" t="s">
        <v>101</v>
      </c>
      <c r="C46" s="36" t="s">
        <v>31</v>
      </c>
      <c r="D46" s="31">
        <v>119.11444444444443</v>
      </c>
      <c r="E46" s="33">
        <v>3.3497196906802986</v>
      </c>
      <c r="F46" s="33">
        <v>1.1158829510368182</v>
      </c>
      <c r="G46" s="31">
        <v>147.33333333333334</v>
      </c>
      <c r="H46" s="31">
        <v>7.4088888888888889</v>
      </c>
      <c r="I46" s="31">
        <v>0</v>
      </c>
      <c r="J46" s="31">
        <v>44.333333333333336</v>
      </c>
      <c r="K46" s="31">
        <v>93.666666666666671</v>
      </c>
      <c r="L46" s="31">
        <v>39.251111111111108</v>
      </c>
      <c r="M46" s="31">
        <v>14.433333333333332</v>
      </c>
      <c r="N46" s="31">
        <v>21.398888888888887</v>
      </c>
      <c r="O46" s="31">
        <v>21.398888888888887</v>
      </c>
      <c r="P46" s="31">
        <v>5.0888888888888895</v>
      </c>
      <c r="Q46" s="31">
        <v>16</v>
      </c>
      <c r="R46" s="31">
        <v>0</v>
      </c>
      <c r="S46" s="31">
        <v>0</v>
      </c>
      <c r="T46" s="31" t="str">
        <f>VLOOKUP(A46,Rankings!B:E,3,FALSE)</f>
        <v>AL</v>
      </c>
    </row>
    <row r="47" spans="1:20" ht="18.600000000000001" customHeight="1">
      <c r="A47" s="26" t="s">
        <v>207</v>
      </c>
      <c r="B47" s="27" t="s">
        <v>94</v>
      </c>
      <c r="C47" s="36" t="s">
        <v>31</v>
      </c>
      <c r="D47" s="31">
        <v>178.70000000000002</v>
      </c>
      <c r="E47" s="33">
        <v>3.8044420817011746</v>
      </c>
      <c r="F47" s="33">
        <v>1.1923770440838151</v>
      </c>
      <c r="G47" s="31">
        <v>158.26500000000001</v>
      </c>
      <c r="H47" s="31">
        <v>12.455555555555556</v>
      </c>
      <c r="I47" s="31">
        <v>0</v>
      </c>
      <c r="J47" s="31">
        <v>75.539311111111104</v>
      </c>
      <c r="K47" s="31">
        <v>164.45333333333335</v>
      </c>
      <c r="L47" s="31">
        <v>48.624444444444443</v>
      </c>
      <c r="M47" s="31">
        <v>22.3</v>
      </c>
      <c r="N47" s="31">
        <v>29.997777777777781</v>
      </c>
      <c r="O47" s="31">
        <v>29.997777777777781</v>
      </c>
      <c r="P47" s="31">
        <v>9.3016666666666676</v>
      </c>
      <c r="Q47" s="31">
        <v>15</v>
      </c>
      <c r="R47" s="31">
        <v>0</v>
      </c>
      <c r="S47" s="31">
        <v>0</v>
      </c>
      <c r="T47" s="31" t="str">
        <f>VLOOKUP(A47,Rankings!B:E,3,FALSE)</f>
        <v>AL</v>
      </c>
    </row>
    <row r="48" spans="1:20" ht="18.600000000000001" customHeight="1">
      <c r="A48" s="26" t="s">
        <v>214</v>
      </c>
      <c r="B48" s="27" t="s">
        <v>114</v>
      </c>
      <c r="C48" s="36" t="s">
        <v>31</v>
      </c>
      <c r="D48" s="31">
        <v>168.57777777777778</v>
      </c>
      <c r="E48" s="33">
        <v>3.8925652517795943</v>
      </c>
      <c r="F48" s="33">
        <v>1.1884590034273663</v>
      </c>
      <c r="G48" s="31">
        <v>164.79</v>
      </c>
      <c r="H48" s="31">
        <v>10.616666666666667</v>
      </c>
      <c r="I48" s="31">
        <v>0</v>
      </c>
      <c r="J48" s="31">
        <v>72.911111111111111</v>
      </c>
      <c r="K48" s="31">
        <v>157.70111111111112</v>
      </c>
      <c r="L48" s="31">
        <v>42.646666666666668</v>
      </c>
      <c r="M48" s="31">
        <v>24.133333333333336</v>
      </c>
      <c r="N48" s="31">
        <v>28.997777777777781</v>
      </c>
      <c r="O48" s="31">
        <v>28.664444444444445</v>
      </c>
      <c r="P48" s="31">
        <v>9.3844444444444441</v>
      </c>
      <c r="Q48" s="31">
        <v>16</v>
      </c>
      <c r="R48" s="31">
        <v>0</v>
      </c>
      <c r="S48" s="31">
        <v>0</v>
      </c>
      <c r="T48" s="31" t="str">
        <f>VLOOKUP(A48,Rankings!B:E,3,FALSE)</f>
        <v>AL</v>
      </c>
    </row>
    <row r="49" spans="1:20" ht="18.600000000000001" customHeight="1">
      <c r="A49" s="26" t="s">
        <v>253</v>
      </c>
      <c r="B49" s="27" t="s">
        <v>81</v>
      </c>
      <c r="C49" s="36" t="s">
        <v>31</v>
      </c>
      <c r="D49" s="31">
        <v>132.56666666666666</v>
      </c>
      <c r="E49" s="33">
        <v>3.366174251948705</v>
      </c>
      <c r="F49" s="33">
        <v>1.1144078451093788</v>
      </c>
      <c r="G49" s="31">
        <v>137.53333333333333</v>
      </c>
      <c r="H49" s="31">
        <v>8.5883333333333329</v>
      </c>
      <c r="I49" s="31">
        <v>0.32500000000000001</v>
      </c>
      <c r="J49" s="31">
        <v>49.582500000000003</v>
      </c>
      <c r="K49" s="31">
        <v>107.46666666666665</v>
      </c>
      <c r="L49" s="31">
        <v>40.266666666666666</v>
      </c>
      <c r="M49" s="31">
        <v>14.266666666666666</v>
      </c>
      <c r="N49" s="31">
        <v>29.14833333333333</v>
      </c>
      <c r="O49" s="31">
        <v>22.665000000000003</v>
      </c>
      <c r="P49" s="31">
        <v>5.9950000000000001</v>
      </c>
      <c r="Q49" s="31">
        <v>9</v>
      </c>
      <c r="R49" s="31">
        <v>0</v>
      </c>
      <c r="S49" s="31">
        <v>0</v>
      </c>
      <c r="T49" s="31" t="str">
        <f>VLOOKUP(A49,Rankings!B:E,3,FALSE)</f>
        <v>NL</v>
      </c>
    </row>
    <row r="50" spans="1:20" ht="18.600000000000001" customHeight="1">
      <c r="A50" s="26" t="s">
        <v>759</v>
      </c>
      <c r="B50" s="27" t="s">
        <v>73</v>
      </c>
      <c r="C50" s="36" t="s">
        <v>31</v>
      </c>
      <c r="D50" s="31">
        <v>147.1</v>
      </c>
      <c r="E50" s="33">
        <v>3.5893949694085658</v>
      </c>
      <c r="F50" s="33">
        <v>1.1307500566508046</v>
      </c>
      <c r="G50" s="31">
        <v>158.66666666666666</v>
      </c>
      <c r="H50" s="31">
        <v>5.3999999999999995</v>
      </c>
      <c r="I50" s="31">
        <v>0</v>
      </c>
      <c r="J50" s="31">
        <v>58.666666666666664</v>
      </c>
      <c r="K50" s="31">
        <v>118</v>
      </c>
      <c r="L50" s="31">
        <v>48.333333333333336</v>
      </c>
      <c r="M50" s="31">
        <v>15.799999999999999</v>
      </c>
      <c r="N50" s="31">
        <v>60.706666666666671</v>
      </c>
      <c r="O50" s="31">
        <v>11.408888888888889</v>
      </c>
      <c r="P50" s="31">
        <v>6.0666666666666664</v>
      </c>
      <c r="Q50" s="31">
        <v>4</v>
      </c>
      <c r="R50" s="31">
        <v>4</v>
      </c>
      <c r="S50" s="31">
        <v>0</v>
      </c>
      <c r="T50" s="31" t="str">
        <f>VLOOKUP(A50,Rankings!B:E,3,FALSE)</f>
        <v>NL</v>
      </c>
    </row>
    <row r="51" spans="1:20" ht="18.600000000000001" customHeight="1">
      <c r="A51" s="26" t="s">
        <v>750</v>
      </c>
      <c r="B51" s="27" t="s">
        <v>78</v>
      </c>
      <c r="C51" s="36" t="s">
        <v>31</v>
      </c>
      <c r="D51" s="31">
        <v>159.70666666666668</v>
      </c>
      <c r="E51" s="33">
        <v>3.8606278176657201</v>
      </c>
      <c r="F51" s="33">
        <v>1.199412812378249</v>
      </c>
      <c r="G51" s="31">
        <v>160.06666666666666</v>
      </c>
      <c r="H51" s="31">
        <v>11.558666666666667</v>
      </c>
      <c r="I51" s="31">
        <v>0</v>
      </c>
      <c r="J51" s="31">
        <v>68.507555555555555</v>
      </c>
      <c r="K51" s="31">
        <v>141.80488888888888</v>
      </c>
      <c r="L51" s="31">
        <v>49.749333333333333</v>
      </c>
      <c r="M51" s="31">
        <v>22.8</v>
      </c>
      <c r="N51" s="31">
        <v>28.294222222222221</v>
      </c>
      <c r="O51" s="31">
        <v>27.99422222222222</v>
      </c>
      <c r="P51" s="31">
        <v>8.2916666666666661</v>
      </c>
      <c r="Q51" s="31">
        <v>13</v>
      </c>
      <c r="R51" s="31">
        <v>0</v>
      </c>
      <c r="S51" s="31">
        <v>0</v>
      </c>
      <c r="T51" s="31" t="str">
        <f>VLOOKUP(A51,Rankings!B:E,3,FALSE)</f>
        <v>AL</v>
      </c>
    </row>
    <row r="52" spans="1:20" ht="18.600000000000001" customHeight="1">
      <c r="A52" s="26" t="s">
        <v>232</v>
      </c>
      <c r="B52" s="27" t="s">
        <v>123</v>
      </c>
      <c r="C52" s="36" t="s">
        <v>31</v>
      </c>
      <c r="D52" s="31">
        <v>172.24833333333333</v>
      </c>
      <c r="E52" s="33">
        <v>3.6539035694588242</v>
      </c>
      <c r="F52" s="33">
        <v>1.2018177889158741</v>
      </c>
      <c r="G52" s="31">
        <v>153.97999999999999</v>
      </c>
      <c r="H52" s="31">
        <v>10.705555555555556</v>
      </c>
      <c r="I52" s="31">
        <v>0</v>
      </c>
      <c r="J52" s="31">
        <v>69.930977777777784</v>
      </c>
      <c r="K52" s="31">
        <v>162.2488888888889</v>
      </c>
      <c r="L52" s="31">
        <v>44.762222222222221</v>
      </c>
      <c r="M52" s="31">
        <v>20</v>
      </c>
      <c r="N52" s="31">
        <v>30.997777777777781</v>
      </c>
      <c r="O52" s="31">
        <v>30.997777777777781</v>
      </c>
      <c r="P52" s="31">
        <v>7.9833333333333343</v>
      </c>
      <c r="Q52" s="31">
        <v>16</v>
      </c>
      <c r="R52" s="31">
        <v>0</v>
      </c>
      <c r="S52" s="31">
        <v>0</v>
      </c>
      <c r="T52" s="31" t="str">
        <f>VLOOKUP(A52,Rankings!B:E,3,FALSE)</f>
        <v>NL</v>
      </c>
    </row>
    <row r="53" spans="1:20" ht="18.600000000000001" customHeight="1">
      <c r="A53" s="26" t="s">
        <v>296</v>
      </c>
      <c r="B53" s="27" t="s">
        <v>95</v>
      </c>
      <c r="C53" s="36" t="s">
        <v>31</v>
      </c>
      <c r="D53" s="31">
        <v>157.352</v>
      </c>
      <c r="E53" s="33">
        <v>3.8440884132391071</v>
      </c>
      <c r="F53" s="33">
        <v>1.2430686189774094</v>
      </c>
      <c r="G53" s="31">
        <v>165.82333333333332</v>
      </c>
      <c r="H53" s="31">
        <v>10.503</v>
      </c>
      <c r="I53" s="31">
        <v>0</v>
      </c>
      <c r="J53" s="31">
        <v>67.208333333333329</v>
      </c>
      <c r="K53" s="31">
        <v>136.345</v>
      </c>
      <c r="L53" s="31">
        <v>59.254333333333328</v>
      </c>
      <c r="M53" s="31">
        <v>18.866666666666667</v>
      </c>
      <c r="N53" s="31">
        <v>28.760999999999999</v>
      </c>
      <c r="O53" s="31">
        <v>27.157666666666668</v>
      </c>
      <c r="P53" s="31">
        <v>8.4243333333333332</v>
      </c>
      <c r="Q53" s="31">
        <v>18.2</v>
      </c>
      <c r="R53" s="31">
        <v>0</v>
      </c>
      <c r="S53" s="31">
        <v>0</v>
      </c>
      <c r="T53" s="31" t="str">
        <f>VLOOKUP(A53,Rankings!B:E,3,FALSE)</f>
        <v>NL</v>
      </c>
    </row>
    <row r="54" spans="1:20" ht="18.600000000000001" customHeight="1">
      <c r="A54" s="26" t="s">
        <v>273</v>
      </c>
      <c r="B54" s="27" t="s">
        <v>86</v>
      </c>
      <c r="C54" s="36" t="s">
        <v>31</v>
      </c>
      <c r="D54" s="31">
        <v>133.3077777777778</v>
      </c>
      <c r="E54" s="33">
        <v>3.8530384990456494</v>
      </c>
      <c r="F54" s="33">
        <v>1.1476949748701832</v>
      </c>
      <c r="G54" s="31">
        <v>158.6577777777778</v>
      </c>
      <c r="H54" s="31">
        <v>7.7822222222222228</v>
      </c>
      <c r="I54" s="31">
        <v>0</v>
      </c>
      <c r="J54" s="31">
        <v>57.071111111111115</v>
      </c>
      <c r="K54" s="31">
        <v>115.88</v>
      </c>
      <c r="L54" s="31">
        <v>37.116666666666667</v>
      </c>
      <c r="M54" s="31">
        <v>19.95</v>
      </c>
      <c r="N54" s="31">
        <v>25.941666666666666</v>
      </c>
      <c r="O54" s="31">
        <v>25.941666666666666</v>
      </c>
      <c r="P54" s="31">
        <v>7.9899999999999993</v>
      </c>
      <c r="Q54" s="31">
        <v>13</v>
      </c>
      <c r="R54" s="31">
        <v>0</v>
      </c>
      <c r="S54" s="31">
        <v>0</v>
      </c>
      <c r="T54" s="31" t="str">
        <f>VLOOKUP(A54,Rankings!B:E,3,FALSE)</f>
        <v>AL</v>
      </c>
    </row>
    <row r="55" spans="1:20" ht="18.600000000000001" customHeight="1">
      <c r="A55" s="26" t="s">
        <v>238</v>
      </c>
      <c r="B55" s="27" t="s">
        <v>103</v>
      </c>
      <c r="C55" s="36" t="s">
        <v>31</v>
      </c>
      <c r="D55" s="31">
        <v>130.55555555555554</v>
      </c>
      <c r="E55" s="33">
        <v>3.6282638297872349</v>
      </c>
      <c r="F55" s="33">
        <v>1.1689957446808512</v>
      </c>
      <c r="G55" s="31">
        <v>150.31888888888889</v>
      </c>
      <c r="H55" s="31">
        <v>8.7577777777777772</v>
      </c>
      <c r="I55" s="31">
        <v>0</v>
      </c>
      <c r="J55" s="31">
        <v>52.632222222222225</v>
      </c>
      <c r="K55" s="31">
        <v>115.67333333333335</v>
      </c>
      <c r="L55" s="31">
        <v>36.945555555555558</v>
      </c>
      <c r="M55" s="31">
        <v>15.299999999999999</v>
      </c>
      <c r="N55" s="31">
        <v>24.992222222222221</v>
      </c>
      <c r="O55" s="31">
        <v>24.825555555555553</v>
      </c>
      <c r="P55" s="31">
        <v>7.474444444444444</v>
      </c>
      <c r="Q55" s="31">
        <v>14</v>
      </c>
      <c r="R55" s="31">
        <v>0</v>
      </c>
      <c r="S55" s="31">
        <v>0</v>
      </c>
      <c r="T55" s="31" t="str">
        <f>VLOOKUP(A55,Rankings!B:E,3,FALSE)</f>
        <v>AL</v>
      </c>
    </row>
    <row r="56" spans="1:20" ht="18.600000000000001" customHeight="1">
      <c r="A56" s="26" t="s">
        <v>268</v>
      </c>
      <c r="B56" s="27" t="s">
        <v>117</v>
      </c>
      <c r="C56" s="36" t="s">
        <v>31</v>
      </c>
      <c r="D56" s="31">
        <v>178.52111111111108</v>
      </c>
      <c r="E56" s="33">
        <v>3.8476491420249093</v>
      </c>
      <c r="F56" s="33">
        <v>1.2517349333100973</v>
      </c>
      <c r="G56" s="31">
        <v>165.18222222222224</v>
      </c>
      <c r="H56" s="31">
        <v>10.015000000000001</v>
      </c>
      <c r="I56" s="31">
        <v>0</v>
      </c>
      <c r="J56" s="31">
        <v>76.320733333333337</v>
      </c>
      <c r="K56" s="31">
        <v>171.20111111111112</v>
      </c>
      <c r="L56" s="31">
        <v>52.26</v>
      </c>
      <c r="M56" s="31">
        <v>19.466666666666665</v>
      </c>
      <c r="N56" s="31">
        <v>30.08</v>
      </c>
      <c r="O56" s="31">
        <v>30.08</v>
      </c>
      <c r="P56" s="31">
        <v>9.9516666666666662</v>
      </c>
      <c r="Q56" s="31">
        <v>17</v>
      </c>
      <c r="R56" s="31">
        <v>0</v>
      </c>
      <c r="S56" s="31">
        <v>0</v>
      </c>
      <c r="T56" s="31" t="str">
        <f>VLOOKUP(A56,Rankings!B:E,3,FALSE)</f>
        <v>AL</v>
      </c>
    </row>
    <row r="57" spans="1:20" ht="18.600000000000001" customHeight="1">
      <c r="A57" s="26" t="s">
        <v>236</v>
      </c>
      <c r="B57" s="27" t="s">
        <v>73</v>
      </c>
      <c r="C57" s="36" t="s">
        <v>31</v>
      </c>
      <c r="D57" s="31">
        <v>172.13333333333333</v>
      </c>
      <c r="E57" s="33">
        <v>3.9355038729666925</v>
      </c>
      <c r="F57" s="33">
        <v>1.2890782339271882</v>
      </c>
      <c r="G57" s="31">
        <v>163.1</v>
      </c>
      <c r="H57" s="31">
        <v>12.968888888888889</v>
      </c>
      <c r="I57" s="31">
        <v>0</v>
      </c>
      <c r="J57" s="31">
        <v>75.270155555555547</v>
      </c>
      <c r="K57" s="31">
        <v>165.01555555555555</v>
      </c>
      <c r="L57" s="31">
        <v>56.877777777777773</v>
      </c>
      <c r="M57" s="31">
        <v>19.466666666666665</v>
      </c>
      <c r="N57" s="31">
        <v>29.64222222222222</v>
      </c>
      <c r="O57" s="31">
        <v>29.308888888888887</v>
      </c>
      <c r="P57" s="31">
        <v>8.9666666666666668</v>
      </c>
      <c r="Q57" s="31">
        <v>17</v>
      </c>
      <c r="R57" s="31">
        <v>0</v>
      </c>
      <c r="S57" s="31">
        <v>0</v>
      </c>
      <c r="T57" s="31" t="str">
        <f>VLOOKUP(A57,Rankings!B:E,3,FALSE)</f>
        <v>NL</v>
      </c>
    </row>
    <row r="58" spans="1:20" ht="18.600000000000001" customHeight="1">
      <c r="A58" s="26" t="s">
        <v>278</v>
      </c>
      <c r="B58" s="27" t="s">
        <v>101</v>
      </c>
      <c r="C58" s="36" t="s">
        <v>31</v>
      </c>
      <c r="D58" s="31">
        <v>158.45666666666668</v>
      </c>
      <c r="E58" s="33">
        <v>3.5994717798767275</v>
      </c>
      <c r="F58" s="33">
        <v>1.183804194627343</v>
      </c>
      <c r="G58" s="31">
        <v>140.83166666666668</v>
      </c>
      <c r="H58" s="31">
        <v>9.9849999999999994</v>
      </c>
      <c r="I58" s="31">
        <v>0</v>
      </c>
      <c r="J58" s="31">
        <v>63.373366666666669</v>
      </c>
      <c r="K58" s="31">
        <v>143.57666666666668</v>
      </c>
      <c r="L58" s="31">
        <v>44.004999999999995</v>
      </c>
      <c r="M58" s="31">
        <v>17.666666666666668</v>
      </c>
      <c r="N58" s="31">
        <v>30.305000000000003</v>
      </c>
      <c r="O58" s="31">
        <v>29.986666666666668</v>
      </c>
      <c r="P58" s="31">
        <v>8.2133333333333329</v>
      </c>
      <c r="Q58" s="31">
        <v>15</v>
      </c>
      <c r="R58" s="31">
        <v>0</v>
      </c>
      <c r="S58" s="31">
        <v>0</v>
      </c>
      <c r="T58" s="31" t="str">
        <f>VLOOKUP(A58,Rankings!B:E,3,FALSE)</f>
        <v>AL</v>
      </c>
    </row>
    <row r="59" spans="1:20" ht="18.600000000000001" customHeight="1">
      <c r="A59" s="26" t="s">
        <v>252</v>
      </c>
      <c r="B59" s="27" t="s">
        <v>97</v>
      </c>
      <c r="C59" s="36" t="s">
        <v>31</v>
      </c>
      <c r="D59" s="31">
        <v>130.7222222222222</v>
      </c>
      <c r="E59" s="33">
        <v>3.7080917977050576</v>
      </c>
      <c r="F59" s="33">
        <v>1.1689247768805779</v>
      </c>
      <c r="G59" s="31">
        <v>145.83666666666667</v>
      </c>
      <c r="H59" s="31">
        <v>8.7733333333333334</v>
      </c>
      <c r="I59" s="31">
        <v>0</v>
      </c>
      <c r="J59" s="31">
        <v>53.858888888888885</v>
      </c>
      <c r="K59" s="31">
        <v>104.55444444444443</v>
      </c>
      <c r="L59" s="31">
        <v>48.25</v>
      </c>
      <c r="M59" s="31">
        <v>16.166666666666668</v>
      </c>
      <c r="N59" s="31">
        <v>25.97</v>
      </c>
      <c r="O59" s="31">
        <v>24.888333333333332</v>
      </c>
      <c r="P59" s="31">
        <v>6.543333333333333</v>
      </c>
      <c r="Q59" s="31">
        <v>11</v>
      </c>
      <c r="R59" s="31">
        <v>0</v>
      </c>
      <c r="S59" s="31">
        <v>0</v>
      </c>
      <c r="T59" s="31" t="str">
        <f>VLOOKUP(A59,Rankings!B:E,3,FALSE)</f>
        <v>NL</v>
      </c>
    </row>
    <row r="60" spans="1:20" ht="18.600000000000001" customHeight="1">
      <c r="A60" s="26" t="s">
        <v>298</v>
      </c>
      <c r="B60" s="27" t="s">
        <v>86</v>
      </c>
      <c r="C60" s="36" t="s">
        <v>31</v>
      </c>
      <c r="D60" s="31">
        <v>161.61444444444444</v>
      </c>
      <c r="E60" s="33">
        <v>3.9917842877080574</v>
      </c>
      <c r="F60" s="33">
        <v>1.2387300365066378</v>
      </c>
      <c r="G60" s="31">
        <v>161.89333333333335</v>
      </c>
      <c r="H60" s="31">
        <v>9.6911111111111108</v>
      </c>
      <c r="I60" s="31">
        <v>0</v>
      </c>
      <c r="J60" s="31">
        <v>71.681111111111122</v>
      </c>
      <c r="K60" s="31">
        <v>146.82555555555555</v>
      </c>
      <c r="L60" s="31">
        <v>53.371111111111112</v>
      </c>
      <c r="M60" s="31">
        <v>20.599999999999998</v>
      </c>
      <c r="N60" s="31">
        <v>29.731111111111108</v>
      </c>
      <c r="O60" s="31">
        <v>29.731111111111108</v>
      </c>
      <c r="P60" s="31">
        <v>9.2333333333333325</v>
      </c>
      <c r="Q60" s="31">
        <v>15</v>
      </c>
      <c r="R60" s="31">
        <v>0</v>
      </c>
      <c r="S60" s="31">
        <v>0</v>
      </c>
      <c r="T60" s="31" t="str">
        <f>VLOOKUP(A60,Rankings!B:E,3,FALSE)</f>
        <v>AL</v>
      </c>
    </row>
    <row r="61" spans="1:20" ht="18.600000000000001" customHeight="1">
      <c r="A61" s="26" t="s">
        <v>254</v>
      </c>
      <c r="B61" s="27" t="s">
        <v>217</v>
      </c>
      <c r="C61" s="36" t="s">
        <v>31</v>
      </c>
      <c r="D61" s="31">
        <v>156.89333333333335</v>
      </c>
      <c r="E61" s="33">
        <v>3.5754278915611448</v>
      </c>
      <c r="F61" s="33">
        <v>1.2614656808588991</v>
      </c>
      <c r="G61" s="31">
        <v>150.93166666666664</v>
      </c>
      <c r="H61" s="31">
        <v>9.7044444444444444</v>
      </c>
      <c r="I61" s="31">
        <v>0</v>
      </c>
      <c r="J61" s="31">
        <v>62.328977777777773</v>
      </c>
      <c r="K61" s="31">
        <v>150.37111111111111</v>
      </c>
      <c r="L61" s="31">
        <v>47.544444444444444</v>
      </c>
      <c r="M61" s="31">
        <v>12.133333333333333</v>
      </c>
      <c r="N61" s="31">
        <v>28.286666666666665</v>
      </c>
      <c r="O61" s="31">
        <v>28.286666666666665</v>
      </c>
      <c r="P61" s="31">
        <v>8.1322222222222234</v>
      </c>
      <c r="Q61" s="31">
        <v>16</v>
      </c>
      <c r="R61" s="31">
        <v>0</v>
      </c>
      <c r="S61" s="31">
        <v>0</v>
      </c>
      <c r="T61" s="31" t="str">
        <f>VLOOKUP(A61,Rankings!B:E,3,FALSE)</f>
        <v>NL</v>
      </c>
    </row>
    <row r="62" spans="1:20" ht="18.600000000000001" customHeight="1">
      <c r="A62" s="26" t="s">
        <v>313</v>
      </c>
      <c r="B62" s="27" t="s">
        <v>84</v>
      </c>
      <c r="C62" s="36" t="s">
        <v>31</v>
      </c>
      <c r="D62" s="31">
        <v>160.06888888888886</v>
      </c>
      <c r="E62" s="33">
        <v>3.6938470936124737</v>
      </c>
      <c r="F62" s="33">
        <v>1.2936929932945538</v>
      </c>
      <c r="G62" s="31">
        <v>159.14444444444445</v>
      </c>
      <c r="H62" s="31">
        <v>9.5288888888888881</v>
      </c>
      <c r="I62" s="31">
        <v>0</v>
      </c>
      <c r="J62" s="31">
        <v>65.696666666666673</v>
      </c>
      <c r="K62" s="31">
        <v>146.3411111111111</v>
      </c>
      <c r="L62" s="31">
        <v>60.738888888888887</v>
      </c>
      <c r="M62" s="31">
        <v>17.2</v>
      </c>
      <c r="N62" s="31">
        <v>28.653333333333336</v>
      </c>
      <c r="O62" s="31">
        <v>28.653333333333336</v>
      </c>
      <c r="P62" s="31">
        <v>8.0188888888888883</v>
      </c>
      <c r="Q62" s="31">
        <v>15</v>
      </c>
      <c r="R62" s="31">
        <v>0</v>
      </c>
      <c r="S62" s="31">
        <v>0</v>
      </c>
      <c r="T62" s="31" t="str">
        <f>VLOOKUP(A62,Rankings!B:E,3,FALSE)</f>
        <v>AL</v>
      </c>
    </row>
    <row r="63" spans="1:20" ht="18.600000000000001" customHeight="1">
      <c r="A63" s="26" t="s">
        <v>336</v>
      </c>
      <c r="B63" s="27" t="s">
        <v>94</v>
      </c>
      <c r="C63" s="36" t="s">
        <v>31</v>
      </c>
      <c r="D63" s="31">
        <v>172.035</v>
      </c>
      <c r="E63" s="33">
        <v>4.1622460545819164</v>
      </c>
      <c r="F63" s="33">
        <v>1.2357498312681852</v>
      </c>
      <c r="G63" s="31">
        <v>155.17999999999998</v>
      </c>
      <c r="H63" s="31">
        <v>11.013333333333334</v>
      </c>
      <c r="I63" s="31">
        <v>0</v>
      </c>
      <c r="J63" s="31">
        <v>79.561333333333337</v>
      </c>
      <c r="K63" s="31">
        <v>167.99666666666667</v>
      </c>
      <c r="L63" s="31">
        <v>44.595555555555556</v>
      </c>
      <c r="M63" s="31">
        <v>24.833333333333332</v>
      </c>
      <c r="N63" s="31">
        <v>30.396666666666665</v>
      </c>
      <c r="O63" s="31">
        <v>30.046666666666667</v>
      </c>
      <c r="P63" s="31">
        <v>8.9700000000000006</v>
      </c>
      <c r="Q63" s="31">
        <v>14</v>
      </c>
      <c r="R63" s="31">
        <v>0</v>
      </c>
      <c r="S63" s="31">
        <v>0</v>
      </c>
      <c r="T63" s="31" t="str">
        <f>VLOOKUP(A63,Rankings!B:E,3,FALSE)</f>
        <v>AL</v>
      </c>
    </row>
    <row r="64" spans="1:20" ht="18.600000000000001" customHeight="1">
      <c r="A64" s="26" t="s">
        <v>309</v>
      </c>
      <c r="B64" s="27" t="s">
        <v>134</v>
      </c>
      <c r="C64" s="36" t="s">
        <v>31</v>
      </c>
      <c r="D64" s="31">
        <v>143.73222222222225</v>
      </c>
      <c r="E64" s="33">
        <v>3.9074049737552068</v>
      </c>
      <c r="F64" s="33">
        <v>1.2527616941998621</v>
      </c>
      <c r="G64" s="31">
        <v>155.20666666666668</v>
      </c>
      <c r="H64" s="31">
        <v>7.9944444444444445</v>
      </c>
      <c r="I64" s="31">
        <v>0</v>
      </c>
      <c r="J64" s="31">
        <v>62.402222222222214</v>
      </c>
      <c r="K64" s="31">
        <v>126.13222222222221</v>
      </c>
      <c r="L64" s="31">
        <v>53.93</v>
      </c>
      <c r="M64" s="31">
        <v>17.033333333333335</v>
      </c>
      <c r="N64" s="31">
        <v>26.943333333333332</v>
      </c>
      <c r="O64" s="31">
        <v>26.776666666666667</v>
      </c>
      <c r="P64" s="31">
        <v>8.9466666666666672</v>
      </c>
      <c r="Q64" s="31">
        <v>13</v>
      </c>
      <c r="R64" s="31">
        <v>0</v>
      </c>
      <c r="S64" s="31">
        <v>0</v>
      </c>
      <c r="T64" s="31" t="str">
        <f>VLOOKUP(A64,Rankings!B:E,3,FALSE)</f>
        <v>NL</v>
      </c>
    </row>
    <row r="65" spans="1:20" ht="18.600000000000001" customHeight="1">
      <c r="A65" s="26" t="s">
        <v>343</v>
      </c>
      <c r="B65" s="27" t="s">
        <v>156</v>
      </c>
      <c r="C65" s="36" t="s">
        <v>31</v>
      </c>
      <c r="D65" s="31">
        <v>154.98444444444445</v>
      </c>
      <c r="E65" s="33">
        <v>4.0031759459730729</v>
      </c>
      <c r="F65" s="33">
        <v>1.2464691797026224</v>
      </c>
      <c r="G65" s="31">
        <v>153.69777777777779</v>
      </c>
      <c r="H65" s="31">
        <v>8.9844444444444438</v>
      </c>
      <c r="I65" s="31">
        <v>0</v>
      </c>
      <c r="J65" s="31">
        <v>68.936666666666667</v>
      </c>
      <c r="K65" s="31">
        <v>141.45888888888888</v>
      </c>
      <c r="L65" s="31">
        <v>51.724444444444451</v>
      </c>
      <c r="M65" s="31">
        <v>20.666666666666668</v>
      </c>
      <c r="N65" s="31">
        <v>28.179999999999996</v>
      </c>
      <c r="O65" s="31">
        <v>28.179999999999996</v>
      </c>
      <c r="P65" s="31">
        <v>8.4733333333333345</v>
      </c>
      <c r="Q65" s="31">
        <v>14</v>
      </c>
      <c r="R65" s="31">
        <v>0</v>
      </c>
      <c r="S65" s="31">
        <v>0</v>
      </c>
      <c r="T65" s="31" t="str">
        <f>VLOOKUP(A65,Rankings!B:E,3,FALSE)</f>
        <v>AL</v>
      </c>
    </row>
    <row r="66" spans="1:20" ht="18.600000000000001" customHeight="1">
      <c r="A66" s="26" t="s">
        <v>282</v>
      </c>
      <c r="B66" s="27" t="s">
        <v>120</v>
      </c>
      <c r="C66" s="36" t="s">
        <v>31</v>
      </c>
      <c r="D66" s="31">
        <v>185.11222222222224</v>
      </c>
      <c r="E66" s="33">
        <v>4.1389595500627241</v>
      </c>
      <c r="F66" s="33">
        <v>1.2776153804599011</v>
      </c>
      <c r="G66" s="31">
        <v>158.04111111111112</v>
      </c>
      <c r="H66" s="31">
        <v>10.471111111111112</v>
      </c>
      <c r="I66" s="31">
        <v>0</v>
      </c>
      <c r="J66" s="31">
        <v>85.13022222222223</v>
      </c>
      <c r="K66" s="31">
        <v>181.25</v>
      </c>
      <c r="L66" s="31">
        <v>55.252222222222223</v>
      </c>
      <c r="M66" s="31">
        <v>24.7</v>
      </c>
      <c r="N66" s="31">
        <v>30.975555555555555</v>
      </c>
      <c r="O66" s="31">
        <v>30.975555555555555</v>
      </c>
      <c r="P66" s="31">
        <v>10.527777777777779</v>
      </c>
      <c r="Q66" s="31">
        <v>17</v>
      </c>
      <c r="R66" s="31">
        <v>0</v>
      </c>
      <c r="S66" s="31">
        <v>0</v>
      </c>
      <c r="T66" s="31" t="str">
        <f>VLOOKUP(A66,Rankings!B:E,3,FALSE)</f>
        <v>NL</v>
      </c>
    </row>
    <row r="67" spans="1:20" ht="18.600000000000001" customHeight="1">
      <c r="A67" s="26" t="s">
        <v>261</v>
      </c>
      <c r="B67" s="27" t="s">
        <v>123</v>
      </c>
      <c r="C67" s="36" t="s">
        <v>31</v>
      </c>
      <c r="D67" s="31">
        <v>183.56888888888889</v>
      </c>
      <c r="E67" s="33">
        <v>3.982849187710336</v>
      </c>
      <c r="F67" s="33">
        <v>1.2163523230758055</v>
      </c>
      <c r="G67" s="31">
        <v>137.58666666666667</v>
      </c>
      <c r="H67" s="31">
        <v>11.973333333333334</v>
      </c>
      <c r="I67" s="31">
        <v>0</v>
      </c>
      <c r="J67" s="31">
        <v>81.236355555555562</v>
      </c>
      <c r="K67" s="31">
        <v>181.03888888888889</v>
      </c>
      <c r="L67" s="31">
        <v>42.245555555555555</v>
      </c>
      <c r="M67" s="31">
        <v>24.099999999999998</v>
      </c>
      <c r="N67" s="31">
        <v>30.197777777777777</v>
      </c>
      <c r="O67" s="31">
        <v>30.531111111111112</v>
      </c>
      <c r="P67" s="31">
        <v>10.353333333333333</v>
      </c>
      <c r="Q67" s="31">
        <v>17</v>
      </c>
      <c r="R67" s="31">
        <v>0</v>
      </c>
      <c r="S67" s="31">
        <v>0</v>
      </c>
      <c r="T67" s="31" t="str">
        <f>VLOOKUP(A67,Rankings!B:E,3,FALSE)</f>
        <v>NL</v>
      </c>
    </row>
    <row r="68" spans="1:20" ht="18.600000000000001" customHeight="1">
      <c r="A68" s="26" t="s">
        <v>549</v>
      </c>
      <c r="B68" s="27" t="s">
        <v>223</v>
      </c>
      <c r="C68" s="36" t="s">
        <v>31</v>
      </c>
      <c r="D68" s="31">
        <v>163.96666666666667</v>
      </c>
      <c r="E68" s="33">
        <v>4.2447651961780846</v>
      </c>
      <c r="F68" s="33">
        <v>1.3126394253574574</v>
      </c>
      <c r="G68" s="31">
        <v>170.66666666666666</v>
      </c>
      <c r="H68" s="31">
        <v>9.2056666666666658</v>
      </c>
      <c r="I68" s="31">
        <v>0</v>
      </c>
      <c r="J68" s="31">
        <v>77.333333333333329</v>
      </c>
      <c r="K68" s="31">
        <v>158.33333333333334</v>
      </c>
      <c r="L68" s="31">
        <v>56.895777777777774</v>
      </c>
      <c r="M68" s="31">
        <v>18.366666666666664</v>
      </c>
      <c r="N68" s="31">
        <v>34.431333333333335</v>
      </c>
      <c r="O68" s="31">
        <v>32.078000000000003</v>
      </c>
      <c r="P68" s="31">
        <v>10.520888888888889</v>
      </c>
      <c r="Q68" s="31">
        <v>16.799999999999997</v>
      </c>
      <c r="R68" s="31">
        <v>0</v>
      </c>
      <c r="S68" s="31">
        <v>0</v>
      </c>
      <c r="T68" s="31" t="str">
        <f>VLOOKUP(A68,Rankings!B:E,3,FALSE)</f>
        <v>NL</v>
      </c>
    </row>
    <row r="69" spans="1:20" ht="18.600000000000001" customHeight="1">
      <c r="A69" s="26" t="s">
        <v>293</v>
      </c>
      <c r="B69" s="27" t="s">
        <v>86</v>
      </c>
      <c r="C69" s="36" t="s">
        <v>31</v>
      </c>
      <c r="D69" s="31">
        <v>152.69000000000003</v>
      </c>
      <c r="E69" s="33">
        <v>3.888224507171393</v>
      </c>
      <c r="F69" s="33">
        <v>1.2002896209458525</v>
      </c>
      <c r="G69" s="31">
        <v>141.50222222222223</v>
      </c>
      <c r="H69" s="31">
        <v>8.6277777777777782</v>
      </c>
      <c r="I69" s="31">
        <v>0</v>
      </c>
      <c r="J69" s="31">
        <v>65.965888888888898</v>
      </c>
      <c r="K69" s="31">
        <v>149.01333333333335</v>
      </c>
      <c r="L69" s="31">
        <v>34.25888888888889</v>
      </c>
      <c r="M69" s="31">
        <v>20.666666666666668</v>
      </c>
      <c r="N69" s="31">
        <v>27.653333333333336</v>
      </c>
      <c r="O69" s="31">
        <v>27.653333333333336</v>
      </c>
      <c r="P69" s="31">
        <v>7.9866666666666672</v>
      </c>
      <c r="Q69" s="31">
        <v>13</v>
      </c>
      <c r="R69" s="31">
        <v>0</v>
      </c>
      <c r="S69" s="31">
        <v>0</v>
      </c>
      <c r="T69" s="31" t="str">
        <f>VLOOKUP(A69,Rankings!B:E,3,FALSE)</f>
        <v>AL</v>
      </c>
    </row>
    <row r="70" spans="1:20" ht="18.600000000000001" customHeight="1">
      <c r="A70" s="26" t="s">
        <v>230</v>
      </c>
      <c r="B70" s="27" t="s">
        <v>81</v>
      </c>
      <c r="C70" s="36" t="s">
        <v>31</v>
      </c>
      <c r="D70" s="31">
        <v>140.17111111111112</v>
      </c>
      <c r="E70" s="33">
        <v>3.843720690584524</v>
      </c>
      <c r="F70" s="33">
        <v>1.2124229116793761</v>
      </c>
      <c r="G70" s="31">
        <v>133.25888888888889</v>
      </c>
      <c r="H70" s="31">
        <v>10.693333333333333</v>
      </c>
      <c r="I70" s="31">
        <v>0</v>
      </c>
      <c r="J70" s="31">
        <v>59.864288888888893</v>
      </c>
      <c r="K70" s="31">
        <v>122.9088888888889</v>
      </c>
      <c r="L70" s="31">
        <v>47.037777777777784</v>
      </c>
      <c r="M70" s="31">
        <v>18.666666666666668</v>
      </c>
      <c r="N70" s="31">
        <v>26.624444444444446</v>
      </c>
      <c r="O70" s="31">
        <v>26.624444444444446</v>
      </c>
      <c r="P70" s="31">
        <v>6.6277777777777773</v>
      </c>
      <c r="Q70" s="31">
        <v>12</v>
      </c>
      <c r="R70" s="31">
        <v>0</v>
      </c>
      <c r="S70" s="31">
        <v>0</v>
      </c>
      <c r="T70" s="31" t="str">
        <f>VLOOKUP(A70,Rankings!B:E,3,FALSE)</f>
        <v>NL</v>
      </c>
    </row>
    <row r="71" spans="1:20" ht="18.600000000000001" customHeight="1">
      <c r="A71" s="26" t="s">
        <v>295</v>
      </c>
      <c r="B71" s="27" t="s">
        <v>156</v>
      </c>
      <c r="C71" s="36" t="s">
        <v>31</v>
      </c>
      <c r="D71" s="31">
        <v>142.4988888888889</v>
      </c>
      <c r="E71" s="33">
        <v>3.7894330560082339</v>
      </c>
      <c r="F71" s="33">
        <v>1.2401812099899412</v>
      </c>
      <c r="G71" s="31">
        <v>138.6577777777778</v>
      </c>
      <c r="H71" s="31">
        <v>8.9966666666666679</v>
      </c>
      <c r="I71" s="31">
        <v>0</v>
      </c>
      <c r="J71" s="31">
        <v>59.998888888888892</v>
      </c>
      <c r="K71" s="31">
        <v>127.83</v>
      </c>
      <c r="L71" s="31">
        <v>48.894444444444446</v>
      </c>
      <c r="M71" s="31">
        <v>15.766666666666666</v>
      </c>
      <c r="N71" s="31">
        <v>27.335555555555555</v>
      </c>
      <c r="O71" s="31">
        <v>27.335555555555555</v>
      </c>
      <c r="P71" s="31">
        <v>7.9922222222222219</v>
      </c>
      <c r="Q71" s="31">
        <v>12</v>
      </c>
      <c r="R71" s="31">
        <v>0</v>
      </c>
      <c r="S71" s="31">
        <v>0</v>
      </c>
      <c r="T71" s="31" t="str">
        <f>VLOOKUP(A71,Rankings!B:E,3,FALSE)</f>
        <v>AL</v>
      </c>
    </row>
    <row r="72" spans="1:20" ht="18.600000000000001" customHeight="1">
      <c r="A72" s="26" t="s">
        <v>316</v>
      </c>
      <c r="B72" s="27" t="s">
        <v>158</v>
      </c>
      <c r="C72" s="36" t="s">
        <v>31</v>
      </c>
      <c r="D72" s="31">
        <v>168.19666666666666</v>
      </c>
      <c r="E72" s="33">
        <v>3.8561941378148594</v>
      </c>
      <c r="F72" s="33">
        <v>1.2606670762401158</v>
      </c>
      <c r="G72" s="31">
        <v>139.24666666666667</v>
      </c>
      <c r="H72" s="31">
        <v>9.5988888888888884</v>
      </c>
      <c r="I72" s="31">
        <v>0</v>
      </c>
      <c r="J72" s="31">
        <v>72.066555555555553</v>
      </c>
      <c r="K72" s="31">
        <v>166.09666666666666</v>
      </c>
      <c r="L72" s="31">
        <v>45.943333333333328</v>
      </c>
      <c r="M72" s="31">
        <v>18.366666666666667</v>
      </c>
      <c r="N72" s="31">
        <v>29.742222222222221</v>
      </c>
      <c r="O72" s="31">
        <v>29.742222222222221</v>
      </c>
      <c r="P72" s="31">
        <v>9.9244444444444451</v>
      </c>
      <c r="Q72" s="31">
        <v>15</v>
      </c>
      <c r="R72" s="31">
        <v>0</v>
      </c>
      <c r="S72" s="31">
        <v>0</v>
      </c>
      <c r="T72" s="31" t="str">
        <f>VLOOKUP(A72,Rankings!B:E,3,FALSE)</f>
        <v>NL</v>
      </c>
    </row>
    <row r="73" spans="1:20" ht="18.600000000000001" customHeight="1">
      <c r="A73" s="26" t="s">
        <v>375</v>
      </c>
      <c r="B73" s="27" t="s">
        <v>217</v>
      </c>
      <c r="C73" s="36" t="s">
        <v>31</v>
      </c>
      <c r="D73" s="31">
        <v>157.98222222222222</v>
      </c>
      <c r="E73" s="33">
        <v>4.1424648342992176</v>
      </c>
      <c r="F73" s="33">
        <v>1.272787374106791</v>
      </c>
      <c r="G73" s="31">
        <v>151.00555555555556</v>
      </c>
      <c r="H73" s="31">
        <v>9.0022222222222226</v>
      </c>
      <c r="I73" s="31">
        <v>0</v>
      </c>
      <c r="J73" s="31">
        <v>72.715088888888886</v>
      </c>
      <c r="K73" s="31">
        <v>156.05222222222221</v>
      </c>
      <c r="L73" s="31">
        <v>45.025555555555549</v>
      </c>
      <c r="M73" s="31">
        <v>22.033333333333331</v>
      </c>
      <c r="N73" s="31">
        <v>28.364444444444445</v>
      </c>
      <c r="O73" s="31">
        <v>28.353333333333335</v>
      </c>
      <c r="P73" s="31">
        <v>9.0777777777777775</v>
      </c>
      <c r="Q73" s="31">
        <v>13</v>
      </c>
      <c r="R73" s="31">
        <v>0</v>
      </c>
      <c r="S73" s="31">
        <v>0</v>
      </c>
      <c r="T73" s="31" t="str">
        <f>VLOOKUP(A73,Rankings!B:E,3,FALSE)</f>
        <v>NL</v>
      </c>
    </row>
    <row r="74" spans="1:20" ht="18.600000000000001" customHeight="1">
      <c r="A74" s="26" t="s">
        <v>345</v>
      </c>
      <c r="B74" s="27" t="s">
        <v>158</v>
      </c>
      <c r="C74" s="36" t="s">
        <v>31</v>
      </c>
      <c r="D74" s="31">
        <v>166.85166666666669</v>
      </c>
      <c r="E74" s="33">
        <v>4.1743964199738288</v>
      </c>
      <c r="F74" s="33">
        <v>1.2406162492966137</v>
      </c>
      <c r="G74" s="31">
        <v>142.17666666666665</v>
      </c>
      <c r="H74" s="31">
        <v>9.67</v>
      </c>
      <c r="I74" s="31">
        <v>0</v>
      </c>
      <c r="J74" s="31">
        <v>77.38944444444445</v>
      </c>
      <c r="K74" s="31">
        <v>164.85666666666665</v>
      </c>
      <c r="L74" s="31">
        <v>42.142222222222223</v>
      </c>
      <c r="M74" s="31">
        <v>24.333333333333332</v>
      </c>
      <c r="N74" s="31">
        <v>30.036666666666665</v>
      </c>
      <c r="O74" s="31">
        <v>29.703333333333333</v>
      </c>
      <c r="P74" s="31">
        <v>9.9383333333333326</v>
      </c>
      <c r="Q74" s="31">
        <v>14</v>
      </c>
      <c r="R74" s="31">
        <v>0</v>
      </c>
      <c r="S74" s="31">
        <v>0</v>
      </c>
      <c r="T74" s="31" t="str">
        <f>VLOOKUP(A74,Rankings!B:E,3,FALSE)</f>
        <v>NL</v>
      </c>
    </row>
    <row r="75" spans="1:20" ht="18.600000000000001" customHeight="1">
      <c r="A75" s="26" t="s">
        <v>281</v>
      </c>
      <c r="B75" s="27" t="s">
        <v>84</v>
      </c>
      <c r="C75" s="36" t="s">
        <v>31</v>
      </c>
      <c r="D75" s="31">
        <v>173.14666666666668</v>
      </c>
      <c r="E75" s="33">
        <v>4.1601898198059448</v>
      </c>
      <c r="F75" s="33">
        <v>1.2345153755326248</v>
      </c>
      <c r="G75" s="31">
        <v>137.76666666666668</v>
      </c>
      <c r="H75" s="31">
        <v>10.058888888888889</v>
      </c>
      <c r="I75" s="31">
        <v>0</v>
      </c>
      <c r="J75" s="31">
        <v>80.035888888888891</v>
      </c>
      <c r="K75" s="31">
        <v>171.53888888888889</v>
      </c>
      <c r="L75" s="31">
        <v>42.213333333333331</v>
      </c>
      <c r="M75" s="31">
        <v>24.966666666666669</v>
      </c>
      <c r="N75" s="31">
        <v>29.608888888888888</v>
      </c>
      <c r="O75" s="31">
        <v>29.58666666666667</v>
      </c>
      <c r="P75" s="31">
        <v>9.6344444444444441</v>
      </c>
      <c r="Q75" s="31">
        <v>15</v>
      </c>
      <c r="R75" s="31">
        <v>0</v>
      </c>
      <c r="S75" s="31">
        <v>0</v>
      </c>
      <c r="T75" s="31" t="str">
        <f>VLOOKUP(A75,Rankings!B:E,3,FALSE)</f>
        <v>AL</v>
      </c>
    </row>
    <row r="76" spans="1:20" ht="18.600000000000001" customHeight="1">
      <c r="A76" s="26" t="s">
        <v>335</v>
      </c>
      <c r="B76" s="27" t="s">
        <v>78</v>
      </c>
      <c r="C76" s="36" t="s">
        <v>31</v>
      </c>
      <c r="D76" s="31">
        <v>159.41111111111113</v>
      </c>
      <c r="E76" s="33">
        <v>4.2682507841360557</v>
      </c>
      <c r="F76" s="33">
        <v>1.2088241444204364</v>
      </c>
      <c r="G76" s="31">
        <v>133.85333333333332</v>
      </c>
      <c r="H76" s="31">
        <v>10.453333333333333</v>
      </c>
      <c r="I76" s="31">
        <v>0</v>
      </c>
      <c r="J76" s="31">
        <v>75.600733333333338</v>
      </c>
      <c r="K76" s="31">
        <v>155.08000000000001</v>
      </c>
      <c r="L76" s="31">
        <v>37.619999999999997</v>
      </c>
      <c r="M76" s="31">
        <v>26.566666666666666</v>
      </c>
      <c r="N76" s="31">
        <v>27.964444444444442</v>
      </c>
      <c r="O76" s="31">
        <v>27.964444444444442</v>
      </c>
      <c r="P76" s="31">
        <v>8.0488888888888894</v>
      </c>
      <c r="Q76" s="31">
        <v>12</v>
      </c>
      <c r="R76" s="31">
        <v>0</v>
      </c>
      <c r="S76" s="31">
        <v>0</v>
      </c>
      <c r="T76" s="31" t="str">
        <f>VLOOKUP(A76,Rankings!B:E,3,FALSE)</f>
        <v>AL</v>
      </c>
    </row>
    <row r="77" spans="1:20" ht="18.600000000000001" customHeight="1">
      <c r="A77" s="26" t="s">
        <v>389</v>
      </c>
      <c r="B77" s="27" t="s">
        <v>97</v>
      </c>
      <c r="C77" s="36" t="s">
        <v>31</v>
      </c>
      <c r="D77" s="31">
        <v>154.17333333333332</v>
      </c>
      <c r="E77" s="33">
        <v>4.183502983654761</v>
      </c>
      <c r="F77" s="33">
        <v>1.291273890858774</v>
      </c>
      <c r="G77" s="31">
        <v>148.06666666666666</v>
      </c>
      <c r="H77" s="31">
        <v>9.0583333333333336</v>
      </c>
      <c r="I77" s="31">
        <v>0</v>
      </c>
      <c r="J77" s="31">
        <v>71.664955555555551</v>
      </c>
      <c r="K77" s="31">
        <v>142.37555555555556</v>
      </c>
      <c r="L77" s="31">
        <v>56.704444444444448</v>
      </c>
      <c r="M77" s="31">
        <v>23.566666666666666</v>
      </c>
      <c r="N77" s="31">
        <v>27.968888888888888</v>
      </c>
      <c r="O77" s="31">
        <v>27.946666666666669</v>
      </c>
      <c r="P77" s="31">
        <v>8.9483333333333341</v>
      </c>
      <c r="Q77" s="31">
        <v>12</v>
      </c>
      <c r="R77" s="31">
        <v>0.5</v>
      </c>
      <c r="S77" s="31">
        <v>0</v>
      </c>
      <c r="T77" s="31" t="str">
        <f>VLOOKUP(A77,Rankings!B:E,3,FALSE)</f>
        <v>NL</v>
      </c>
    </row>
    <row r="78" spans="1:20" ht="18.600000000000001" customHeight="1">
      <c r="A78" s="26" t="s">
        <v>361</v>
      </c>
      <c r="B78" s="27" t="s">
        <v>95</v>
      </c>
      <c r="C78" s="36" t="s">
        <v>31</v>
      </c>
      <c r="D78" s="31">
        <v>146.27222222222221</v>
      </c>
      <c r="E78" s="33">
        <v>4.1087445782217333</v>
      </c>
      <c r="F78" s="33">
        <v>1.283558053856964</v>
      </c>
      <c r="G78" s="31">
        <v>140.11499999999998</v>
      </c>
      <c r="H78" s="31">
        <v>10.038333333333334</v>
      </c>
      <c r="I78" s="31">
        <v>0</v>
      </c>
      <c r="J78" s="31">
        <v>66.777244444444449</v>
      </c>
      <c r="K78" s="31">
        <v>144.58111111111111</v>
      </c>
      <c r="L78" s="31">
        <v>43.167777777777779</v>
      </c>
      <c r="M78" s="31">
        <v>19.633333333333333</v>
      </c>
      <c r="N78" s="31">
        <v>27.968888888888888</v>
      </c>
      <c r="O78" s="31">
        <v>27.968888888888888</v>
      </c>
      <c r="P78" s="31">
        <v>8.57</v>
      </c>
      <c r="Q78" s="31">
        <v>12</v>
      </c>
      <c r="R78" s="31">
        <v>0</v>
      </c>
      <c r="S78" s="31">
        <v>0</v>
      </c>
      <c r="T78" s="31" t="str">
        <f>VLOOKUP(A78,Rankings!B:E,3,FALSE)</f>
        <v>NL</v>
      </c>
    </row>
    <row r="79" spans="1:20" ht="18.600000000000001" customHeight="1">
      <c r="A79" s="26" t="s">
        <v>378</v>
      </c>
      <c r="B79" s="27" t="s">
        <v>258</v>
      </c>
      <c r="C79" s="36" t="s">
        <v>31</v>
      </c>
      <c r="D79" s="31">
        <v>154.77444444444444</v>
      </c>
      <c r="E79" s="33">
        <v>4.008119054968879</v>
      </c>
      <c r="F79" s="33">
        <v>1.2924470735191711</v>
      </c>
      <c r="G79" s="31">
        <v>139.95166666666665</v>
      </c>
      <c r="H79" s="31">
        <v>8.99</v>
      </c>
      <c r="I79" s="31">
        <v>0</v>
      </c>
      <c r="J79" s="31">
        <v>68.928266666666659</v>
      </c>
      <c r="K79" s="31">
        <v>149.82555555555555</v>
      </c>
      <c r="L79" s="31">
        <v>50.212222222222216</v>
      </c>
      <c r="M79" s="31">
        <v>18.066666666666666</v>
      </c>
      <c r="N79" s="31">
        <v>28.153333333333336</v>
      </c>
      <c r="O79" s="31">
        <v>27.986666666666668</v>
      </c>
      <c r="P79" s="31">
        <v>9.8216666666666672</v>
      </c>
      <c r="Q79" s="31">
        <v>15</v>
      </c>
      <c r="R79" s="31">
        <v>0</v>
      </c>
      <c r="S79" s="31">
        <v>0</v>
      </c>
      <c r="T79" s="31" t="str">
        <f>VLOOKUP(A79,Rankings!B:E,3,FALSE)</f>
        <v>AL</v>
      </c>
    </row>
    <row r="80" spans="1:20" ht="18.600000000000001" customHeight="1">
      <c r="A80" s="26" t="s">
        <v>384</v>
      </c>
      <c r="B80" s="27" t="s">
        <v>91</v>
      </c>
      <c r="C80" s="36" t="s">
        <v>31</v>
      </c>
      <c r="D80" s="31">
        <v>161.36000000000001</v>
      </c>
      <c r="E80" s="33">
        <v>3.832583044124938</v>
      </c>
      <c r="F80" s="33">
        <v>1.3162218366110283</v>
      </c>
      <c r="G80" s="31">
        <v>133.24222222222224</v>
      </c>
      <c r="H80" s="31">
        <v>10.28</v>
      </c>
      <c r="I80" s="31">
        <v>1.1111111111111112E-2</v>
      </c>
      <c r="J80" s="31">
        <v>68.713955555555557</v>
      </c>
      <c r="K80" s="31">
        <v>155.94555555555556</v>
      </c>
      <c r="L80" s="31">
        <v>56.44</v>
      </c>
      <c r="M80" s="31">
        <v>15.833333333333334</v>
      </c>
      <c r="N80" s="31">
        <v>29.408888888888885</v>
      </c>
      <c r="O80" s="31">
        <v>29.20888888888889</v>
      </c>
      <c r="P80" s="31">
        <v>8.1844444444444449</v>
      </c>
      <c r="Q80" s="31">
        <v>15</v>
      </c>
      <c r="R80" s="31">
        <v>0</v>
      </c>
      <c r="S80" s="31">
        <v>0</v>
      </c>
      <c r="T80" s="31" t="str">
        <f>VLOOKUP(A80,Rankings!B:E,3,FALSE)</f>
        <v>NL</v>
      </c>
    </row>
    <row r="81" spans="1:21" ht="18.600000000000001" customHeight="1">
      <c r="A81" s="26" t="s">
        <v>408</v>
      </c>
      <c r="B81" s="27" t="s">
        <v>101</v>
      </c>
      <c r="C81" s="36" t="s">
        <v>31</v>
      </c>
      <c r="D81" s="31">
        <v>139.79666666666665</v>
      </c>
      <c r="E81" s="33">
        <v>3.8929540523140753</v>
      </c>
      <c r="F81" s="33">
        <v>1.1983833663177472</v>
      </c>
      <c r="G81" s="31">
        <v>119.12888888888888</v>
      </c>
      <c r="H81" s="31">
        <v>8.4211111111111112</v>
      </c>
      <c r="I81" s="31">
        <v>1.1111111111111112E-2</v>
      </c>
      <c r="J81" s="31">
        <v>60.469111111111111</v>
      </c>
      <c r="K81" s="31">
        <v>136.52444444444444</v>
      </c>
      <c r="L81" s="31">
        <v>31.005555555555556</v>
      </c>
      <c r="M81" s="31">
        <v>17.633333333333333</v>
      </c>
      <c r="N81" s="31">
        <v>25.621111111111109</v>
      </c>
      <c r="O81" s="31">
        <v>25.576666666666668</v>
      </c>
      <c r="P81" s="31">
        <v>7.87</v>
      </c>
      <c r="Q81" s="31">
        <v>12</v>
      </c>
      <c r="R81" s="31">
        <v>0.5</v>
      </c>
      <c r="S81" s="31">
        <v>0</v>
      </c>
      <c r="T81" s="31" t="str">
        <f>VLOOKUP(A81,Rankings!B:E,3,FALSE)</f>
        <v>AL</v>
      </c>
    </row>
    <row r="82" spans="1:21" ht="18.600000000000001" customHeight="1">
      <c r="A82" s="26" t="s">
        <v>388</v>
      </c>
      <c r="B82" s="27" t="s">
        <v>86</v>
      </c>
      <c r="C82" s="36" t="s">
        <v>31</v>
      </c>
      <c r="D82" s="31">
        <v>173.1022222222222</v>
      </c>
      <c r="E82" s="33">
        <v>4.0354525264455186</v>
      </c>
      <c r="F82" s="33">
        <v>1.3427326178494405</v>
      </c>
      <c r="G82" s="31">
        <v>142.69888888888889</v>
      </c>
      <c r="H82" s="31">
        <v>9.9966666666666679</v>
      </c>
      <c r="I82" s="31">
        <v>0</v>
      </c>
      <c r="J82" s="31">
        <v>77.616200000000006</v>
      </c>
      <c r="K82" s="31">
        <v>172.20777777777778</v>
      </c>
      <c r="L82" s="31">
        <v>60.222222222222221</v>
      </c>
      <c r="M82" s="31">
        <v>19.633333333333333</v>
      </c>
      <c r="N82" s="31">
        <v>30.035555555555558</v>
      </c>
      <c r="O82" s="31">
        <v>29.98</v>
      </c>
      <c r="P82" s="31">
        <v>9.9822222222222212</v>
      </c>
      <c r="Q82" s="31">
        <v>16</v>
      </c>
      <c r="R82" s="31">
        <v>0</v>
      </c>
      <c r="S82" s="31">
        <v>0</v>
      </c>
      <c r="T82" s="31" t="str">
        <f>VLOOKUP(A82,Rankings!B:E,3,FALSE)</f>
        <v>AL</v>
      </c>
    </row>
    <row r="83" spans="1:21" ht="18.600000000000001" customHeight="1">
      <c r="A83" s="26" t="s">
        <v>406</v>
      </c>
      <c r="B83" s="27" t="s">
        <v>123</v>
      </c>
      <c r="C83" s="36" t="s">
        <v>31</v>
      </c>
      <c r="D83" s="31">
        <v>136.63444444444443</v>
      </c>
      <c r="E83" s="33">
        <v>4.0017266672630134</v>
      </c>
      <c r="F83" s="33">
        <v>1.2596750453358925</v>
      </c>
      <c r="G83" s="31">
        <v>130.32888888888888</v>
      </c>
      <c r="H83" s="31">
        <v>8.9577777777777783</v>
      </c>
      <c r="I83" s="31">
        <v>0</v>
      </c>
      <c r="J83" s="31">
        <v>60.752633333333335</v>
      </c>
      <c r="K83" s="31">
        <v>122.33333333333333</v>
      </c>
      <c r="L83" s="31">
        <v>49.781666666666666</v>
      </c>
      <c r="M83" s="31">
        <v>18.400000000000002</v>
      </c>
      <c r="N83" s="31">
        <v>27.916666666666668</v>
      </c>
      <c r="O83" s="31">
        <v>25.827777777777779</v>
      </c>
      <c r="P83" s="31">
        <v>7.3066666666666658</v>
      </c>
      <c r="Q83" s="31">
        <v>11</v>
      </c>
      <c r="R83" s="31">
        <v>0</v>
      </c>
      <c r="S83" s="31">
        <v>0</v>
      </c>
      <c r="T83" s="31" t="str">
        <f>VLOOKUP(A83,Rankings!B:E,3,FALSE)</f>
        <v>NL</v>
      </c>
    </row>
    <row r="84" spans="1:21" ht="18.600000000000001" customHeight="1">
      <c r="A84" s="26" t="s">
        <v>426</v>
      </c>
      <c r="B84" s="27" t="s">
        <v>217</v>
      </c>
      <c r="C84" s="36" t="s">
        <v>31</v>
      </c>
      <c r="D84" s="31">
        <v>123.40111111111111</v>
      </c>
      <c r="E84" s="33">
        <v>3.8583931353040222</v>
      </c>
      <c r="F84" s="33">
        <v>1.22670424361387</v>
      </c>
      <c r="G84" s="31">
        <v>120.97166666666665</v>
      </c>
      <c r="H84" s="31">
        <v>7.8977777777777787</v>
      </c>
      <c r="I84" s="31">
        <v>0</v>
      </c>
      <c r="J84" s="31">
        <v>52.903333333333336</v>
      </c>
      <c r="K84" s="31">
        <v>118.51333333333334</v>
      </c>
      <c r="L84" s="31">
        <v>32.86333333333333</v>
      </c>
      <c r="M84" s="31">
        <v>14</v>
      </c>
      <c r="N84" s="31">
        <v>34.534444444444439</v>
      </c>
      <c r="O84" s="31">
        <v>20.685000000000002</v>
      </c>
      <c r="P84" s="31">
        <v>7.2422222222222219</v>
      </c>
      <c r="Q84" s="31">
        <v>8</v>
      </c>
      <c r="R84" s="31">
        <v>0</v>
      </c>
      <c r="S84" s="31">
        <v>0</v>
      </c>
      <c r="T84" s="31" t="str">
        <f>VLOOKUP(A84,Rankings!B:E,3,FALSE)</f>
        <v>NL</v>
      </c>
    </row>
    <row r="85" spans="1:21" ht="18.600000000000001" customHeight="1">
      <c r="A85" s="26" t="s">
        <v>475</v>
      </c>
      <c r="B85" s="27" t="s">
        <v>103</v>
      </c>
      <c r="C85" s="36" t="s">
        <v>31</v>
      </c>
      <c r="D85" s="31">
        <v>169.13888888888889</v>
      </c>
      <c r="E85" s="33">
        <v>4.5972869108227945</v>
      </c>
      <c r="F85" s="33">
        <v>1.3678305140417146</v>
      </c>
      <c r="G85" s="31">
        <v>162.30444444444444</v>
      </c>
      <c r="H85" s="31">
        <v>9.9922222222222228</v>
      </c>
      <c r="I85" s="31">
        <v>0</v>
      </c>
      <c r="J85" s="31">
        <v>86.397777777777776</v>
      </c>
      <c r="K85" s="31">
        <v>164.9088888888889</v>
      </c>
      <c r="L85" s="31">
        <v>66.444444444444443</v>
      </c>
      <c r="M85" s="31">
        <v>25.599999999999998</v>
      </c>
      <c r="N85" s="31">
        <v>31.442222222222224</v>
      </c>
      <c r="O85" s="31">
        <v>29.753333333333334</v>
      </c>
      <c r="P85" s="31">
        <v>10.558888888888889</v>
      </c>
      <c r="Q85" s="31">
        <v>13</v>
      </c>
      <c r="R85" s="31">
        <v>0</v>
      </c>
      <c r="S85" s="31">
        <v>0</v>
      </c>
      <c r="T85" s="31" t="str">
        <f>VLOOKUP(A85,Rankings!B:E,3,FALSE)</f>
        <v>AL</v>
      </c>
    </row>
    <row r="86" spans="1:21" ht="18.600000000000001" customHeight="1">
      <c r="A86" s="26" t="s">
        <v>333</v>
      </c>
      <c r="B86" s="27" t="s">
        <v>158</v>
      </c>
      <c r="C86" s="36" t="s">
        <v>31</v>
      </c>
      <c r="D86" s="31">
        <v>140.56888888888889</v>
      </c>
      <c r="E86" s="33">
        <v>3.8779263627165794</v>
      </c>
      <c r="F86" s="33">
        <v>1.3213371063614521</v>
      </c>
      <c r="G86" s="31">
        <v>136.9077777777778</v>
      </c>
      <c r="H86" s="31">
        <v>7.6155555555555559</v>
      </c>
      <c r="I86" s="31">
        <v>0</v>
      </c>
      <c r="J86" s="31">
        <v>60.568422222222217</v>
      </c>
      <c r="K86" s="31">
        <v>129.03444444444446</v>
      </c>
      <c r="L86" s="31">
        <v>56.704444444444448</v>
      </c>
      <c r="M86" s="31">
        <v>14.133333333333333</v>
      </c>
      <c r="N86" s="31">
        <v>27.165555555555557</v>
      </c>
      <c r="O86" s="31">
        <v>26.632222222222225</v>
      </c>
      <c r="P86" s="31">
        <v>7.9911111111111106</v>
      </c>
      <c r="Q86" s="31">
        <v>12</v>
      </c>
      <c r="R86" s="31">
        <v>0.5</v>
      </c>
      <c r="S86" s="31">
        <v>0</v>
      </c>
      <c r="T86" s="31" t="str">
        <f>VLOOKUP(A86,Rankings!B:E,3,FALSE)</f>
        <v>NL</v>
      </c>
    </row>
    <row r="87" spans="1:21" ht="18.600000000000001" customHeight="1">
      <c r="A87" s="26" t="s">
        <v>435</v>
      </c>
      <c r="B87" s="27" t="s">
        <v>176</v>
      </c>
      <c r="C87" s="36" t="s">
        <v>31</v>
      </c>
      <c r="D87" s="31">
        <v>185.57333333333335</v>
      </c>
      <c r="E87" s="33">
        <v>4.608675096996695</v>
      </c>
      <c r="F87" s="33">
        <v>1.3618874838338839</v>
      </c>
      <c r="G87" s="31">
        <v>159.62777777777777</v>
      </c>
      <c r="H87" s="31">
        <v>10.021666666666667</v>
      </c>
      <c r="I87" s="31">
        <v>0</v>
      </c>
      <c r="J87" s="31">
        <v>95.027466666666669</v>
      </c>
      <c r="K87" s="31">
        <v>191.46666666666667</v>
      </c>
      <c r="L87" s="31">
        <v>61.263333333333328</v>
      </c>
      <c r="M87" s="31">
        <v>25.633333333333336</v>
      </c>
      <c r="N87" s="31">
        <v>30.863333333333333</v>
      </c>
      <c r="O87" s="31">
        <v>31.013333333333335</v>
      </c>
      <c r="P87" s="31">
        <v>11.975</v>
      </c>
      <c r="Q87" s="31">
        <v>14</v>
      </c>
      <c r="R87" s="31">
        <v>0</v>
      </c>
      <c r="S87" s="31">
        <v>0</v>
      </c>
      <c r="T87" s="31" t="str">
        <f>VLOOKUP(A87,Rankings!B:E,3,FALSE)</f>
        <v>NL</v>
      </c>
      <c r="U87" s="154"/>
    </row>
    <row r="88" spans="1:21" ht="18.600000000000001" customHeight="1">
      <c r="A88" s="26" t="s">
        <v>524</v>
      </c>
      <c r="B88" s="27" t="s">
        <v>63</v>
      </c>
      <c r="C88" s="36" t="s">
        <v>31</v>
      </c>
      <c r="D88" s="31">
        <v>115.06666666666668</v>
      </c>
      <c r="E88" s="33">
        <v>3.8381662804171488</v>
      </c>
      <c r="F88" s="33">
        <v>1.1965623792970259</v>
      </c>
      <c r="G88" s="31">
        <v>114.33333333333333</v>
      </c>
      <c r="H88" s="31">
        <v>5.9044444444444437</v>
      </c>
      <c r="I88" s="31">
        <v>0.60777777777777775</v>
      </c>
      <c r="J88" s="31">
        <v>49.071666666666665</v>
      </c>
      <c r="K88" s="31">
        <v>101.52422222222224</v>
      </c>
      <c r="L88" s="31">
        <v>36.160222222222224</v>
      </c>
      <c r="M88" s="31">
        <v>14.776666666666666</v>
      </c>
      <c r="N88" s="31">
        <v>45.381333333333338</v>
      </c>
      <c r="O88" s="31">
        <v>14.66688888888889</v>
      </c>
      <c r="P88" s="31">
        <v>5.9058888888888887</v>
      </c>
      <c r="Q88" s="31">
        <v>7.8000000000000007</v>
      </c>
      <c r="R88" s="31">
        <v>8.4500000000000011</v>
      </c>
      <c r="S88" s="31">
        <v>0</v>
      </c>
      <c r="T88" s="31" t="str">
        <f>VLOOKUP(A88,Rankings!B:E,3,FALSE)</f>
        <v>NL</v>
      </c>
    </row>
    <row r="89" spans="1:21" ht="18.600000000000001" customHeight="1">
      <c r="A89" s="26" t="s">
        <v>441</v>
      </c>
      <c r="B89" s="27" t="s">
        <v>68</v>
      </c>
      <c r="C89" s="36" t="s">
        <v>31</v>
      </c>
      <c r="D89" s="31">
        <v>133.02333333333334</v>
      </c>
      <c r="E89" s="33">
        <v>4.0729696544465881</v>
      </c>
      <c r="F89" s="33">
        <v>1.179377469282749</v>
      </c>
      <c r="G89" s="31">
        <v>114.75916666666667</v>
      </c>
      <c r="H89" s="31">
        <v>7.5945833333333335</v>
      </c>
      <c r="I89" s="31">
        <v>0</v>
      </c>
      <c r="J89" s="31">
        <v>60.199999999999996</v>
      </c>
      <c r="K89" s="31">
        <v>122.39999999999999</v>
      </c>
      <c r="L89" s="31">
        <v>34.484722222222224</v>
      </c>
      <c r="M89" s="31">
        <v>20.166666666666668</v>
      </c>
      <c r="N89" s="31">
        <v>33.902499999999996</v>
      </c>
      <c r="O89" s="31">
        <v>22.999166666666667</v>
      </c>
      <c r="P89" s="31">
        <v>7.4238888888888894</v>
      </c>
      <c r="Q89" s="31">
        <v>15.75</v>
      </c>
      <c r="R89" s="31">
        <v>3.5</v>
      </c>
      <c r="S89" s="31">
        <v>0</v>
      </c>
      <c r="T89" s="31" t="str">
        <f>VLOOKUP(A89,Rankings!B:E,3,FALSE)</f>
        <v>AL</v>
      </c>
    </row>
    <row r="90" spans="1:21" ht="18.600000000000001" customHeight="1">
      <c r="A90" s="26" t="s">
        <v>319</v>
      </c>
      <c r="B90" s="27" t="s">
        <v>123</v>
      </c>
      <c r="C90" s="36" t="s">
        <v>31</v>
      </c>
      <c r="D90" s="31">
        <v>149.16466666666668</v>
      </c>
      <c r="E90" s="33">
        <v>3.8970204740175278</v>
      </c>
      <c r="F90" s="33">
        <v>1.2259203475353857</v>
      </c>
      <c r="G90" s="31">
        <v>110.096</v>
      </c>
      <c r="H90" s="31">
        <v>9.548</v>
      </c>
      <c r="I90" s="31">
        <v>0</v>
      </c>
      <c r="J90" s="31">
        <v>64.588639999999998</v>
      </c>
      <c r="K90" s="31">
        <v>141.62899999999999</v>
      </c>
      <c r="L90" s="31">
        <v>41.234999999999999</v>
      </c>
      <c r="M90" s="31">
        <v>17.176666666666666</v>
      </c>
      <c r="N90" s="31">
        <v>25.152000000000001</v>
      </c>
      <c r="O90" s="31">
        <v>25.152000000000001</v>
      </c>
      <c r="P90" s="31">
        <v>7.9909999999999997</v>
      </c>
      <c r="Q90" s="31">
        <v>8.4</v>
      </c>
      <c r="R90" s="31">
        <v>0</v>
      </c>
      <c r="S90" s="31">
        <v>0</v>
      </c>
      <c r="T90" s="31" t="str">
        <f>VLOOKUP(A90,Rankings!B:E,3,FALSE)</f>
        <v>NL</v>
      </c>
    </row>
    <row r="91" spans="1:21" ht="18.600000000000001" customHeight="1">
      <c r="A91" s="26" t="s">
        <v>579</v>
      </c>
      <c r="B91" s="27" t="s">
        <v>306</v>
      </c>
      <c r="C91" s="36" t="s">
        <v>31</v>
      </c>
      <c r="D91" s="31">
        <v>157.37111111111111</v>
      </c>
      <c r="E91" s="33">
        <v>4.6924749706991262</v>
      </c>
      <c r="F91" s="33">
        <v>1.3206362878969737</v>
      </c>
      <c r="G91" s="31">
        <v>156.96666666666667</v>
      </c>
      <c r="H91" s="31">
        <v>7.4577777777777783</v>
      </c>
      <c r="I91" s="31">
        <v>0</v>
      </c>
      <c r="J91" s="31">
        <v>82.051111111111112</v>
      </c>
      <c r="K91" s="31">
        <v>144.51888888888888</v>
      </c>
      <c r="L91" s="31">
        <v>63.31111111111111</v>
      </c>
      <c r="M91" s="31">
        <v>30</v>
      </c>
      <c r="N91" s="31">
        <v>28.64222222222222</v>
      </c>
      <c r="O91" s="31">
        <v>28.62</v>
      </c>
      <c r="P91" s="31">
        <v>10.944444444444445</v>
      </c>
      <c r="Q91" s="31">
        <v>12</v>
      </c>
      <c r="R91" s="31">
        <v>0</v>
      </c>
      <c r="S91" s="31">
        <v>0</v>
      </c>
      <c r="T91" s="31" t="str">
        <f>VLOOKUP(A91,Rankings!B:E,3,FALSE)</f>
        <v>NL</v>
      </c>
    </row>
    <row r="92" spans="1:21" ht="18.600000000000001" customHeight="1">
      <c r="A92" s="26" t="s">
        <v>274</v>
      </c>
      <c r="B92" s="27" t="s">
        <v>78</v>
      </c>
      <c r="C92" s="36" t="s">
        <v>31</v>
      </c>
      <c r="D92" s="31">
        <v>107.74916666666667</v>
      </c>
      <c r="E92" s="33">
        <v>3.6042042088492559</v>
      </c>
      <c r="F92" s="33">
        <v>1.2745651551829482</v>
      </c>
      <c r="G92" s="31">
        <v>113.23333333333333</v>
      </c>
      <c r="H92" s="31">
        <v>7.0487499999999992</v>
      </c>
      <c r="I92" s="31">
        <v>0</v>
      </c>
      <c r="J92" s="31">
        <v>43.15</v>
      </c>
      <c r="K92" s="31">
        <v>92.566666666666663</v>
      </c>
      <c r="L92" s="31">
        <v>44.766666666666673</v>
      </c>
      <c r="M92" s="31">
        <v>10.066666666666666</v>
      </c>
      <c r="N92" s="31">
        <v>36.484999999999999</v>
      </c>
      <c r="O92" s="31">
        <v>14.685</v>
      </c>
      <c r="P92" s="31">
        <v>5.0149999999999997</v>
      </c>
      <c r="Q92" s="31">
        <v>5</v>
      </c>
      <c r="R92" s="31">
        <v>0</v>
      </c>
      <c r="S92" s="31">
        <v>0</v>
      </c>
      <c r="T92" s="31" t="str">
        <f>VLOOKUP(A92,Rankings!B:E,3,FALSE)</f>
        <v>AL</v>
      </c>
    </row>
    <row r="93" spans="1:21" ht="18.600000000000001" customHeight="1">
      <c r="A93" s="26" t="s">
        <v>442</v>
      </c>
      <c r="B93" s="27" t="s">
        <v>140</v>
      </c>
      <c r="C93" s="36" t="s">
        <v>31</v>
      </c>
      <c r="D93" s="31">
        <v>128.60433333333333</v>
      </c>
      <c r="E93" s="33">
        <v>4.0000264895169426</v>
      </c>
      <c r="F93" s="33">
        <v>1.2776345016886419</v>
      </c>
      <c r="G93" s="31">
        <v>127.94099999999999</v>
      </c>
      <c r="H93" s="31">
        <v>6.6646666666666663</v>
      </c>
      <c r="I93" s="31">
        <v>0</v>
      </c>
      <c r="J93" s="31">
        <v>57.157859999999999</v>
      </c>
      <c r="K93" s="31">
        <v>114.34166666666665</v>
      </c>
      <c r="L93" s="31">
        <v>49.967666666666666</v>
      </c>
      <c r="M93" s="31">
        <v>16.579999999999998</v>
      </c>
      <c r="N93" s="31">
        <v>29.492999999999999</v>
      </c>
      <c r="O93" s="31">
        <v>24.442999999999998</v>
      </c>
      <c r="P93" s="31">
        <v>8.6366666666666667</v>
      </c>
      <c r="Q93" s="31">
        <v>14</v>
      </c>
      <c r="R93" s="31">
        <v>0</v>
      </c>
      <c r="S93" s="31">
        <v>0</v>
      </c>
      <c r="T93" s="31" t="str">
        <f>VLOOKUP(A93,Rankings!B:E,3,FALSE)</f>
        <v>AL</v>
      </c>
    </row>
    <row r="94" spans="1:21" ht="18.600000000000001" customHeight="1">
      <c r="A94" s="26" t="s">
        <v>362</v>
      </c>
      <c r="B94" s="27" t="s">
        <v>91</v>
      </c>
      <c r="C94" s="36" t="s">
        <v>31</v>
      </c>
      <c r="D94" s="31">
        <v>156.76222222222222</v>
      </c>
      <c r="E94" s="33">
        <v>4.2892897948768836</v>
      </c>
      <c r="F94" s="33">
        <v>1.2933671661256256</v>
      </c>
      <c r="G94" s="31">
        <v>129.6888888888889</v>
      </c>
      <c r="H94" s="31">
        <v>10.002222222222223</v>
      </c>
      <c r="I94" s="31">
        <v>0</v>
      </c>
      <c r="J94" s="31">
        <v>74.710955555555557</v>
      </c>
      <c r="K94" s="31">
        <v>153.86333333333334</v>
      </c>
      <c r="L94" s="31">
        <v>48.887777777777778</v>
      </c>
      <c r="M94" s="31">
        <v>21.866666666666664</v>
      </c>
      <c r="N94" s="31">
        <v>28.364444444444445</v>
      </c>
      <c r="O94" s="31">
        <v>28.364444444444445</v>
      </c>
      <c r="P94" s="31">
        <v>8.5588888888888892</v>
      </c>
      <c r="Q94" s="31">
        <v>12</v>
      </c>
      <c r="R94" s="31">
        <v>0</v>
      </c>
      <c r="S94" s="31">
        <v>0</v>
      </c>
      <c r="T94" s="31" t="str">
        <f>VLOOKUP(A94,Rankings!B:E,3,FALSE)</f>
        <v>NL</v>
      </c>
    </row>
    <row r="95" spans="1:21" ht="18.600000000000001" customHeight="1">
      <c r="A95" s="26" t="s">
        <v>427</v>
      </c>
      <c r="B95" s="27" t="s">
        <v>156</v>
      </c>
      <c r="C95" s="36" t="s">
        <v>31</v>
      </c>
      <c r="D95" s="31">
        <v>122.66499999999998</v>
      </c>
      <c r="E95" s="33">
        <v>4.0830522153833613</v>
      </c>
      <c r="F95" s="33">
        <v>1.228821043764182</v>
      </c>
      <c r="G95" s="31">
        <v>118.24333333333334</v>
      </c>
      <c r="H95" s="31">
        <v>7.9216666666666669</v>
      </c>
      <c r="I95" s="31">
        <v>0</v>
      </c>
      <c r="J95" s="31">
        <v>55.64973333333333</v>
      </c>
      <c r="K95" s="31">
        <v>114.435</v>
      </c>
      <c r="L95" s="31">
        <v>36.298333333333332</v>
      </c>
      <c r="M95" s="31">
        <v>17.5</v>
      </c>
      <c r="N95" s="31">
        <v>28.323333333333334</v>
      </c>
      <c r="O95" s="31">
        <v>22.00333333333333</v>
      </c>
      <c r="P95" s="31">
        <v>6.455000000000001</v>
      </c>
      <c r="Q95" s="31">
        <v>11</v>
      </c>
      <c r="R95" s="31">
        <v>2</v>
      </c>
      <c r="S95" s="31">
        <v>0</v>
      </c>
      <c r="T95" s="31" t="str">
        <f>VLOOKUP(A95,Rankings!B:E,3,FALSE)</f>
        <v>AL</v>
      </c>
    </row>
    <row r="96" spans="1:21" ht="18.600000000000001" customHeight="1">
      <c r="A96" s="26" t="s">
        <v>463</v>
      </c>
      <c r="B96" s="27" t="s">
        <v>137</v>
      </c>
      <c r="C96" s="36" t="s">
        <v>31</v>
      </c>
      <c r="D96" s="31">
        <v>154.78333333333333</v>
      </c>
      <c r="E96" s="33">
        <v>4.352995800581458</v>
      </c>
      <c r="F96" s="33">
        <v>1.3382900829115969</v>
      </c>
      <c r="G96" s="31">
        <v>146.14833333333334</v>
      </c>
      <c r="H96" s="31">
        <v>7.5583333333333336</v>
      </c>
      <c r="I96" s="31">
        <v>0</v>
      </c>
      <c r="J96" s="31">
        <v>74.863466666666667</v>
      </c>
      <c r="K96" s="31">
        <v>154.39833333333334</v>
      </c>
      <c r="L96" s="31">
        <v>52.74666666666667</v>
      </c>
      <c r="M96" s="31">
        <v>21.266666666666666</v>
      </c>
      <c r="N96" s="31">
        <v>28.67</v>
      </c>
      <c r="O96" s="31">
        <v>28.67</v>
      </c>
      <c r="P96" s="31">
        <v>10.796666666666667</v>
      </c>
      <c r="Q96" s="31">
        <v>13</v>
      </c>
      <c r="R96" s="31">
        <v>0</v>
      </c>
      <c r="S96" s="31">
        <v>0</v>
      </c>
      <c r="T96" s="31" t="str">
        <f>VLOOKUP(A96,Rankings!B:E,3,FALSE)</f>
        <v>NL</v>
      </c>
    </row>
    <row r="97" spans="1:20" ht="18.600000000000001" customHeight="1">
      <c r="A97" s="26" t="s">
        <v>351</v>
      </c>
      <c r="B97" s="27" t="s">
        <v>76</v>
      </c>
      <c r="C97" s="36" t="s">
        <v>31</v>
      </c>
      <c r="D97" s="31">
        <v>128.58166666666668</v>
      </c>
      <c r="E97" s="33">
        <v>4.1297955903511392</v>
      </c>
      <c r="F97" s="33">
        <v>1.2092962967763679</v>
      </c>
      <c r="G97" s="31">
        <v>115.24499999999999</v>
      </c>
      <c r="H97" s="31">
        <v>7.9888888888888898</v>
      </c>
      <c r="I97" s="31">
        <v>0</v>
      </c>
      <c r="J97" s="31">
        <v>59.001777777777782</v>
      </c>
      <c r="K97" s="31">
        <v>123.08333333333333</v>
      </c>
      <c r="L97" s="31">
        <v>32.410000000000004</v>
      </c>
      <c r="M97" s="31">
        <v>18.5</v>
      </c>
      <c r="N97" s="31">
        <v>24.353333333333335</v>
      </c>
      <c r="O97" s="31">
        <v>24.33666666666667</v>
      </c>
      <c r="P97" s="31">
        <v>7.4788888888888891</v>
      </c>
      <c r="Q97" s="31">
        <v>11</v>
      </c>
      <c r="R97" s="31">
        <v>0</v>
      </c>
      <c r="S97" s="31">
        <v>0</v>
      </c>
      <c r="T97" s="31" t="str">
        <f>VLOOKUP(A97,Rankings!B:E,3,FALSE)</f>
        <v>AL</v>
      </c>
    </row>
    <row r="98" spans="1:20" ht="18.600000000000001" customHeight="1">
      <c r="A98" s="26" t="s">
        <v>423</v>
      </c>
      <c r="B98" s="27" t="s">
        <v>76</v>
      </c>
      <c r="C98" s="36" t="s">
        <v>31</v>
      </c>
      <c r="D98" s="31">
        <v>169.595</v>
      </c>
      <c r="E98" s="33">
        <v>4.2308747309767387</v>
      </c>
      <c r="F98" s="33">
        <v>1.2866076371486319</v>
      </c>
      <c r="G98" s="31">
        <v>124.98666666666666</v>
      </c>
      <c r="H98" s="31">
        <v>10.093333333333334</v>
      </c>
      <c r="I98" s="31">
        <v>0</v>
      </c>
      <c r="J98" s="31">
        <v>79.726133333333337</v>
      </c>
      <c r="K98" s="31">
        <v>169.7211111111111</v>
      </c>
      <c r="L98" s="31">
        <v>48.481111111111112</v>
      </c>
      <c r="M98" s="31">
        <v>22.666666666666668</v>
      </c>
      <c r="N98" s="31">
        <v>30.13</v>
      </c>
      <c r="O98" s="31">
        <v>29.213333333333335</v>
      </c>
      <c r="P98" s="31">
        <v>8.6066666666666674</v>
      </c>
      <c r="Q98" s="31">
        <v>13</v>
      </c>
      <c r="R98" s="31">
        <v>0.5</v>
      </c>
      <c r="S98" s="31">
        <v>0</v>
      </c>
      <c r="T98" s="31" t="str">
        <f>VLOOKUP(A98,Rankings!B:E,3,FALSE)</f>
        <v>AL</v>
      </c>
    </row>
    <row r="99" spans="1:20" ht="18.600000000000001" customHeight="1">
      <c r="A99" s="26" t="s">
        <v>433</v>
      </c>
      <c r="B99" s="27" t="s">
        <v>137</v>
      </c>
      <c r="C99" s="36" t="s">
        <v>31</v>
      </c>
      <c r="D99" s="31">
        <v>141.81333333333333</v>
      </c>
      <c r="E99" s="33">
        <v>4.1593056600225653</v>
      </c>
      <c r="F99" s="33">
        <v>1.2921916133884919</v>
      </c>
      <c r="G99" s="31">
        <v>132.91</v>
      </c>
      <c r="H99" s="31">
        <v>7.0266666666666664</v>
      </c>
      <c r="I99" s="31">
        <v>0</v>
      </c>
      <c r="J99" s="31">
        <v>65.538333333333341</v>
      </c>
      <c r="K99" s="31">
        <v>131.93333333333334</v>
      </c>
      <c r="L99" s="31">
        <v>51.316666666666663</v>
      </c>
      <c r="M99" s="31">
        <v>19.7</v>
      </c>
      <c r="N99" s="31">
        <v>28.465</v>
      </c>
      <c r="O99" s="31">
        <v>28.131666666666664</v>
      </c>
      <c r="P99" s="31">
        <v>8.6516666666666655</v>
      </c>
      <c r="Q99" s="31">
        <v>12</v>
      </c>
      <c r="R99" s="31">
        <v>0</v>
      </c>
      <c r="S99" s="31">
        <v>0</v>
      </c>
      <c r="T99" s="31" t="str">
        <f>VLOOKUP(A99,Rankings!B:E,3,FALSE)</f>
        <v>NL</v>
      </c>
    </row>
    <row r="100" spans="1:20" ht="18.600000000000001" customHeight="1">
      <c r="A100" s="26" t="s">
        <v>386</v>
      </c>
      <c r="B100" s="27" t="s">
        <v>134</v>
      </c>
      <c r="C100" s="36" t="s">
        <v>31</v>
      </c>
      <c r="D100" s="31">
        <v>128.20777777777778</v>
      </c>
      <c r="E100" s="33">
        <v>4.0538882196434605</v>
      </c>
      <c r="F100" s="33">
        <v>1.2961598793624931</v>
      </c>
      <c r="G100" s="31">
        <v>130.11666666666667</v>
      </c>
      <c r="H100" s="31">
        <v>6.9777777777777779</v>
      </c>
      <c r="I100" s="31">
        <v>0</v>
      </c>
      <c r="J100" s="31">
        <v>57.748888888888892</v>
      </c>
      <c r="K100" s="31">
        <v>120.85555555555555</v>
      </c>
      <c r="L100" s="31">
        <v>45.322222222222223</v>
      </c>
      <c r="M100" s="31">
        <v>15.066666666666668</v>
      </c>
      <c r="N100" s="31">
        <v>29.774444444444445</v>
      </c>
      <c r="O100" s="31">
        <v>24.085555555555555</v>
      </c>
      <c r="P100" s="31">
        <v>8.8955555555555552</v>
      </c>
      <c r="Q100" s="31">
        <v>10</v>
      </c>
      <c r="R100" s="31">
        <v>0</v>
      </c>
      <c r="S100" s="31">
        <v>0</v>
      </c>
      <c r="T100" s="31" t="str">
        <f>VLOOKUP(A100,Rankings!B:E,3,FALSE)</f>
        <v>NL</v>
      </c>
    </row>
    <row r="101" spans="1:20" ht="18.600000000000001" customHeight="1">
      <c r="A101" s="26" t="s">
        <v>410</v>
      </c>
      <c r="B101" s="27" t="s">
        <v>95</v>
      </c>
      <c r="C101" s="36" t="s">
        <v>31</v>
      </c>
      <c r="D101" s="31">
        <v>95.862222222222229</v>
      </c>
      <c r="E101" s="33">
        <v>3.5676201956511657</v>
      </c>
      <c r="F101" s="33">
        <v>1.2304117019796932</v>
      </c>
      <c r="G101" s="31">
        <v>105.14444444444445</v>
      </c>
      <c r="H101" s="31">
        <v>6</v>
      </c>
      <c r="I101" s="31">
        <v>0</v>
      </c>
      <c r="J101" s="31">
        <v>38</v>
      </c>
      <c r="K101" s="31">
        <v>80.466666666666669</v>
      </c>
      <c r="L101" s="31">
        <v>37.483333333333341</v>
      </c>
      <c r="M101" s="31">
        <v>8.6</v>
      </c>
      <c r="N101" s="31">
        <v>37.123333333333335</v>
      </c>
      <c r="O101" s="31">
        <v>12.422222222222222</v>
      </c>
      <c r="P101" s="31">
        <v>4.8216666666666663</v>
      </c>
      <c r="Q101" s="31">
        <v>2</v>
      </c>
      <c r="R101" s="31">
        <v>2</v>
      </c>
      <c r="S101" s="31">
        <v>0</v>
      </c>
      <c r="T101" s="31" t="str">
        <f>VLOOKUP(A101,Rankings!B:E,3,FALSE)</f>
        <v>NL</v>
      </c>
    </row>
    <row r="102" spans="1:20" ht="18.600000000000001" customHeight="1">
      <c r="A102" s="26" t="s">
        <v>538</v>
      </c>
      <c r="B102" s="27" t="s">
        <v>114</v>
      </c>
      <c r="C102" s="36" t="s">
        <v>31</v>
      </c>
      <c r="D102" s="31">
        <v>135.84</v>
      </c>
      <c r="E102" s="33">
        <v>4.2314487632508833</v>
      </c>
      <c r="F102" s="33">
        <v>1.2853356890459364</v>
      </c>
      <c r="G102" s="31">
        <v>133.73333333333332</v>
      </c>
      <c r="H102" s="31">
        <v>6.9511111111111106</v>
      </c>
      <c r="I102" s="31">
        <v>0</v>
      </c>
      <c r="J102" s="31">
        <v>63.866666666666667</v>
      </c>
      <c r="K102" s="31">
        <v>118.73333333333333</v>
      </c>
      <c r="L102" s="31">
        <v>55.866666666666667</v>
      </c>
      <c r="M102" s="31">
        <v>20.666666666666668</v>
      </c>
      <c r="N102" s="31">
        <v>31.102222222222224</v>
      </c>
      <c r="O102" s="31">
        <v>25.535555555555558</v>
      </c>
      <c r="P102" s="31">
        <v>8.8066666666666666</v>
      </c>
      <c r="Q102" s="31">
        <v>9</v>
      </c>
      <c r="R102" s="31">
        <v>2.5</v>
      </c>
      <c r="S102" s="31">
        <v>0</v>
      </c>
      <c r="T102" s="31" t="str">
        <f>VLOOKUP(A102,Rankings!B:E,3,FALSE)</f>
        <v>AL</v>
      </c>
    </row>
    <row r="103" spans="1:20" ht="18.600000000000001" customHeight="1">
      <c r="A103" s="26" t="s">
        <v>356</v>
      </c>
      <c r="B103" s="27" t="s">
        <v>78</v>
      </c>
      <c r="C103" s="36" t="s">
        <v>31</v>
      </c>
      <c r="D103" s="31">
        <v>114.39444444444445</v>
      </c>
      <c r="E103" s="33">
        <v>3.7274537419260838</v>
      </c>
      <c r="F103" s="33">
        <v>1.2976446020105872</v>
      </c>
      <c r="G103" s="31">
        <v>114.86777777777779</v>
      </c>
      <c r="H103" s="31">
        <v>7.7966666666666669</v>
      </c>
      <c r="I103" s="31">
        <v>0</v>
      </c>
      <c r="J103" s="31">
        <v>47.377777777777773</v>
      </c>
      <c r="K103" s="31">
        <v>100.30333333333333</v>
      </c>
      <c r="L103" s="31">
        <v>48.140000000000008</v>
      </c>
      <c r="M103" s="31">
        <v>11.566666666666668</v>
      </c>
      <c r="N103" s="31">
        <v>20.765555555555554</v>
      </c>
      <c r="O103" s="31">
        <v>20.365555555555556</v>
      </c>
      <c r="P103" s="31">
        <v>5.1277777777777773</v>
      </c>
      <c r="Q103" s="31">
        <v>13</v>
      </c>
      <c r="R103" s="31">
        <v>0</v>
      </c>
      <c r="S103" s="31">
        <v>0</v>
      </c>
      <c r="T103" s="31" t="str">
        <f>VLOOKUP(A103,Rankings!B:E,3,FALSE)</f>
        <v>AL</v>
      </c>
    </row>
    <row r="104" spans="1:20" ht="18.600000000000001" customHeight="1">
      <c r="A104" s="26" t="s">
        <v>458</v>
      </c>
      <c r="B104" s="27" t="s">
        <v>123</v>
      </c>
      <c r="C104" s="36" t="s">
        <v>31</v>
      </c>
      <c r="D104" s="31">
        <v>116.47888888888889</v>
      </c>
      <c r="E104" s="33">
        <v>3.9091598859116101</v>
      </c>
      <c r="F104" s="33">
        <v>1.2593316862378496</v>
      </c>
      <c r="G104" s="31">
        <v>110.86</v>
      </c>
      <c r="H104" s="31">
        <v>7.9844444444444447</v>
      </c>
      <c r="I104" s="31">
        <v>0</v>
      </c>
      <c r="J104" s="31">
        <v>50.592733333333335</v>
      </c>
      <c r="K104" s="31">
        <v>112.99333333333334</v>
      </c>
      <c r="L104" s="31">
        <v>33.69222222222222</v>
      </c>
      <c r="M104" s="31">
        <v>15.799999999999999</v>
      </c>
      <c r="N104" s="31">
        <v>29.358888888888888</v>
      </c>
      <c r="O104" s="31">
        <v>21.258888888888887</v>
      </c>
      <c r="P104" s="31">
        <v>6.913333333333334</v>
      </c>
      <c r="Q104" s="31">
        <v>9</v>
      </c>
      <c r="R104" s="31">
        <v>0.5</v>
      </c>
      <c r="S104" s="31">
        <v>0</v>
      </c>
      <c r="T104" s="31" t="str">
        <f>VLOOKUP(A104,Rankings!B:E,3,FALSE)</f>
        <v>NL</v>
      </c>
    </row>
    <row r="105" spans="1:20" ht="18.600000000000001" customHeight="1">
      <c r="A105" s="26" t="s">
        <v>346</v>
      </c>
      <c r="B105" s="27" t="s">
        <v>217</v>
      </c>
      <c r="C105" s="36" t="s">
        <v>31</v>
      </c>
      <c r="D105" s="31">
        <v>137.19777777777779</v>
      </c>
      <c r="E105" s="33">
        <v>4.1019541942694238</v>
      </c>
      <c r="F105" s="33">
        <v>1.2522635611201993</v>
      </c>
      <c r="G105" s="31">
        <v>114.89999999999999</v>
      </c>
      <c r="H105" s="31">
        <v>7.9899999999999993</v>
      </c>
      <c r="I105" s="31">
        <v>1.1111111111111112E-2</v>
      </c>
      <c r="J105" s="31">
        <v>62.531000000000006</v>
      </c>
      <c r="K105" s="31">
        <v>138.27333333333334</v>
      </c>
      <c r="L105" s="31">
        <v>33.534444444444439</v>
      </c>
      <c r="M105" s="31">
        <v>18.933333333333334</v>
      </c>
      <c r="N105" s="31">
        <v>33.157777777777774</v>
      </c>
      <c r="O105" s="31">
        <v>23.657777777777778</v>
      </c>
      <c r="P105" s="31">
        <v>7.9777777777777779</v>
      </c>
      <c r="Q105" s="31">
        <v>10</v>
      </c>
      <c r="R105" s="31">
        <v>0</v>
      </c>
      <c r="S105" s="31">
        <v>0</v>
      </c>
      <c r="T105" s="31" t="str">
        <f>VLOOKUP(A105,Rankings!B:E,3,FALSE)</f>
        <v>NL</v>
      </c>
    </row>
    <row r="106" spans="1:20" ht="18.600000000000001" customHeight="1">
      <c r="A106" s="26" t="s">
        <v>359</v>
      </c>
      <c r="B106" s="27" t="s">
        <v>134</v>
      </c>
      <c r="C106" s="36" t="s">
        <v>31</v>
      </c>
      <c r="D106" s="31">
        <v>120.02499999999999</v>
      </c>
      <c r="E106" s="33">
        <v>4.0826494480316606</v>
      </c>
      <c r="F106" s="33">
        <v>1.2977574116503507</v>
      </c>
      <c r="G106" s="31">
        <v>125.29833333333333</v>
      </c>
      <c r="H106" s="31">
        <v>6.8233333333333333</v>
      </c>
      <c r="I106" s="31">
        <v>0</v>
      </c>
      <c r="J106" s="31">
        <v>54.446666666666665</v>
      </c>
      <c r="K106" s="31">
        <v>103.41000000000001</v>
      </c>
      <c r="L106" s="31">
        <v>52.353333333333332</v>
      </c>
      <c r="M106" s="31">
        <v>15.200000000000001</v>
      </c>
      <c r="N106" s="31">
        <v>24.053333333333331</v>
      </c>
      <c r="O106" s="31">
        <v>23.72</v>
      </c>
      <c r="P106" s="31">
        <v>8.01</v>
      </c>
      <c r="Q106" s="31">
        <v>11</v>
      </c>
      <c r="R106" s="31">
        <v>0</v>
      </c>
      <c r="S106" s="31">
        <v>0</v>
      </c>
      <c r="T106" s="31" t="str">
        <f>VLOOKUP(A106,Rankings!B:E,3,FALSE)</f>
        <v>NL</v>
      </c>
    </row>
    <row r="107" spans="1:20" ht="18.600000000000001" customHeight="1">
      <c r="A107" s="26" t="s">
        <v>592</v>
      </c>
      <c r="B107" s="27" t="s">
        <v>91</v>
      </c>
      <c r="C107" s="36" t="s">
        <v>31</v>
      </c>
      <c r="D107" s="31">
        <v>59.958333333333336</v>
      </c>
      <c r="E107" s="33">
        <v>3.2772758860319664</v>
      </c>
      <c r="F107" s="33">
        <v>1.0729673384294651</v>
      </c>
      <c r="G107" s="31">
        <v>66.831666666666663</v>
      </c>
      <c r="H107" s="31">
        <v>3.4650000000000003</v>
      </c>
      <c r="I107" s="31">
        <v>0</v>
      </c>
      <c r="J107" s="31">
        <v>21.833333333333332</v>
      </c>
      <c r="K107" s="31">
        <v>47.433333333333337</v>
      </c>
      <c r="L107" s="31">
        <v>16.900000000000002</v>
      </c>
      <c r="M107" s="31">
        <v>7.2</v>
      </c>
      <c r="N107" s="31">
        <v>22.28</v>
      </c>
      <c r="O107" s="31">
        <v>10.906666666666666</v>
      </c>
      <c r="P107" s="31">
        <v>2.56</v>
      </c>
      <c r="Q107" s="31">
        <v>6.6</v>
      </c>
      <c r="R107" s="31">
        <v>0</v>
      </c>
      <c r="S107" s="31">
        <v>0</v>
      </c>
      <c r="T107" s="31" t="str">
        <f>VLOOKUP(A107,Rankings!B:E,3,FALSE)</f>
        <v>NL</v>
      </c>
    </row>
    <row r="108" spans="1:20" ht="18.600000000000001" customHeight="1">
      <c r="A108" s="26" t="s">
        <v>464</v>
      </c>
      <c r="B108" s="27" t="s">
        <v>99</v>
      </c>
      <c r="C108" s="36" t="s">
        <v>31</v>
      </c>
      <c r="D108" s="31">
        <v>163.16555555555556</v>
      </c>
      <c r="E108" s="33">
        <v>4.3820204427677405</v>
      </c>
      <c r="F108" s="33">
        <v>1.3517831241615537</v>
      </c>
      <c r="G108" s="31">
        <v>133.14666666666668</v>
      </c>
      <c r="H108" s="31">
        <v>9.0055555555555546</v>
      </c>
      <c r="I108" s="31">
        <v>0</v>
      </c>
      <c r="J108" s="31">
        <v>79.443866666666665</v>
      </c>
      <c r="K108" s="31">
        <v>166.79222222222222</v>
      </c>
      <c r="L108" s="31">
        <v>53.772222222222219</v>
      </c>
      <c r="M108" s="31">
        <v>21.233333333333334</v>
      </c>
      <c r="N108" s="31">
        <v>29.042222222222222</v>
      </c>
      <c r="O108" s="31">
        <v>29.042222222222222</v>
      </c>
      <c r="P108" s="31">
        <v>10.061111111111112</v>
      </c>
      <c r="Q108" s="31">
        <v>14</v>
      </c>
      <c r="R108" s="31">
        <v>0</v>
      </c>
      <c r="S108" s="31">
        <v>0</v>
      </c>
      <c r="T108" s="31" t="str">
        <f>VLOOKUP(A108,Rankings!B:E,3,FALSE)</f>
        <v>AL</v>
      </c>
    </row>
    <row r="109" spans="1:20" ht="18.600000000000001" customHeight="1">
      <c r="A109" s="26" t="s">
        <v>752</v>
      </c>
      <c r="B109" s="27" t="s">
        <v>68</v>
      </c>
      <c r="C109" s="36" t="s">
        <v>31</v>
      </c>
      <c r="D109" s="31">
        <v>103.74000000000001</v>
      </c>
      <c r="E109" s="33">
        <v>3.8373703489492961</v>
      </c>
      <c r="F109" s="33">
        <v>1.2132896343422659</v>
      </c>
      <c r="G109" s="31">
        <v>101.26666666666667</v>
      </c>
      <c r="H109" s="31">
        <v>5.7677777777777779</v>
      </c>
      <c r="I109" s="31">
        <v>0</v>
      </c>
      <c r="J109" s="31">
        <v>44.232088888888889</v>
      </c>
      <c r="K109" s="31">
        <v>89.733333333333334</v>
      </c>
      <c r="L109" s="31">
        <v>36.133333333333333</v>
      </c>
      <c r="M109" s="31">
        <v>11.966666666666667</v>
      </c>
      <c r="N109" s="31">
        <v>35.31666666666667</v>
      </c>
      <c r="O109" s="31">
        <v>14.075000000000001</v>
      </c>
      <c r="P109" s="31">
        <v>5.7111111111111112</v>
      </c>
      <c r="Q109" s="31">
        <v>9</v>
      </c>
      <c r="R109" s="31">
        <v>0</v>
      </c>
      <c r="S109" s="31">
        <v>0</v>
      </c>
      <c r="T109" s="31" t="str">
        <f>VLOOKUP(A109,Rankings!B:E,3,FALSE)</f>
        <v>AL</v>
      </c>
    </row>
    <row r="110" spans="1:20" ht="18.600000000000001" customHeight="1">
      <c r="A110" s="26" t="s">
        <v>440</v>
      </c>
      <c r="B110" s="27" t="s">
        <v>258</v>
      </c>
      <c r="C110" s="36" t="s">
        <v>31</v>
      </c>
      <c r="D110" s="31">
        <v>129.98166666666665</v>
      </c>
      <c r="E110" s="33">
        <v>4.2472443549731373</v>
      </c>
      <c r="F110" s="33">
        <v>1.2616522842965034</v>
      </c>
      <c r="G110" s="31">
        <v>120.05166666666666</v>
      </c>
      <c r="H110" s="31">
        <v>6.53</v>
      </c>
      <c r="I110" s="31">
        <v>0</v>
      </c>
      <c r="J110" s="31">
        <v>61.34043333333333</v>
      </c>
      <c r="K110" s="31">
        <v>123.63166666666666</v>
      </c>
      <c r="L110" s="31">
        <v>40.36</v>
      </c>
      <c r="M110" s="31">
        <v>18.666666666666668</v>
      </c>
      <c r="N110" s="31">
        <v>24.655000000000001</v>
      </c>
      <c r="O110" s="31">
        <v>23.671666666666667</v>
      </c>
      <c r="P110" s="31">
        <v>9.7966666666666669</v>
      </c>
      <c r="Q110" s="31">
        <v>13</v>
      </c>
      <c r="R110" s="31">
        <v>0</v>
      </c>
      <c r="S110" s="31">
        <v>0</v>
      </c>
      <c r="T110" s="31" t="str">
        <f>VLOOKUP(A110,Rankings!B:E,3,FALSE)</f>
        <v>AL</v>
      </c>
    </row>
    <row r="111" spans="1:20" ht="18.600000000000001" customHeight="1">
      <c r="A111" s="26" t="s">
        <v>494</v>
      </c>
      <c r="B111" s="27" t="s">
        <v>103</v>
      </c>
      <c r="C111" s="36" t="s">
        <v>31</v>
      </c>
      <c r="D111" s="31">
        <v>150.48833333333332</v>
      </c>
      <c r="E111" s="33">
        <v>4.4769809398292235</v>
      </c>
      <c r="F111" s="33">
        <v>1.2984173745473071</v>
      </c>
      <c r="G111" s="31">
        <v>124.72222222222223</v>
      </c>
      <c r="H111" s="31">
        <v>8.9777777777777779</v>
      </c>
      <c r="I111" s="31">
        <v>0</v>
      </c>
      <c r="J111" s="31">
        <v>74.85926666666667</v>
      </c>
      <c r="K111" s="31">
        <v>158.99777777777777</v>
      </c>
      <c r="L111" s="31">
        <v>36.398888888888891</v>
      </c>
      <c r="M111" s="31">
        <v>21.266666666666666</v>
      </c>
      <c r="N111" s="31">
        <v>28.069999999999997</v>
      </c>
      <c r="O111" s="31">
        <v>28.053333333333331</v>
      </c>
      <c r="P111" s="31">
        <v>8.9499999999999993</v>
      </c>
      <c r="Q111" s="31">
        <v>12</v>
      </c>
      <c r="R111" s="31">
        <v>0</v>
      </c>
      <c r="S111" s="31">
        <v>0</v>
      </c>
      <c r="T111" s="31" t="str">
        <f>VLOOKUP(A111,Rankings!B:E,3,FALSE)</f>
        <v>AL</v>
      </c>
    </row>
    <row r="112" spans="1:20" ht="18.600000000000001" customHeight="1">
      <c r="A112" s="26" t="s">
        <v>449</v>
      </c>
      <c r="B112" s="27" t="s">
        <v>99</v>
      </c>
      <c r="C112" s="36" t="s">
        <v>31</v>
      </c>
      <c r="D112" s="31">
        <v>169.92333333333332</v>
      </c>
      <c r="E112" s="33">
        <v>4.4774003962571367</v>
      </c>
      <c r="F112" s="33">
        <v>1.2953227272430052</v>
      </c>
      <c r="G112" s="31">
        <v>121.48333333333333</v>
      </c>
      <c r="H112" s="31">
        <v>8.99</v>
      </c>
      <c r="I112" s="31">
        <v>0</v>
      </c>
      <c r="J112" s="31">
        <v>84.534977777777783</v>
      </c>
      <c r="K112" s="31">
        <v>181.5</v>
      </c>
      <c r="L112" s="31">
        <v>38.605555555555554</v>
      </c>
      <c r="M112" s="31">
        <v>25.833333333333332</v>
      </c>
      <c r="N112" s="31">
        <v>30.942222222222224</v>
      </c>
      <c r="O112" s="31">
        <v>28.986666666666668</v>
      </c>
      <c r="P112" s="31">
        <v>11.012222222222222</v>
      </c>
      <c r="Q112" s="31">
        <v>13</v>
      </c>
      <c r="R112" s="31">
        <v>0</v>
      </c>
      <c r="S112" s="31">
        <v>0</v>
      </c>
      <c r="T112" s="31" t="str">
        <f>VLOOKUP(A112,Rankings!B:E,3,FALSE)</f>
        <v>AL</v>
      </c>
    </row>
    <row r="113" spans="1:20" ht="18.600000000000001" customHeight="1">
      <c r="A113" s="26" t="s">
        <v>572</v>
      </c>
      <c r="B113" s="27" t="s">
        <v>99</v>
      </c>
      <c r="C113" s="36" t="s">
        <v>31</v>
      </c>
      <c r="D113" s="31">
        <v>134.67333333333332</v>
      </c>
      <c r="E113" s="33">
        <v>4.2868338201079155</v>
      </c>
      <c r="F113" s="33">
        <v>1.3347029024965764</v>
      </c>
      <c r="G113" s="31">
        <v>125.56888888888888</v>
      </c>
      <c r="H113" s="31">
        <v>7.4088888888888889</v>
      </c>
      <c r="I113" s="31">
        <v>0</v>
      </c>
      <c r="J113" s="31">
        <v>64.146911111111109</v>
      </c>
      <c r="K113" s="31">
        <v>129.53</v>
      </c>
      <c r="L113" s="31">
        <v>50.218888888888891</v>
      </c>
      <c r="M113" s="31">
        <v>18.166666666666668</v>
      </c>
      <c r="N113" s="31">
        <v>25.936666666666667</v>
      </c>
      <c r="O113" s="31">
        <v>25.592222222222222</v>
      </c>
      <c r="P113" s="31">
        <v>8.5466666666666669</v>
      </c>
      <c r="Q113" s="31">
        <v>12</v>
      </c>
      <c r="R113" s="31">
        <v>0</v>
      </c>
      <c r="S113" s="31">
        <v>0</v>
      </c>
      <c r="T113" s="31" t="str">
        <f>VLOOKUP(A113,Rankings!B:E,3,FALSE)</f>
        <v>AL</v>
      </c>
    </row>
    <row r="114" spans="1:20" ht="18.600000000000001" customHeight="1">
      <c r="A114" s="26" t="s">
        <v>431</v>
      </c>
      <c r="B114" s="27" t="s">
        <v>81</v>
      </c>
      <c r="C114" s="36" t="s">
        <v>31</v>
      </c>
      <c r="D114" s="31">
        <v>142.92333333333332</v>
      </c>
      <c r="E114" s="33">
        <v>4.3208214194090067</v>
      </c>
      <c r="F114" s="33">
        <v>1.2812230333278916</v>
      </c>
      <c r="G114" s="31">
        <v>108.05</v>
      </c>
      <c r="H114" s="31">
        <v>9.9266666666666676</v>
      </c>
      <c r="I114" s="31">
        <v>0</v>
      </c>
      <c r="J114" s="31">
        <v>68.616244444444433</v>
      </c>
      <c r="K114" s="31">
        <v>147.82444444444445</v>
      </c>
      <c r="L114" s="31">
        <v>35.292222222222222</v>
      </c>
      <c r="M114" s="31">
        <v>19.366666666666667</v>
      </c>
      <c r="N114" s="31">
        <v>26.058888888888887</v>
      </c>
      <c r="O114" s="31">
        <v>26.047777777777778</v>
      </c>
      <c r="P114" s="31">
        <v>8</v>
      </c>
      <c r="Q114" s="31">
        <v>10</v>
      </c>
      <c r="R114" s="31">
        <v>0</v>
      </c>
      <c r="S114" s="31">
        <v>0</v>
      </c>
      <c r="T114" s="31" t="str">
        <f>VLOOKUP(A114,Rankings!B:E,3,FALSE)</f>
        <v>NL</v>
      </c>
    </row>
    <row r="115" spans="1:20" ht="18.600000000000001" customHeight="1">
      <c r="A115" s="26" t="s">
        <v>472</v>
      </c>
      <c r="B115" s="27" t="s">
        <v>63</v>
      </c>
      <c r="C115" s="36" t="s">
        <v>31</v>
      </c>
      <c r="D115" s="31">
        <v>134.59333333333333</v>
      </c>
      <c r="E115" s="33">
        <v>4.3344137896874546</v>
      </c>
      <c r="F115" s="33">
        <v>1.286732048805455</v>
      </c>
      <c r="G115" s="31">
        <v>115.30444444444443</v>
      </c>
      <c r="H115" s="31">
        <v>7.9944444444444445</v>
      </c>
      <c r="I115" s="31">
        <v>0</v>
      </c>
      <c r="J115" s="31">
        <v>64.820355555555565</v>
      </c>
      <c r="K115" s="31">
        <v>135.01222222222222</v>
      </c>
      <c r="L115" s="31">
        <v>38.173333333333332</v>
      </c>
      <c r="M115" s="31">
        <v>21.366666666666664</v>
      </c>
      <c r="N115" s="31">
        <v>27.196666666666669</v>
      </c>
      <c r="O115" s="31">
        <v>25.296666666666667</v>
      </c>
      <c r="P115" s="31">
        <v>6.9888888888888898</v>
      </c>
      <c r="Q115" s="31">
        <v>11</v>
      </c>
      <c r="R115" s="31">
        <v>0.5</v>
      </c>
      <c r="S115" s="31">
        <v>0</v>
      </c>
      <c r="T115" s="31" t="str">
        <f>VLOOKUP(A115,Rankings!B:E,3,FALSE)</f>
        <v>NL</v>
      </c>
    </row>
    <row r="116" spans="1:20" ht="18.600000000000001" customHeight="1">
      <c r="A116" s="26" t="s">
        <v>555</v>
      </c>
      <c r="B116" s="27" t="s">
        <v>84</v>
      </c>
      <c r="C116" s="36" t="s">
        <v>31</v>
      </c>
      <c r="D116" s="31">
        <v>134.60777777777776</v>
      </c>
      <c r="E116" s="33">
        <v>4.3621312950382594</v>
      </c>
      <c r="F116" s="33">
        <v>1.3128760926807932</v>
      </c>
      <c r="G116" s="31">
        <v>118.65777777777778</v>
      </c>
      <c r="H116" s="31">
        <v>8.3144444444444456</v>
      </c>
      <c r="I116" s="31">
        <v>0</v>
      </c>
      <c r="J116" s="31">
        <v>65.241866666666667</v>
      </c>
      <c r="K116" s="31">
        <v>131.57666666666668</v>
      </c>
      <c r="L116" s="31">
        <v>45.146666666666668</v>
      </c>
      <c r="M116" s="31">
        <v>18.233333333333334</v>
      </c>
      <c r="N116" s="31">
        <v>25.838888888888889</v>
      </c>
      <c r="O116" s="31">
        <v>25.461111111111109</v>
      </c>
      <c r="P116" s="31">
        <v>8.9633333333333329</v>
      </c>
      <c r="Q116" s="31">
        <v>10</v>
      </c>
      <c r="R116" s="31">
        <v>0</v>
      </c>
      <c r="S116" s="31">
        <v>0</v>
      </c>
      <c r="T116" s="31" t="str">
        <f>VLOOKUP(A116,Rankings!B:E,3,FALSE)</f>
        <v>AL</v>
      </c>
    </row>
    <row r="117" spans="1:20" ht="18.600000000000001" customHeight="1">
      <c r="A117" s="26" t="s">
        <v>453</v>
      </c>
      <c r="B117" s="27" t="s">
        <v>137</v>
      </c>
      <c r="C117" s="36" t="s">
        <v>31</v>
      </c>
      <c r="D117" s="31">
        <v>156.04499999999999</v>
      </c>
      <c r="E117" s="33">
        <v>4.3885013938287036</v>
      </c>
      <c r="F117" s="33">
        <v>1.4187467290418363</v>
      </c>
      <c r="G117" s="31">
        <v>137.68333333333334</v>
      </c>
      <c r="H117" s="31">
        <v>7.996666666666667</v>
      </c>
      <c r="I117" s="31">
        <v>0</v>
      </c>
      <c r="J117" s="31">
        <v>76.089299999999994</v>
      </c>
      <c r="K117" s="31">
        <v>159.42499999999998</v>
      </c>
      <c r="L117" s="31">
        <v>61.963333333333331</v>
      </c>
      <c r="M117" s="31">
        <v>16.733333333333334</v>
      </c>
      <c r="N117" s="31">
        <v>29.103333333333335</v>
      </c>
      <c r="O117" s="31">
        <v>29.103333333333335</v>
      </c>
      <c r="P117" s="31">
        <v>10.568333333333333</v>
      </c>
      <c r="Q117" s="31">
        <v>13</v>
      </c>
      <c r="R117" s="31">
        <v>0</v>
      </c>
      <c r="S117" s="31">
        <v>0</v>
      </c>
      <c r="T117" s="31" t="str">
        <f>VLOOKUP(A117,Rankings!B:E,3,FALSE)</f>
        <v>NL</v>
      </c>
    </row>
    <row r="118" spans="1:20" ht="18.600000000000001" customHeight="1">
      <c r="A118" s="26" t="s">
        <v>496</v>
      </c>
      <c r="B118" s="27" t="s">
        <v>99</v>
      </c>
      <c r="C118" s="36" t="s">
        <v>31</v>
      </c>
      <c r="D118" s="31">
        <v>139.92833333333331</v>
      </c>
      <c r="E118" s="33">
        <v>4.2575315935538436</v>
      </c>
      <c r="F118" s="33">
        <v>1.3067760877592103</v>
      </c>
      <c r="G118" s="31">
        <v>109.50833333333333</v>
      </c>
      <c r="H118" s="31">
        <v>7.8658333333333346</v>
      </c>
      <c r="I118" s="31">
        <v>0</v>
      </c>
      <c r="J118" s="31">
        <v>66.194366666666667</v>
      </c>
      <c r="K118" s="31">
        <v>139.98333333333332</v>
      </c>
      <c r="L118" s="31">
        <v>42.87166666666667</v>
      </c>
      <c r="M118" s="31">
        <v>18.333333333333332</v>
      </c>
      <c r="N118" s="31">
        <v>25.391666666666666</v>
      </c>
      <c r="O118" s="31">
        <v>25.087500000000002</v>
      </c>
      <c r="P118" s="31">
        <v>8.3833333333333329</v>
      </c>
      <c r="Q118" s="31">
        <v>10</v>
      </c>
      <c r="R118" s="31">
        <v>0</v>
      </c>
      <c r="S118" s="31">
        <v>0</v>
      </c>
      <c r="T118" s="31" t="str">
        <f>VLOOKUP(A118,Rankings!B:E,3,FALSE)</f>
        <v>AL</v>
      </c>
    </row>
    <row r="119" spans="1:20" ht="18.600000000000001" customHeight="1">
      <c r="A119" s="26" t="s">
        <v>540</v>
      </c>
      <c r="B119" s="27" t="s">
        <v>91</v>
      </c>
      <c r="C119" s="36" t="s">
        <v>31</v>
      </c>
      <c r="D119" s="31">
        <v>103.94333333333333</v>
      </c>
      <c r="E119" s="33">
        <v>4.1746977519802462</v>
      </c>
      <c r="F119" s="33">
        <v>1.2045665907706122</v>
      </c>
      <c r="G119" s="31">
        <v>93.867777777777789</v>
      </c>
      <c r="H119" s="31">
        <v>6.3122222222222222</v>
      </c>
      <c r="I119" s="31">
        <v>0</v>
      </c>
      <c r="J119" s="31">
        <v>48.214666666666666</v>
      </c>
      <c r="K119" s="31">
        <v>100.77</v>
      </c>
      <c r="L119" s="31">
        <v>24.436666666666667</v>
      </c>
      <c r="M119" s="31">
        <v>16.633333333333333</v>
      </c>
      <c r="N119" s="31">
        <v>33.055</v>
      </c>
      <c r="O119" s="31">
        <v>15.877777777777778</v>
      </c>
      <c r="P119" s="31">
        <v>5.4683333333333337</v>
      </c>
      <c r="Q119" s="31">
        <v>5</v>
      </c>
      <c r="R119" s="31">
        <v>2</v>
      </c>
      <c r="S119" s="31">
        <v>0</v>
      </c>
      <c r="T119" s="31" t="str">
        <f>VLOOKUP(A119,Rankings!B:E,3,FALSE)</f>
        <v>NL</v>
      </c>
    </row>
    <row r="120" spans="1:20" ht="18.600000000000001" customHeight="1">
      <c r="A120" s="26" t="s">
        <v>430</v>
      </c>
      <c r="B120" s="27" t="s">
        <v>71</v>
      </c>
      <c r="C120" s="36" t="s">
        <v>31</v>
      </c>
      <c r="D120" s="31">
        <v>171.54666666666665</v>
      </c>
      <c r="E120" s="33">
        <v>4.4668416757344946</v>
      </c>
      <c r="F120" s="33">
        <v>1.3226203430229546</v>
      </c>
      <c r="G120" s="31">
        <v>110.86666666666667</v>
      </c>
      <c r="H120" s="31">
        <v>9.9455555555555559</v>
      </c>
      <c r="I120" s="31">
        <v>0</v>
      </c>
      <c r="J120" s="31">
        <v>85.141311111111108</v>
      </c>
      <c r="K120" s="31">
        <v>179.37333333333333</v>
      </c>
      <c r="L120" s="31">
        <v>47.517777777777781</v>
      </c>
      <c r="M120" s="31">
        <v>27</v>
      </c>
      <c r="N120" s="31">
        <v>29.553333333333331</v>
      </c>
      <c r="O120" s="31">
        <v>29.353333333333335</v>
      </c>
      <c r="P120" s="31">
        <v>10.985555555555555</v>
      </c>
      <c r="Q120" s="31">
        <v>12</v>
      </c>
      <c r="R120" s="31">
        <v>0</v>
      </c>
      <c r="S120" s="31">
        <v>0</v>
      </c>
      <c r="T120" s="31" t="str">
        <f>VLOOKUP(A120,Rankings!B:E,3,FALSE)</f>
        <v>AL</v>
      </c>
    </row>
    <row r="121" spans="1:20" ht="18.600000000000001" customHeight="1">
      <c r="A121" s="26" t="s">
        <v>400</v>
      </c>
      <c r="B121" s="27" t="s">
        <v>156</v>
      </c>
      <c r="C121" s="36" t="s">
        <v>31</v>
      </c>
      <c r="D121" s="31">
        <v>90.204999999999998</v>
      </c>
      <c r="E121" s="33">
        <v>3.9462490992738766</v>
      </c>
      <c r="F121" s="33">
        <v>1.1837973997499522</v>
      </c>
      <c r="G121" s="31">
        <v>85.101666666666674</v>
      </c>
      <c r="H121" s="31">
        <v>5.0316666666666663</v>
      </c>
      <c r="I121" s="31">
        <v>0</v>
      </c>
      <c r="J121" s="31">
        <v>39.552377777777778</v>
      </c>
      <c r="K121" s="31">
        <v>85.878888888888881</v>
      </c>
      <c r="L121" s="31">
        <v>20.905555555555555</v>
      </c>
      <c r="M121" s="31">
        <v>13.200000000000001</v>
      </c>
      <c r="N121" s="31">
        <v>30.045555555555556</v>
      </c>
      <c r="O121" s="31">
        <v>15.285000000000002</v>
      </c>
      <c r="P121" s="31">
        <v>5.0466666666666669</v>
      </c>
      <c r="Q121" s="31">
        <v>6</v>
      </c>
      <c r="R121" s="31">
        <v>0</v>
      </c>
      <c r="S121" s="31">
        <v>0</v>
      </c>
      <c r="T121" s="31" t="str">
        <f>VLOOKUP(A121,Rankings!B:E,3,FALSE)</f>
        <v>AL</v>
      </c>
    </row>
    <row r="122" spans="1:20" ht="18.600000000000001" customHeight="1">
      <c r="A122" s="26" t="s">
        <v>634</v>
      </c>
      <c r="B122" s="27" t="s">
        <v>140</v>
      </c>
      <c r="C122" s="36" t="s">
        <v>31</v>
      </c>
      <c r="D122" s="31">
        <v>121.93666666666667</v>
      </c>
      <c r="E122" s="33">
        <v>4.1677373499904329</v>
      </c>
      <c r="F122" s="33">
        <v>1.2829064268336021</v>
      </c>
      <c r="G122" s="31">
        <v>105.89999999999999</v>
      </c>
      <c r="H122" s="31">
        <v>5.9333333333333336</v>
      </c>
      <c r="I122" s="31">
        <v>0</v>
      </c>
      <c r="J122" s="31">
        <v>56.466666666666669</v>
      </c>
      <c r="K122" s="31">
        <v>118.16666666666667</v>
      </c>
      <c r="L122" s="31">
        <v>38.266666666666666</v>
      </c>
      <c r="M122" s="31">
        <v>16.266666666666666</v>
      </c>
      <c r="N122" s="31">
        <v>29.966666666666665</v>
      </c>
      <c r="O122" s="31">
        <v>19.333333333333332</v>
      </c>
      <c r="P122" s="31">
        <v>8.0666666666666664</v>
      </c>
      <c r="Q122" s="31">
        <v>12</v>
      </c>
      <c r="R122" s="31">
        <v>0</v>
      </c>
      <c r="S122" s="31">
        <v>0</v>
      </c>
      <c r="T122" s="31" t="str">
        <f>VLOOKUP(A122,Rankings!B:E,3,FALSE)</f>
        <v>AL</v>
      </c>
    </row>
    <row r="123" spans="1:20" ht="18.600000000000001" customHeight="1">
      <c r="A123" s="26" t="s">
        <v>552</v>
      </c>
      <c r="B123" s="27" t="s">
        <v>103</v>
      </c>
      <c r="C123" s="36" t="s">
        <v>31</v>
      </c>
      <c r="D123" s="31">
        <v>111.66833333333334</v>
      </c>
      <c r="E123" s="33">
        <v>4.3852852942493392</v>
      </c>
      <c r="F123" s="33">
        <v>1.3000179101804452</v>
      </c>
      <c r="G123" s="31">
        <v>112.96166666666666</v>
      </c>
      <c r="H123" s="31">
        <v>6.958333333333333</v>
      </c>
      <c r="I123" s="31">
        <v>0</v>
      </c>
      <c r="J123" s="31">
        <v>54.410833333333329</v>
      </c>
      <c r="K123" s="31">
        <v>105.47500000000001</v>
      </c>
      <c r="L123" s="31">
        <v>39.695833333333333</v>
      </c>
      <c r="M123" s="31">
        <v>16.066666666666666</v>
      </c>
      <c r="N123" s="31">
        <v>27.111666666666668</v>
      </c>
      <c r="O123" s="31">
        <v>21.411666666666665</v>
      </c>
      <c r="P123" s="31">
        <v>6.8024999999999993</v>
      </c>
      <c r="Q123" s="31">
        <v>10</v>
      </c>
      <c r="R123" s="31">
        <v>0</v>
      </c>
      <c r="S123" s="31">
        <v>0</v>
      </c>
      <c r="T123" s="31" t="str">
        <f>VLOOKUP(A123,Rankings!B:E,3,FALSE)</f>
        <v>AL</v>
      </c>
    </row>
    <row r="124" spans="1:20" ht="18.600000000000001" customHeight="1">
      <c r="A124" s="26" t="s">
        <v>467</v>
      </c>
      <c r="B124" s="27" t="s">
        <v>97</v>
      </c>
      <c r="C124" s="36" t="s">
        <v>31</v>
      </c>
      <c r="D124" s="31">
        <v>78.888333333333335</v>
      </c>
      <c r="E124" s="33">
        <v>3.6180254790526694</v>
      </c>
      <c r="F124" s="33">
        <v>1.2660370847682025</v>
      </c>
      <c r="G124" s="31">
        <v>89.405833333333348</v>
      </c>
      <c r="H124" s="31">
        <v>4.0975000000000001</v>
      </c>
      <c r="I124" s="31">
        <v>3.3333333333333333E-2</v>
      </c>
      <c r="J124" s="31">
        <v>31.713333333333335</v>
      </c>
      <c r="K124" s="31">
        <v>67.752222222222215</v>
      </c>
      <c r="L124" s="31">
        <v>32.123333333333335</v>
      </c>
      <c r="M124" s="31">
        <v>7.166666666666667</v>
      </c>
      <c r="N124" s="31">
        <v>38.613333333333337</v>
      </c>
      <c r="O124" s="31">
        <v>8.8016666666666659</v>
      </c>
      <c r="P124" s="31">
        <v>4.1061111111111108</v>
      </c>
      <c r="Q124" s="31">
        <v>2</v>
      </c>
      <c r="R124" s="31">
        <v>1.5</v>
      </c>
      <c r="S124" s="31">
        <v>0</v>
      </c>
      <c r="T124" s="31" t="str">
        <f>VLOOKUP(A124,Rankings!B:E,3,FALSE)</f>
        <v>NL</v>
      </c>
    </row>
    <row r="125" spans="1:20" ht="18.600000000000001" customHeight="1">
      <c r="A125" s="26" t="s">
        <v>391</v>
      </c>
      <c r="B125" s="27" t="s">
        <v>63</v>
      </c>
      <c r="C125" s="36" t="s">
        <v>31</v>
      </c>
      <c r="D125" s="31">
        <v>123.01777777777778</v>
      </c>
      <c r="E125" s="33">
        <v>4.2158134325662058</v>
      </c>
      <c r="F125" s="33">
        <v>1.3307200404638897</v>
      </c>
      <c r="G125" s="31">
        <v>107.71111111111111</v>
      </c>
      <c r="H125" s="31">
        <v>6.3500000000000005</v>
      </c>
      <c r="I125" s="31">
        <v>1.4000000000000001</v>
      </c>
      <c r="J125" s="31">
        <v>57.624444444444443</v>
      </c>
      <c r="K125" s="31">
        <v>117.32222222222224</v>
      </c>
      <c r="L125" s="31">
        <v>46.379999999999995</v>
      </c>
      <c r="M125" s="31">
        <v>16.433333333333334</v>
      </c>
      <c r="N125" s="31">
        <v>32.996666666666663</v>
      </c>
      <c r="O125" s="31">
        <v>18.896666666666665</v>
      </c>
      <c r="P125" s="31">
        <v>6.0122222222222232</v>
      </c>
      <c r="Q125" s="31">
        <v>7</v>
      </c>
      <c r="R125" s="31">
        <v>2</v>
      </c>
      <c r="S125" s="31">
        <v>0</v>
      </c>
      <c r="T125" s="31" t="str">
        <f>VLOOKUP(A125,Rankings!B:E,3,FALSE)</f>
        <v>NL</v>
      </c>
    </row>
    <row r="126" spans="1:20" ht="18.600000000000001" customHeight="1">
      <c r="A126" s="26" t="s">
        <v>757</v>
      </c>
      <c r="B126" s="27" t="s">
        <v>140</v>
      </c>
      <c r="C126" s="36" t="s">
        <v>31</v>
      </c>
      <c r="D126" s="31">
        <v>136.54499999999999</v>
      </c>
      <c r="E126" s="33">
        <v>4.3282434362298146</v>
      </c>
      <c r="F126" s="33">
        <v>1.3670706848780012</v>
      </c>
      <c r="G126" s="31">
        <v>119.84166666666665</v>
      </c>
      <c r="H126" s="31">
        <v>6.6883333333333335</v>
      </c>
      <c r="I126" s="31">
        <v>0</v>
      </c>
      <c r="J126" s="31">
        <v>65.666666666666671</v>
      </c>
      <c r="K126" s="31">
        <v>127</v>
      </c>
      <c r="L126" s="31">
        <v>59.666666666666664</v>
      </c>
      <c r="M126" s="31">
        <v>16.666666666666668</v>
      </c>
      <c r="N126" s="31">
        <v>26.391666666666666</v>
      </c>
      <c r="O126" s="31">
        <v>23.724999999999998</v>
      </c>
      <c r="P126" s="31">
        <v>9.0499999999999989</v>
      </c>
      <c r="Q126" s="31">
        <v>10</v>
      </c>
      <c r="R126" s="31">
        <v>0</v>
      </c>
      <c r="S126" s="31">
        <v>0</v>
      </c>
      <c r="T126" s="31" t="str">
        <f>VLOOKUP(A126,Rankings!B:E,3,FALSE)</f>
        <v>NL</v>
      </c>
    </row>
    <row r="127" spans="1:20" ht="18.600000000000001" customHeight="1">
      <c r="A127" s="26" t="s">
        <v>484</v>
      </c>
      <c r="B127" s="27" t="s">
        <v>103</v>
      </c>
      <c r="C127" s="36" t="s">
        <v>31</v>
      </c>
      <c r="D127" s="31">
        <v>103.33500000000002</v>
      </c>
      <c r="E127" s="33">
        <v>3.9555949097595198</v>
      </c>
      <c r="F127" s="33">
        <v>1.3272151524437774</v>
      </c>
      <c r="G127" s="31">
        <v>98.963333333333324</v>
      </c>
      <c r="H127" s="31">
        <v>6.4216666666666669</v>
      </c>
      <c r="I127" s="31">
        <v>0</v>
      </c>
      <c r="J127" s="31">
        <v>45.41682222222223</v>
      </c>
      <c r="K127" s="31">
        <v>99.636666666666656</v>
      </c>
      <c r="L127" s="31">
        <v>37.511111111111113</v>
      </c>
      <c r="M127" s="31">
        <v>9.3666666666666671</v>
      </c>
      <c r="N127" s="31">
        <v>23.473333333333333</v>
      </c>
      <c r="O127" s="31">
        <v>19.423333333333332</v>
      </c>
      <c r="P127" s="31">
        <v>6.6766666666666667</v>
      </c>
      <c r="Q127" s="31">
        <v>9</v>
      </c>
      <c r="R127" s="31">
        <v>0</v>
      </c>
      <c r="S127" s="31">
        <v>0</v>
      </c>
      <c r="T127" s="31" t="str">
        <f>VLOOKUP(A127,Rankings!B:E,3,FALSE)</f>
        <v>AL</v>
      </c>
    </row>
    <row r="128" spans="1:20" ht="18.600000000000001" customHeight="1">
      <c r="A128" s="26" t="s">
        <v>520</v>
      </c>
      <c r="B128" s="27" t="s">
        <v>76</v>
      </c>
      <c r="C128" s="36" t="s">
        <v>31</v>
      </c>
      <c r="D128" s="31">
        <v>133.60222222222222</v>
      </c>
      <c r="E128" s="33">
        <v>4.3175464479965404</v>
      </c>
      <c r="F128" s="33">
        <v>1.2739724888142245</v>
      </c>
      <c r="G128" s="31">
        <v>100.03222222222223</v>
      </c>
      <c r="H128" s="31">
        <v>7.0155555555555553</v>
      </c>
      <c r="I128" s="31">
        <v>0</v>
      </c>
      <c r="J128" s="31">
        <v>64.092644444444446</v>
      </c>
      <c r="K128" s="31">
        <v>134.20222222222222</v>
      </c>
      <c r="L128" s="31">
        <v>36.003333333333337</v>
      </c>
      <c r="M128" s="31">
        <v>20.066666666666666</v>
      </c>
      <c r="N128" s="31">
        <v>24.035555555555558</v>
      </c>
      <c r="O128" s="31">
        <v>23.49111111111111</v>
      </c>
      <c r="P128" s="31">
        <v>8.0122222222222224</v>
      </c>
      <c r="Q128" s="31">
        <v>10</v>
      </c>
      <c r="R128" s="31">
        <v>0</v>
      </c>
      <c r="S128" s="31">
        <v>0</v>
      </c>
      <c r="T128" s="31" t="str">
        <f>VLOOKUP(A128,Rankings!B:E,3,FALSE)</f>
        <v>AL</v>
      </c>
    </row>
    <row r="129" spans="1:20" ht="18.600000000000001" customHeight="1">
      <c r="A129" s="26" t="s">
        <v>562</v>
      </c>
      <c r="B129" s="27" t="s">
        <v>94</v>
      </c>
      <c r="C129" s="36" t="s">
        <v>31</v>
      </c>
      <c r="D129" s="31">
        <v>109.81333333333332</v>
      </c>
      <c r="E129" s="33">
        <v>4.2967459932005836</v>
      </c>
      <c r="F129" s="33">
        <v>1.3590132750526147</v>
      </c>
      <c r="G129" s="31">
        <v>114.48</v>
      </c>
      <c r="H129" s="31">
        <v>6.4355555555555553</v>
      </c>
      <c r="I129" s="31">
        <v>1.1111111111111112E-2</v>
      </c>
      <c r="J129" s="31">
        <v>52.426666666666669</v>
      </c>
      <c r="K129" s="31">
        <v>102.64222222222223</v>
      </c>
      <c r="L129" s="31">
        <v>46.595555555555556</v>
      </c>
      <c r="M129" s="31">
        <v>16.7</v>
      </c>
      <c r="N129" s="31">
        <v>33.148888888888891</v>
      </c>
      <c r="O129" s="31">
        <v>19.235555555555553</v>
      </c>
      <c r="P129" s="31">
        <v>6.3411111111111111</v>
      </c>
      <c r="Q129" s="31">
        <v>7</v>
      </c>
      <c r="R129" s="31">
        <v>1</v>
      </c>
      <c r="S129" s="31">
        <v>0</v>
      </c>
      <c r="T129" s="31" t="str">
        <f>VLOOKUP(A129,Rankings!B:E,3,FALSE)</f>
        <v>AL</v>
      </c>
    </row>
    <row r="130" spans="1:20" ht="18.600000000000001" customHeight="1">
      <c r="A130" s="26" t="s">
        <v>607</v>
      </c>
      <c r="B130" s="27" t="s">
        <v>258</v>
      </c>
      <c r="C130" s="36" t="s">
        <v>31</v>
      </c>
      <c r="D130" s="31">
        <v>112.87333333333332</v>
      </c>
      <c r="E130" s="33">
        <v>4.0383852105605111</v>
      </c>
      <c r="F130" s="33">
        <v>1.2983432756482196</v>
      </c>
      <c r="G130" s="31">
        <v>95.75</v>
      </c>
      <c r="H130" s="31">
        <v>6.003333333333333</v>
      </c>
      <c r="I130" s="31">
        <v>0</v>
      </c>
      <c r="J130" s="31">
        <v>50.647333333333336</v>
      </c>
      <c r="K130" s="31">
        <v>107.41666666666667</v>
      </c>
      <c r="L130" s="31">
        <v>39.131666666666668</v>
      </c>
      <c r="M130" s="31">
        <v>10.733333333333334</v>
      </c>
      <c r="N130" s="31">
        <v>27.128333333333334</v>
      </c>
      <c r="O130" s="31">
        <v>20.161666666666665</v>
      </c>
      <c r="P130" s="31">
        <v>7.915</v>
      </c>
      <c r="Q130" s="31">
        <v>9</v>
      </c>
      <c r="R130" s="31">
        <v>0</v>
      </c>
      <c r="S130" s="31">
        <v>0</v>
      </c>
      <c r="T130" s="31" t="str">
        <f>VLOOKUP(A130,Rankings!B:E,3,FALSE)</f>
        <v>AL</v>
      </c>
    </row>
    <row r="131" spans="1:20" ht="18.600000000000001" customHeight="1">
      <c r="A131" s="26" t="s">
        <v>497</v>
      </c>
      <c r="B131" s="27" t="s">
        <v>76</v>
      </c>
      <c r="C131" s="36" t="s">
        <v>31</v>
      </c>
      <c r="D131" s="31">
        <v>68.016666666666666</v>
      </c>
      <c r="E131" s="33">
        <v>3.6976966429796616</v>
      </c>
      <c r="F131" s="33">
        <v>1.216295025728988</v>
      </c>
      <c r="G131" s="31">
        <v>75.953333333333333</v>
      </c>
      <c r="H131" s="31">
        <v>3.9088888888888889</v>
      </c>
      <c r="I131" s="31">
        <v>0</v>
      </c>
      <c r="J131" s="31">
        <v>27.944999999999997</v>
      </c>
      <c r="K131" s="31">
        <v>57.606666666666662</v>
      </c>
      <c r="L131" s="31">
        <v>25.121666666666666</v>
      </c>
      <c r="M131" s="31">
        <v>8</v>
      </c>
      <c r="N131" s="31">
        <v>43.984444444444442</v>
      </c>
      <c r="O131" s="31">
        <v>6.2366666666666672</v>
      </c>
      <c r="P131" s="31">
        <v>3.5933333333333333</v>
      </c>
      <c r="Q131" s="31">
        <v>1</v>
      </c>
      <c r="R131" s="31">
        <v>3</v>
      </c>
      <c r="S131" s="31">
        <v>0</v>
      </c>
      <c r="T131" s="31" t="str">
        <f>VLOOKUP(A131,Rankings!B:E,3,FALSE)</f>
        <v>AL</v>
      </c>
    </row>
    <row r="132" spans="1:20" ht="18.600000000000001" customHeight="1">
      <c r="A132" s="26" t="s">
        <v>350</v>
      </c>
      <c r="B132" s="27" t="s">
        <v>95</v>
      </c>
      <c r="C132" s="36" t="s">
        <v>31</v>
      </c>
      <c r="D132" s="31">
        <v>101.73066666666666</v>
      </c>
      <c r="E132" s="33">
        <v>3.8937752496788902</v>
      </c>
      <c r="F132" s="33">
        <v>1.3148601536082205</v>
      </c>
      <c r="G132" s="31">
        <v>92.455466666666666</v>
      </c>
      <c r="H132" s="31">
        <v>5.674666666666667</v>
      </c>
      <c r="I132" s="31">
        <v>0</v>
      </c>
      <c r="J132" s="31">
        <v>44.012927999999995</v>
      </c>
      <c r="K132" s="31">
        <v>99.437333333333342</v>
      </c>
      <c r="L132" s="31">
        <v>34.324266666666666</v>
      </c>
      <c r="M132" s="31">
        <v>11.050666666666666</v>
      </c>
      <c r="N132" s="31">
        <v>19.368533333333335</v>
      </c>
      <c r="O132" s="31">
        <v>19.224533333333333</v>
      </c>
      <c r="P132" s="31">
        <v>5.2234666666666669</v>
      </c>
      <c r="Q132" s="31">
        <v>8.9600000000000009</v>
      </c>
      <c r="R132" s="31">
        <v>0</v>
      </c>
      <c r="S132" s="31">
        <v>0</v>
      </c>
      <c r="T132" s="31" t="str">
        <f>VLOOKUP(A132,Rankings!B:E,3,FALSE)</f>
        <v>NL</v>
      </c>
    </row>
    <row r="133" spans="1:20" ht="18.600000000000001" customHeight="1">
      <c r="A133" s="26" t="s">
        <v>649</v>
      </c>
      <c r="B133" s="27" t="s">
        <v>306</v>
      </c>
      <c r="C133" s="36" t="s">
        <v>31</v>
      </c>
      <c r="D133" s="31">
        <v>119.90666666666668</v>
      </c>
      <c r="E133" s="33">
        <v>4.3417752696541747</v>
      </c>
      <c r="F133" s="33">
        <v>1.3776455761888875</v>
      </c>
      <c r="G133" s="31">
        <v>117.8</v>
      </c>
      <c r="H133" s="31">
        <v>5.5566666666666675</v>
      </c>
      <c r="I133" s="31">
        <v>0</v>
      </c>
      <c r="J133" s="31">
        <v>57.845311111111108</v>
      </c>
      <c r="K133" s="31">
        <v>111.67222222222222</v>
      </c>
      <c r="L133" s="31">
        <v>53.516666666666673</v>
      </c>
      <c r="M133" s="31">
        <v>15.533333333333333</v>
      </c>
      <c r="N133" s="31">
        <v>23.328888888888887</v>
      </c>
      <c r="O133" s="31">
        <v>22.951111111111107</v>
      </c>
      <c r="P133" s="31">
        <v>7.8966666666666674</v>
      </c>
      <c r="Q133" s="31">
        <v>10</v>
      </c>
      <c r="R133" s="31">
        <v>0.5</v>
      </c>
      <c r="S133" s="31">
        <v>0</v>
      </c>
      <c r="T133" s="31" t="str">
        <f>VLOOKUP(A133,Rankings!B:E,3,FALSE)</f>
        <v>NL</v>
      </c>
    </row>
    <row r="134" spans="1:20" ht="18.600000000000001" customHeight="1">
      <c r="A134" s="26" t="s">
        <v>518</v>
      </c>
      <c r="B134" s="27" t="s">
        <v>140</v>
      </c>
      <c r="C134" s="36" t="s">
        <v>31</v>
      </c>
      <c r="D134" s="31">
        <v>145.49166666666667</v>
      </c>
      <c r="E134" s="33">
        <v>4.3280953090096794</v>
      </c>
      <c r="F134" s="33">
        <v>1.3424480210779539</v>
      </c>
      <c r="G134" s="31">
        <v>106.625</v>
      </c>
      <c r="H134" s="31">
        <v>7</v>
      </c>
      <c r="I134" s="31">
        <v>0</v>
      </c>
      <c r="J134" s="31">
        <v>69.966866666666661</v>
      </c>
      <c r="K134" s="31">
        <v>152.97166666666666</v>
      </c>
      <c r="L134" s="31">
        <v>42.343333333333334</v>
      </c>
      <c r="M134" s="31">
        <v>17.933333333333334</v>
      </c>
      <c r="N134" s="31">
        <v>27.231666666666666</v>
      </c>
      <c r="O134" s="31">
        <v>26.89833333333333</v>
      </c>
      <c r="P134" s="31">
        <v>10.200000000000001</v>
      </c>
      <c r="Q134" s="31">
        <v>13</v>
      </c>
      <c r="R134" s="31">
        <v>0</v>
      </c>
      <c r="S134" s="31">
        <v>0</v>
      </c>
      <c r="T134" s="31" t="str">
        <f>VLOOKUP(A134,Rankings!B:E,3,FALSE)</f>
        <v>AL</v>
      </c>
    </row>
    <row r="135" spans="1:20" ht="18.600000000000001" customHeight="1">
      <c r="A135" s="26" t="s">
        <v>541</v>
      </c>
      <c r="B135" s="27" t="s">
        <v>95</v>
      </c>
      <c r="C135" s="36" t="s">
        <v>31</v>
      </c>
      <c r="D135" s="31">
        <v>74.342222222222233</v>
      </c>
      <c r="E135" s="33">
        <v>3.9474203383750814</v>
      </c>
      <c r="F135" s="33">
        <v>1.215594547737191</v>
      </c>
      <c r="G135" s="31">
        <v>78.776666666666657</v>
      </c>
      <c r="H135" s="31">
        <v>4.3444444444444441</v>
      </c>
      <c r="I135" s="31">
        <v>0</v>
      </c>
      <c r="J135" s="31">
        <v>32.606666666666662</v>
      </c>
      <c r="K135" s="31">
        <v>68.50333333333333</v>
      </c>
      <c r="L135" s="31">
        <v>21.866666666666664</v>
      </c>
      <c r="M135" s="31">
        <v>10.299999999999999</v>
      </c>
      <c r="N135" s="31">
        <v>32.737777777777779</v>
      </c>
      <c r="O135" s="31">
        <v>10.37</v>
      </c>
      <c r="P135" s="31">
        <v>3.92</v>
      </c>
      <c r="Q135" s="31">
        <v>4</v>
      </c>
      <c r="R135" s="31">
        <v>1</v>
      </c>
      <c r="S135" s="31">
        <v>0</v>
      </c>
      <c r="T135" s="31" t="str">
        <f>VLOOKUP(A135,Rankings!B:E,3,FALSE)</f>
        <v>NL</v>
      </c>
    </row>
    <row r="136" spans="1:20" ht="18.600000000000001" customHeight="1">
      <c r="A136" s="26" t="s">
        <v>534</v>
      </c>
      <c r="B136" s="27" t="s">
        <v>140</v>
      </c>
      <c r="C136" s="36" t="s">
        <v>31</v>
      </c>
      <c r="D136" s="31">
        <v>98.432222222222222</v>
      </c>
      <c r="E136" s="33">
        <v>3.9383201074625518</v>
      </c>
      <c r="F136" s="33">
        <v>1.2667035410716907</v>
      </c>
      <c r="G136" s="31">
        <v>84.754444444444445</v>
      </c>
      <c r="H136" s="31">
        <v>5.0211111111111109</v>
      </c>
      <c r="I136" s="31">
        <v>0</v>
      </c>
      <c r="J136" s="31">
        <v>43.073066666666669</v>
      </c>
      <c r="K136" s="31">
        <v>93.37444444444445</v>
      </c>
      <c r="L136" s="31">
        <v>31.310000000000002</v>
      </c>
      <c r="M136" s="31">
        <v>12.299999999999999</v>
      </c>
      <c r="N136" s="31">
        <v>37.931111111111115</v>
      </c>
      <c r="O136" s="31">
        <v>14.14</v>
      </c>
      <c r="P136" s="31">
        <v>6.6977777777777776</v>
      </c>
      <c r="Q136" s="31">
        <v>4</v>
      </c>
      <c r="R136" s="31">
        <v>1</v>
      </c>
      <c r="S136" s="31">
        <v>0</v>
      </c>
      <c r="T136" s="31" t="str">
        <f>VLOOKUP(A136,Rankings!B:E,3,FALSE)</f>
        <v>AL</v>
      </c>
    </row>
    <row r="137" spans="1:20" ht="18.600000000000001" customHeight="1">
      <c r="A137" s="26" t="s">
        <v>511</v>
      </c>
      <c r="B137" s="27" t="s">
        <v>134</v>
      </c>
      <c r="C137" s="36" t="s">
        <v>31</v>
      </c>
      <c r="D137" s="31">
        <v>150.3422222222222</v>
      </c>
      <c r="E137" s="33">
        <v>4.4288809235226303</v>
      </c>
      <c r="F137" s="33">
        <v>1.338106394300411</v>
      </c>
      <c r="G137" s="31">
        <v>103.94111111111111</v>
      </c>
      <c r="H137" s="31">
        <v>8</v>
      </c>
      <c r="I137" s="31">
        <v>0</v>
      </c>
      <c r="J137" s="31">
        <v>73.983088888888886</v>
      </c>
      <c r="K137" s="31">
        <v>160.995</v>
      </c>
      <c r="L137" s="31">
        <v>40.178888888888885</v>
      </c>
      <c r="M137" s="31">
        <v>20.566666666666666</v>
      </c>
      <c r="N137" s="31">
        <v>24.943333333333332</v>
      </c>
      <c r="O137" s="31">
        <v>24.932222222222222</v>
      </c>
      <c r="P137" s="31">
        <v>9.6016666666666666</v>
      </c>
      <c r="Q137" s="31">
        <v>12</v>
      </c>
      <c r="R137" s="31">
        <v>0</v>
      </c>
      <c r="S137" s="31">
        <v>0</v>
      </c>
      <c r="T137" s="31" t="str">
        <f>VLOOKUP(A137,Rankings!B:E,3,FALSE)</f>
        <v>NL</v>
      </c>
    </row>
    <row r="138" spans="1:20" ht="18.600000000000001" customHeight="1">
      <c r="A138" s="26" t="s">
        <v>525</v>
      </c>
      <c r="B138" s="27" t="s">
        <v>158</v>
      </c>
      <c r="C138" s="36" t="s">
        <v>31</v>
      </c>
      <c r="D138" s="31">
        <v>114.62444444444445</v>
      </c>
      <c r="E138" s="33">
        <v>4.467099513386712</v>
      </c>
      <c r="F138" s="33">
        <v>1.3075308737713498</v>
      </c>
      <c r="G138" s="31">
        <v>102.73222222222222</v>
      </c>
      <c r="H138" s="31">
        <v>6.666666666666667</v>
      </c>
      <c r="I138" s="31">
        <v>0</v>
      </c>
      <c r="J138" s="31">
        <v>56.893200000000007</v>
      </c>
      <c r="K138" s="31">
        <v>115.16666666666667</v>
      </c>
      <c r="L138" s="31">
        <v>34.708333333333329</v>
      </c>
      <c r="M138" s="31">
        <v>19.433333333333334</v>
      </c>
      <c r="N138" s="31">
        <v>31.567777777777778</v>
      </c>
      <c r="O138" s="31">
        <v>20.578888888888887</v>
      </c>
      <c r="P138" s="31">
        <v>7.9416666666666664</v>
      </c>
      <c r="Q138" s="31">
        <v>7</v>
      </c>
      <c r="R138" s="31">
        <v>0</v>
      </c>
      <c r="S138" s="31">
        <v>0</v>
      </c>
      <c r="T138" s="31" t="str">
        <f>VLOOKUP(A138,Rankings!B:E,3,FALSE)</f>
        <v>NL</v>
      </c>
    </row>
    <row r="139" spans="1:20" ht="18.600000000000001" customHeight="1">
      <c r="A139" s="26" t="s">
        <v>630</v>
      </c>
      <c r="B139" s="27" t="s">
        <v>258</v>
      </c>
      <c r="C139" s="36" t="s">
        <v>31</v>
      </c>
      <c r="D139" s="31">
        <v>130.07111111111112</v>
      </c>
      <c r="E139" s="33">
        <v>4.336461764504886</v>
      </c>
      <c r="F139" s="33">
        <v>1.3706775780769493</v>
      </c>
      <c r="G139" s="31">
        <v>106.0188888888889</v>
      </c>
      <c r="H139" s="31">
        <v>7.0522222222222224</v>
      </c>
      <c r="I139" s="31">
        <v>1.1111111111111112E-2</v>
      </c>
      <c r="J139" s="31">
        <v>62.672044444444445</v>
      </c>
      <c r="K139" s="31">
        <v>124.14666666666666</v>
      </c>
      <c r="L139" s="31">
        <v>54.138888888888886</v>
      </c>
      <c r="M139" s="31">
        <v>15.066666666666668</v>
      </c>
      <c r="N139" s="31">
        <v>29.436666666666667</v>
      </c>
      <c r="O139" s="31">
        <v>22.525555555555556</v>
      </c>
      <c r="P139" s="31">
        <v>8.9377777777777769</v>
      </c>
      <c r="Q139" s="31">
        <v>10</v>
      </c>
      <c r="R139" s="31">
        <v>2.5</v>
      </c>
      <c r="S139" s="31">
        <v>0</v>
      </c>
      <c r="T139" s="31" t="str">
        <f>VLOOKUP(A139,Rankings!B:E,3,FALSE)</f>
        <v>AL</v>
      </c>
    </row>
    <row r="140" spans="1:20" ht="18.600000000000001" customHeight="1">
      <c r="A140" s="26" t="s">
        <v>454</v>
      </c>
      <c r="B140" s="27" t="s">
        <v>258</v>
      </c>
      <c r="C140" s="36" t="s">
        <v>31</v>
      </c>
      <c r="D140" s="31">
        <v>71.914444444444442</v>
      </c>
      <c r="E140" s="33">
        <v>3.88920476492128</v>
      </c>
      <c r="F140" s="33">
        <v>1.2088901935942402</v>
      </c>
      <c r="G140" s="31">
        <v>72.734444444444435</v>
      </c>
      <c r="H140" s="31">
        <v>4.0311111111111115</v>
      </c>
      <c r="I140" s="31">
        <v>0</v>
      </c>
      <c r="J140" s="31">
        <v>31.076666666666668</v>
      </c>
      <c r="K140" s="31">
        <v>65.915555555555557</v>
      </c>
      <c r="L140" s="31">
        <v>21.021111111111111</v>
      </c>
      <c r="M140" s="31">
        <v>9.7666666666666675</v>
      </c>
      <c r="N140" s="31">
        <v>13.847777777777779</v>
      </c>
      <c r="O140" s="31">
        <v>13.503333333333332</v>
      </c>
      <c r="P140" s="31">
        <v>5.0422222222222226</v>
      </c>
      <c r="Q140" s="31">
        <v>6</v>
      </c>
      <c r="R140" s="31">
        <v>0</v>
      </c>
      <c r="S140" s="31">
        <v>0</v>
      </c>
      <c r="T140" s="31" t="str">
        <f>VLOOKUP(A140,Rankings!B:E,3,FALSE)</f>
        <v>AL</v>
      </c>
    </row>
    <row r="141" spans="1:20" ht="18.600000000000001" customHeight="1">
      <c r="A141" s="26" t="s">
        <v>638</v>
      </c>
      <c r="B141" s="27" t="s">
        <v>140</v>
      </c>
      <c r="C141" s="36" t="s">
        <v>31</v>
      </c>
      <c r="D141" s="31">
        <v>137.61444444444444</v>
      </c>
      <c r="E141" s="33">
        <v>4.5483989891242036</v>
      </c>
      <c r="F141" s="33">
        <v>1.3563094959346969</v>
      </c>
      <c r="G141" s="31">
        <v>111.18444444444445</v>
      </c>
      <c r="H141" s="31">
        <v>5.9944444444444445</v>
      </c>
      <c r="I141" s="31">
        <v>0</v>
      </c>
      <c r="J141" s="31">
        <v>69.547266666666658</v>
      </c>
      <c r="K141" s="31">
        <v>132.77444444444444</v>
      </c>
      <c r="L141" s="31">
        <v>53.873333333333335</v>
      </c>
      <c r="M141" s="31">
        <v>20.533333333333335</v>
      </c>
      <c r="N141" s="31">
        <v>26.198333333333338</v>
      </c>
      <c r="O141" s="31">
        <v>25.943333333333332</v>
      </c>
      <c r="P141" s="31">
        <v>9.5611111111111118</v>
      </c>
      <c r="Q141" s="31">
        <v>10</v>
      </c>
      <c r="R141" s="31">
        <v>0</v>
      </c>
      <c r="S141" s="31">
        <v>0</v>
      </c>
      <c r="T141" s="31" t="str">
        <f>VLOOKUP(A141,Rankings!B:E,3,FALSE)</f>
        <v>AL</v>
      </c>
    </row>
    <row r="142" spans="1:20" ht="18.600000000000001" customHeight="1">
      <c r="A142" s="26" t="s">
        <v>554</v>
      </c>
      <c r="B142" s="27" t="s">
        <v>134</v>
      </c>
      <c r="C142" s="36" t="s">
        <v>31</v>
      </c>
      <c r="D142" s="31">
        <v>104.52666666666666</v>
      </c>
      <c r="E142" s="33">
        <v>4.1870119267810448</v>
      </c>
      <c r="F142" s="33">
        <v>1.3214969066904778</v>
      </c>
      <c r="G142" s="31">
        <v>95.895833333333329</v>
      </c>
      <c r="H142" s="31">
        <v>5.0075000000000003</v>
      </c>
      <c r="I142" s="31">
        <v>0</v>
      </c>
      <c r="J142" s="31">
        <v>48.628266666666661</v>
      </c>
      <c r="K142" s="31">
        <v>102.67</v>
      </c>
      <c r="L142" s="31">
        <v>35.461666666666666</v>
      </c>
      <c r="M142" s="31">
        <v>13</v>
      </c>
      <c r="N142" s="31">
        <v>29.626666666666665</v>
      </c>
      <c r="O142" s="31">
        <v>17.553333333333331</v>
      </c>
      <c r="P142" s="31">
        <v>6.9725000000000001</v>
      </c>
      <c r="Q142" s="31">
        <v>7</v>
      </c>
      <c r="R142" s="31">
        <v>2</v>
      </c>
      <c r="S142" s="31">
        <v>0</v>
      </c>
      <c r="T142" s="31" t="str">
        <f>VLOOKUP(A142,Rankings!B:E,3,FALSE)</f>
        <v>NL</v>
      </c>
    </row>
    <row r="143" spans="1:20" ht="18.600000000000001" customHeight="1">
      <c r="A143" s="26" t="s">
        <v>470</v>
      </c>
      <c r="B143" s="27" t="s">
        <v>63</v>
      </c>
      <c r="C143" s="36" t="s">
        <v>31</v>
      </c>
      <c r="D143" s="31">
        <v>66.649166666666687</v>
      </c>
      <c r="E143" s="33">
        <v>3.9148936595856401</v>
      </c>
      <c r="F143" s="33">
        <v>1.1992648070118404</v>
      </c>
      <c r="G143" s="31">
        <v>66.035833333333343</v>
      </c>
      <c r="H143" s="31">
        <v>4.375</v>
      </c>
      <c r="I143" s="31">
        <v>0</v>
      </c>
      <c r="J143" s="31">
        <v>28.991600000000002</v>
      </c>
      <c r="K143" s="31">
        <v>59.35</v>
      </c>
      <c r="L143" s="31">
        <v>20.580000000000002</v>
      </c>
      <c r="M143" s="31">
        <v>9.2333333333333325</v>
      </c>
      <c r="N143" s="31">
        <v>43.052500000000002</v>
      </c>
      <c r="O143" s="31">
        <v>6.0008333333333335</v>
      </c>
      <c r="P143" s="31">
        <v>3.1483333333333334</v>
      </c>
      <c r="Q143" s="31">
        <v>2</v>
      </c>
      <c r="R143" s="31">
        <v>6</v>
      </c>
      <c r="S143" s="31">
        <v>0</v>
      </c>
      <c r="T143" s="31" t="str">
        <f>VLOOKUP(A143,Rankings!B:E,3,FALSE)</f>
        <v>NL</v>
      </c>
    </row>
    <row r="144" spans="1:20" ht="18.600000000000001" customHeight="1">
      <c r="A144" s="26" t="s">
        <v>609</v>
      </c>
      <c r="B144" s="27" t="s">
        <v>140</v>
      </c>
      <c r="C144" s="36" t="s">
        <v>31</v>
      </c>
      <c r="D144" s="31">
        <v>100.83499999999999</v>
      </c>
      <c r="E144" s="33">
        <v>4.159912728715228</v>
      </c>
      <c r="F144" s="33">
        <v>1.331432538305152</v>
      </c>
      <c r="G144" s="31">
        <v>94.388333333333321</v>
      </c>
      <c r="H144" s="31">
        <v>5.0283333333333333</v>
      </c>
      <c r="I144" s="31">
        <v>0</v>
      </c>
      <c r="J144" s="31">
        <v>46.607199999999999</v>
      </c>
      <c r="K144" s="31">
        <v>92.73</v>
      </c>
      <c r="L144" s="31">
        <v>41.524999999999999</v>
      </c>
      <c r="M144" s="31">
        <v>12.1</v>
      </c>
      <c r="N144" s="31">
        <v>26.584999999999997</v>
      </c>
      <c r="O144" s="31">
        <v>18.118333333333336</v>
      </c>
      <c r="P144" s="31">
        <v>7.3116666666666665</v>
      </c>
      <c r="Q144" s="31">
        <v>8</v>
      </c>
      <c r="R144" s="31">
        <v>0</v>
      </c>
      <c r="S144" s="31">
        <v>0</v>
      </c>
      <c r="T144" s="31" t="str">
        <f>VLOOKUP(A144,Rankings!B:E,3,FALSE)</f>
        <v>AL</v>
      </c>
    </row>
    <row r="145" spans="1:20" ht="18.600000000000001" customHeight="1">
      <c r="A145" s="26" t="s">
        <v>437</v>
      </c>
      <c r="B145" s="27" t="s">
        <v>114</v>
      </c>
      <c r="C145" s="36" t="s">
        <v>31</v>
      </c>
      <c r="D145" s="31">
        <v>111.71444444444444</v>
      </c>
      <c r="E145" s="33">
        <v>4.5364447052504895</v>
      </c>
      <c r="F145" s="33">
        <v>1.2820882607441593</v>
      </c>
      <c r="G145" s="31">
        <v>95.742222222222225</v>
      </c>
      <c r="H145" s="31">
        <v>6.03</v>
      </c>
      <c r="I145" s="31">
        <v>0</v>
      </c>
      <c r="J145" s="31">
        <v>56.309599999999996</v>
      </c>
      <c r="K145" s="31">
        <v>107.74777777777778</v>
      </c>
      <c r="L145" s="31">
        <v>35.479999999999997</v>
      </c>
      <c r="M145" s="31">
        <v>18.900000000000002</v>
      </c>
      <c r="N145" s="31">
        <v>21.744444444444444</v>
      </c>
      <c r="O145" s="31">
        <v>21.400000000000002</v>
      </c>
      <c r="P145" s="31">
        <v>7.2977777777777781</v>
      </c>
      <c r="Q145" s="31">
        <v>10</v>
      </c>
      <c r="R145" s="31">
        <v>0</v>
      </c>
      <c r="S145" s="31">
        <v>0</v>
      </c>
      <c r="T145" s="31" t="str">
        <f>VLOOKUP(A145,Rankings!B:E,3,FALSE)</f>
        <v>AL</v>
      </c>
    </row>
    <row r="146" spans="1:20" ht="18.600000000000001" customHeight="1">
      <c r="A146" s="26" t="s">
        <v>481</v>
      </c>
      <c r="B146" s="27" t="s">
        <v>99</v>
      </c>
      <c r="C146" s="36" t="s">
        <v>31</v>
      </c>
      <c r="D146" s="31">
        <v>96.364444444444459</v>
      </c>
      <c r="E146" s="33">
        <v>4.2836961534913751</v>
      </c>
      <c r="F146" s="33">
        <v>1.2333156535374963</v>
      </c>
      <c r="G146" s="31">
        <v>81.376666666666665</v>
      </c>
      <c r="H146" s="31">
        <v>5.0122222222222224</v>
      </c>
      <c r="I146" s="31">
        <v>3.3333333333333333E-2</v>
      </c>
      <c r="J146" s="31">
        <v>45.866222222222227</v>
      </c>
      <c r="K146" s="31">
        <v>91.971111111111099</v>
      </c>
      <c r="L146" s="31">
        <v>26.876666666666665</v>
      </c>
      <c r="M146" s="31">
        <v>15.299999999999999</v>
      </c>
      <c r="N146" s="31">
        <v>38.093333333333334</v>
      </c>
      <c r="O146" s="31">
        <v>13.302222222222222</v>
      </c>
      <c r="P146" s="31">
        <v>6.0200000000000005</v>
      </c>
      <c r="Q146" s="31">
        <v>5</v>
      </c>
      <c r="R146" s="31">
        <v>1.5</v>
      </c>
      <c r="S146" s="31">
        <v>0</v>
      </c>
      <c r="T146" s="31" t="str">
        <f>VLOOKUP(A146,Rankings!B:E,3,FALSE)</f>
        <v>AL</v>
      </c>
    </row>
    <row r="147" spans="1:20" ht="18.600000000000001" customHeight="1">
      <c r="A147" s="26" t="s">
        <v>490</v>
      </c>
      <c r="B147" s="27" t="s">
        <v>76</v>
      </c>
      <c r="C147" s="36" t="s">
        <v>31</v>
      </c>
      <c r="D147" s="31">
        <v>65.193333333333342</v>
      </c>
      <c r="E147" s="33">
        <v>4.0950506186726647</v>
      </c>
      <c r="F147" s="33">
        <v>1.1658145004601697</v>
      </c>
      <c r="G147" s="31">
        <v>66.273333333333326</v>
      </c>
      <c r="H147" s="31">
        <v>3.3766666666666669</v>
      </c>
      <c r="I147" s="31">
        <v>0</v>
      </c>
      <c r="J147" s="31">
        <v>29.66333333333333</v>
      </c>
      <c r="K147" s="31">
        <v>58.748888888888892</v>
      </c>
      <c r="L147" s="31">
        <v>17.254444444444445</v>
      </c>
      <c r="M147" s="31">
        <v>9.9499999999999993</v>
      </c>
      <c r="N147" s="31">
        <v>56.664444444444449</v>
      </c>
      <c r="O147" s="31">
        <v>1.5833333333333333</v>
      </c>
      <c r="P147" s="31">
        <v>3.1488888888888891</v>
      </c>
      <c r="Q147" s="31">
        <v>0</v>
      </c>
      <c r="R147" s="31">
        <v>12</v>
      </c>
      <c r="S147" s="31">
        <v>0</v>
      </c>
      <c r="T147" s="31" t="str">
        <f>VLOOKUP(A147,Rankings!B:E,3,FALSE)</f>
        <v>AL</v>
      </c>
    </row>
    <row r="148" spans="1:20" ht="18.600000000000001" customHeight="1">
      <c r="A148" s="26" t="s">
        <v>636</v>
      </c>
      <c r="B148" s="27" t="s">
        <v>117</v>
      </c>
      <c r="C148" s="36" t="s">
        <v>31</v>
      </c>
      <c r="D148" s="31">
        <v>163.76833333333332</v>
      </c>
      <c r="E148" s="33">
        <v>4.901488484749799</v>
      </c>
      <c r="F148" s="33">
        <v>1.4067364807332854</v>
      </c>
      <c r="G148" s="31">
        <v>118.80555555555556</v>
      </c>
      <c r="H148" s="31">
        <v>8.0549999999999997</v>
      </c>
      <c r="I148" s="31">
        <v>0</v>
      </c>
      <c r="J148" s="31">
        <v>89.189844444444432</v>
      </c>
      <c r="K148" s="31">
        <v>178.03444444444446</v>
      </c>
      <c r="L148" s="31">
        <v>52.344444444444441</v>
      </c>
      <c r="M148" s="31">
        <v>26</v>
      </c>
      <c r="N148" s="31">
        <v>29.08</v>
      </c>
      <c r="O148" s="31">
        <v>29.046666666666667</v>
      </c>
      <c r="P148" s="31">
        <v>11.994999999999999</v>
      </c>
      <c r="Q148" s="31">
        <v>12</v>
      </c>
      <c r="R148" s="31">
        <v>0</v>
      </c>
      <c r="S148" s="31">
        <v>0</v>
      </c>
      <c r="T148" s="31" t="str">
        <f>VLOOKUP(A148,Rankings!B:E,3,FALSE)</f>
        <v>AL</v>
      </c>
    </row>
    <row r="149" spans="1:20" ht="18.600000000000001" customHeight="1">
      <c r="A149" s="26" t="s">
        <v>645</v>
      </c>
      <c r="B149" s="27" t="s">
        <v>176</v>
      </c>
      <c r="C149" s="36" t="s">
        <v>31</v>
      </c>
      <c r="D149" s="31">
        <v>171.03777777777779</v>
      </c>
      <c r="E149" s="33">
        <v>5.047172684397208</v>
      </c>
      <c r="F149" s="33">
        <v>1.4492249925292657</v>
      </c>
      <c r="G149" s="31">
        <v>125.8</v>
      </c>
      <c r="H149" s="31">
        <v>8.0322222222222219</v>
      </c>
      <c r="I149" s="31">
        <v>0</v>
      </c>
      <c r="J149" s="31">
        <v>95.917466666666655</v>
      </c>
      <c r="K149" s="31">
        <v>193.29222222222222</v>
      </c>
      <c r="L149" s="31">
        <v>54.580000000000005</v>
      </c>
      <c r="M149" s="31">
        <v>25.266666666666666</v>
      </c>
      <c r="N149" s="31">
        <v>29.997777777777781</v>
      </c>
      <c r="O149" s="31">
        <v>29.997777777777781</v>
      </c>
      <c r="P149" s="31">
        <v>11.947777777777778</v>
      </c>
      <c r="Q149" s="31">
        <v>11</v>
      </c>
      <c r="R149" s="31">
        <v>0</v>
      </c>
      <c r="S149" s="31">
        <v>0</v>
      </c>
      <c r="T149" s="31" t="str">
        <f>VLOOKUP(A149,Rankings!B:E,3,FALSE)</f>
        <v>NL</v>
      </c>
    </row>
    <row r="150" spans="1:20" ht="18.600000000000001" customHeight="1">
      <c r="A150" s="26" t="s">
        <v>584</v>
      </c>
      <c r="B150" s="27" t="s">
        <v>94</v>
      </c>
      <c r="C150" s="36" t="s">
        <v>31</v>
      </c>
      <c r="D150" s="31">
        <v>66.066666666666677</v>
      </c>
      <c r="E150" s="33">
        <v>4.1321897073662957</v>
      </c>
      <c r="F150" s="33">
        <v>1.298587285570131</v>
      </c>
      <c r="G150" s="31">
        <v>72.77</v>
      </c>
      <c r="H150" s="31">
        <v>3.7816666666666667</v>
      </c>
      <c r="I150" s="31">
        <v>2.6666666666666665</v>
      </c>
      <c r="J150" s="31">
        <v>30.333333333333332</v>
      </c>
      <c r="K150" s="31">
        <v>56.266666666666673</v>
      </c>
      <c r="L150" s="31">
        <v>29.526666666666667</v>
      </c>
      <c r="M150" s="31">
        <v>9.7000000000000011</v>
      </c>
      <c r="N150" s="31">
        <v>45.824999999999996</v>
      </c>
      <c r="O150" s="31">
        <v>4.4649999999999999</v>
      </c>
      <c r="P150" s="31">
        <v>3.0066666666666664</v>
      </c>
      <c r="Q150" s="31">
        <v>2</v>
      </c>
      <c r="R150" s="31">
        <v>10</v>
      </c>
      <c r="S150" s="31">
        <v>0</v>
      </c>
      <c r="T150" s="31" t="str">
        <f>VLOOKUP(A150,Rankings!B:E,3,FALSE)</f>
        <v>AL</v>
      </c>
    </row>
    <row r="151" spans="1:20" ht="18.600000000000001" customHeight="1">
      <c r="A151" s="26" t="s">
        <v>701</v>
      </c>
      <c r="B151" s="27" t="s">
        <v>306</v>
      </c>
      <c r="C151" s="36" t="s">
        <v>31</v>
      </c>
      <c r="D151" s="31">
        <v>150.05444444444447</v>
      </c>
      <c r="E151" s="33">
        <v>4.9428805840842953</v>
      </c>
      <c r="F151" s="33">
        <v>1.4472746928892473</v>
      </c>
      <c r="G151" s="31">
        <v>121.68333333333334</v>
      </c>
      <c r="H151" s="31">
        <v>6.996666666666667</v>
      </c>
      <c r="I151" s="31">
        <v>0</v>
      </c>
      <c r="J151" s="31">
        <v>82.411244444444449</v>
      </c>
      <c r="K151" s="31">
        <v>167.13333333333333</v>
      </c>
      <c r="L151" s="31">
        <v>50.036666666666669</v>
      </c>
      <c r="M151" s="31">
        <v>24.066666666666666</v>
      </c>
      <c r="N151" s="31">
        <v>28.046666666666667</v>
      </c>
      <c r="O151" s="31">
        <v>28.046666666666667</v>
      </c>
      <c r="P151" s="31">
        <v>11.973333333333334</v>
      </c>
      <c r="Q151" s="31">
        <v>12</v>
      </c>
      <c r="R151" s="31">
        <v>0</v>
      </c>
      <c r="S151" s="31">
        <v>0</v>
      </c>
      <c r="T151" s="31" t="str">
        <f>VLOOKUP(A151,Rankings!B:E,3,FALSE)</f>
        <v>NL</v>
      </c>
    </row>
    <row r="152" spans="1:20" ht="18.600000000000001" customHeight="1">
      <c r="A152" s="26" t="s">
        <v>553</v>
      </c>
      <c r="B152" s="27" t="s">
        <v>137</v>
      </c>
      <c r="C152" s="36" t="s">
        <v>31</v>
      </c>
      <c r="D152" s="31">
        <v>105.38555555555557</v>
      </c>
      <c r="E152" s="33">
        <v>4.4493365103798741</v>
      </c>
      <c r="F152" s="33">
        <v>1.3318818729111093</v>
      </c>
      <c r="G152" s="31">
        <v>89.355555555555554</v>
      </c>
      <c r="H152" s="31">
        <v>5.4066666666666663</v>
      </c>
      <c r="I152" s="31">
        <v>0</v>
      </c>
      <c r="J152" s="31">
        <v>52.099533333333333</v>
      </c>
      <c r="K152" s="31">
        <v>104.41000000000001</v>
      </c>
      <c r="L152" s="31">
        <v>35.951111111111111</v>
      </c>
      <c r="M152" s="31">
        <v>14.066666666666668</v>
      </c>
      <c r="N152" s="31">
        <v>21.418888888888887</v>
      </c>
      <c r="O152" s="31">
        <v>21.085555555555555</v>
      </c>
      <c r="P152" s="31">
        <v>6.9977777777777774</v>
      </c>
      <c r="Q152" s="31">
        <v>8</v>
      </c>
      <c r="R152" s="31">
        <v>0</v>
      </c>
      <c r="S152" s="31">
        <v>0</v>
      </c>
      <c r="T152" s="31" t="str">
        <f>VLOOKUP(A152,Rankings!B:E,3,FALSE)</f>
        <v>NL</v>
      </c>
    </row>
    <row r="153" spans="1:20" ht="18.600000000000001" customHeight="1">
      <c r="A153" s="26" t="s">
        <v>337</v>
      </c>
      <c r="B153" s="27" t="s">
        <v>120</v>
      </c>
      <c r="C153" s="36" t="s">
        <v>31</v>
      </c>
      <c r="D153" s="31">
        <v>102.37666666666667</v>
      </c>
      <c r="E153" s="33">
        <v>4.485198775762707</v>
      </c>
      <c r="F153" s="33">
        <v>1.309868785204962</v>
      </c>
      <c r="G153" s="31">
        <v>87.016666666666666</v>
      </c>
      <c r="H153" s="31">
        <v>5.3533333333333344</v>
      </c>
      <c r="I153" s="31">
        <v>0</v>
      </c>
      <c r="J153" s="31">
        <v>51.019966666666669</v>
      </c>
      <c r="K153" s="31">
        <v>98.933333333333337</v>
      </c>
      <c r="L153" s="31">
        <v>35.166666666666664</v>
      </c>
      <c r="M153" s="31">
        <v>15.166666666666666</v>
      </c>
      <c r="N153" s="31">
        <v>19.911666666666665</v>
      </c>
      <c r="O153" s="31">
        <v>17.911666666666665</v>
      </c>
      <c r="P153" s="31">
        <v>6.1566666666666663</v>
      </c>
      <c r="Q153" s="31">
        <v>9</v>
      </c>
      <c r="R153" s="31">
        <v>0</v>
      </c>
      <c r="S153" s="31">
        <v>0</v>
      </c>
      <c r="T153" s="31" t="str">
        <f>VLOOKUP(A153,Rankings!B:E,3,FALSE)</f>
        <v>NL</v>
      </c>
    </row>
    <row r="154" spans="1:20" ht="18.600000000000001" customHeight="1">
      <c r="A154" s="26" t="s">
        <v>668</v>
      </c>
      <c r="B154" s="27" t="s">
        <v>120</v>
      </c>
      <c r="C154" s="36" t="s">
        <v>31</v>
      </c>
      <c r="D154" s="31">
        <v>146.6577777777778</v>
      </c>
      <c r="E154" s="33">
        <v>5.0030991272198309</v>
      </c>
      <c r="F154" s="33">
        <v>1.3813034123280197</v>
      </c>
      <c r="G154" s="31">
        <v>108.4211111111111</v>
      </c>
      <c r="H154" s="31">
        <v>6.9955555555555557</v>
      </c>
      <c r="I154" s="31">
        <v>0</v>
      </c>
      <c r="J154" s="31">
        <v>81.527044444444442</v>
      </c>
      <c r="K154" s="31">
        <v>158.74333333333334</v>
      </c>
      <c r="L154" s="31">
        <v>43.835555555555551</v>
      </c>
      <c r="M154" s="31">
        <v>24.966666666666669</v>
      </c>
      <c r="N154" s="31">
        <v>26.931111111111111</v>
      </c>
      <c r="O154" s="31">
        <v>26.931111111111111</v>
      </c>
      <c r="P154" s="31">
        <v>10.822222222222223</v>
      </c>
      <c r="Q154" s="31">
        <v>10</v>
      </c>
      <c r="R154" s="31">
        <v>0</v>
      </c>
      <c r="S154" s="31">
        <v>0</v>
      </c>
      <c r="T154" s="31" t="str">
        <f>VLOOKUP(A154,Rankings!B:E,3,FALSE)</f>
        <v>NL</v>
      </c>
    </row>
    <row r="155" spans="1:20" ht="18.600000000000001" customHeight="1">
      <c r="A155" s="26" t="s">
        <v>547</v>
      </c>
      <c r="B155" s="27" t="s">
        <v>117</v>
      </c>
      <c r="C155" s="36" t="s">
        <v>31</v>
      </c>
      <c r="D155" s="31">
        <v>130.49555555555557</v>
      </c>
      <c r="E155" s="33">
        <v>4.4482802309146328</v>
      </c>
      <c r="F155" s="33">
        <v>1.3210667029954191</v>
      </c>
      <c r="G155" s="31">
        <v>80.293333333333337</v>
      </c>
      <c r="H155" s="31">
        <v>6.4988888888888887</v>
      </c>
      <c r="I155" s="31">
        <v>0</v>
      </c>
      <c r="J155" s="31">
        <v>64.497866666666667</v>
      </c>
      <c r="K155" s="31">
        <v>143.23111111111112</v>
      </c>
      <c r="L155" s="31">
        <v>29.162222222222223</v>
      </c>
      <c r="M155" s="31">
        <v>17.366666666666667</v>
      </c>
      <c r="N155" s="31">
        <v>23.591111111111115</v>
      </c>
      <c r="O155" s="31">
        <v>23.591111111111115</v>
      </c>
      <c r="P155" s="31">
        <v>8.2344444444444438</v>
      </c>
      <c r="Q155" s="31">
        <v>10</v>
      </c>
      <c r="R155" s="31">
        <v>0</v>
      </c>
      <c r="S155" s="31">
        <v>0</v>
      </c>
      <c r="T155" s="31" t="str">
        <f>VLOOKUP(A155,Rankings!B:E,3,FALSE)</f>
        <v>AL</v>
      </c>
    </row>
    <row r="156" spans="1:20" ht="18.600000000000001" customHeight="1">
      <c r="A156" s="26" t="s">
        <v>585</v>
      </c>
      <c r="B156" s="27" t="s">
        <v>71</v>
      </c>
      <c r="C156" s="36" t="s">
        <v>31</v>
      </c>
      <c r="D156" s="31">
        <v>91.683333333333337</v>
      </c>
      <c r="E156" s="33">
        <v>4.1376942374113792</v>
      </c>
      <c r="F156" s="33">
        <v>1.2987699206204932</v>
      </c>
      <c r="G156" s="31">
        <v>68.721111111111114</v>
      </c>
      <c r="H156" s="31">
        <v>5.4011111111111108</v>
      </c>
      <c r="I156" s="31">
        <v>1.6666666666666666E-2</v>
      </c>
      <c r="J156" s="31">
        <v>42.150844444444445</v>
      </c>
      <c r="K156" s="31">
        <v>91.722222222222229</v>
      </c>
      <c r="L156" s="31">
        <v>27.353333333333335</v>
      </c>
      <c r="M156" s="31">
        <v>12.366666666666667</v>
      </c>
      <c r="N156" s="31">
        <v>45.199999999999996</v>
      </c>
      <c r="O156" s="31">
        <v>9.1411111111111101</v>
      </c>
      <c r="P156" s="31">
        <v>5.0277777777777777</v>
      </c>
      <c r="Q156" s="31">
        <v>3</v>
      </c>
      <c r="R156" s="31">
        <v>1</v>
      </c>
      <c r="S156" s="31">
        <v>0</v>
      </c>
      <c r="T156" s="31" t="str">
        <f>VLOOKUP(A156,Rankings!B:E,3,FALSE)</f>
        <v>AL</v>
      </c>
    </row>
    <row r="157" spans="1:20" ht="18.600000000000001" customHeight="1">
      <c r="A157" s="26" t="s">
        <v>616</v>
      </c>
      <c r="B157" s="27" t="s">
        <v>86</v>
      </c>
      <c r="C157" s="36" t="s">
        <v>31</v>
      </c>
      <c r="D157" s="31">
        <v>77.811666666666667</v>
      </c>
      <c r="E157" s="33">
        <v>4.3193034463555167</v>
      </c>
      <c r="F157" s="33">
        <v>1.2907090482004269</v>
      </c>
      <c r="G157" s="31">
        <v>67.663333333333341</v>
      </c>
      <c r="H157" s="31">
        <v>4.0233333333333334</v>
      </c>
      <c r="I157" s="31">
        <v>0</v>
      </c>
      <c r="J157" s="31">
        <v>37.343577777777774</v>
      </c>
      <c r="K157" s="31">
        <v>76.527777777777771</v>
      </c>
      <c r="L157" s="31">
        <v>23.904444444444447</v>
      </c>
      <c r="M157" s="31">
        <v>11.5</v>
      </c>
      <c r="N157" s="31">
        <v>46.878888888888888</v>
      </c>
      <c r="O157" s="31">
        <v>6.4688888888888885</v>
      </c>
      <c r="P157" s="31">
        <v>4.9983333333333331</v>
      </c>
      <c r="Q157" s="31">
        <v>2</v>
      </c>
      <c r="R157" s="31">
        <v>3</v>
      </c>
      <c r="S157" s="31">
        <v>0</v>
      </c>
      <c r="T157" s="31" t="str">
        <f>VLOOKUP(A157,Rankings!B:E,3,FALSE)</f>
        <v>AL</v>
      </c>
    </row>
    <row r="158" spans="1:20" ht="18.600000000000001" customHeight="1">
      <c r="A158" s="26" t="s">
        <v>537</v>
      </c>
      <c r="B158" s="27" t="s">
        <v>86</v>
      </c>
      <c r="C158" s="36" t="s">
        <v>31</v>
      </c>
      <c r="D158" s="31">
        <v>38.73833333333333</v>
      </c>
      <c r="E158" s="33">
        <v>3.9158886546487115</v>
      </c>
      <c r="F158" s="33">
        <v>1.1932194639246227</v>
      </c>
      <c r="G158" s="31">
        <v>39.584166666666668</v>
      </c>
      <c r="H158" s="31">
        <v>1.7541666666666664</v>
      </c>
      <c r="I158" s="31">
        <v>0</v>
      </c>
      <c r="J158" s="31">
        <v>16.855</v>
      </c>
      <c r="K158" s="31">
        <v>33.663333333333334</v>
      </c>
      <c r="L158" s="31">
        <v>12.56</v>
      </c>
      <c r="M158" s="31">
        <v>4.666666666666667</v>
      </c>
      <c r="N158" s="31">
        <v>26.334166666666672</v>
      </c>
      <c r="O158" s="31">
        <v>2.9624999999999999</v>
      </c>
      <c r="P158" s="31">
        <v>2.0950000000000002</v>
      </c>
      <c r="Q158" s="31">
        <v>1</v>
      </c>
      <c r="R158" s="31">
        <v>2</v>
      </c>
      <c r="S158" s="31">
        <v>0</v>
      </c>
      <c r="T158" s="31" t="str">
        <f>VLOOKUP(A158,Rankings!B:E,3,FALSE)</f>
        <v>AL</v>
      </c>
    </row>
    <row r="159" spans="1:20" ht="18.600000000000001" customHeight="1">
      <c r="A159" s="26" t="s">
        <v>606</v>
      </c>
      <c r="B159" s="27" t="s">
        <v>158</v>
      </c>
      <c r="C159" s="36" t="s">
        <v>31</v>
      </c>
      <c r="D159" s="31">
        <v>104.04111111111111</v>
      </c>
      <c r="E159" s="33">
        <v>4.693510044106497</v>
      </c>
      <c r="F159" s="33">
        <v>1.3385841067099544</v>
      </c>
      <c r="G159" s="31">
        <v>75.58</v>
      </c>
      <c r="H159" s="31">
        <v>5.3655555555555559</v>
      </c>
      <c r="I159" s="31">
        <v>0</v>
      </c>
      <c r="J159" s="31">
        <v>54.257555555555562</v>
      </c>
      <c r="K159" s="31">
        <v>112.96888888888888</v>
      </c>
      <c r="L159" s="31">
        <v>26.298888888888893</v>
      </c>
      <c r="M159" s="31">
        <v>16.3</v>
      </c>
      <c r="N159" s="31">
        <v>18.512222222222224</v>
      </c>
      <c r="O159" s="31">
        <v>18.512222222222224</v>
      </c>
      <c r="P159" s="31">
        <v>6.7922222222222217</v>
      </c>
      <c r="Q159" s="31">
        <v>9</v>
      </c>
      <c r="R159" s="31">
        <v>0</v>
      </c>
      <c r="S159" s="31">
        <v>0</v>
      </c>
      <c r="T159" s="31" t="str">
        <f>VLOOKUP(A159,Rankings!B:E,3,FALSE)</f>
        <v>NL</v>
      </c>
    </row>
    <row r="160" spans="1:20" ht="18.600000000000001" customHeight="1">
      <c r="A160" s="26" t="s">
        <v>652</v>
      </c>
      <c r="B160" s="27" t="s">
        <v>86</v>
      </c>
      <c r="C160" s="36" t="s">
        <v>31</v>
      </c>
      <c r="D160" s="31">
        <v>71.842222222222219</v>
      </c>
      <c r="E160" s="33">
        <v>4.1908809428067686</v>
      </c>
      <c r="F160" s="33">
        <v>1.3420149092146372</v>
      </c>
      <c r="G160" s="31">
        <v>65.165555555555557</v>
      </c>
      <c r="H160" s="31">
        <v>3.3699999999999997</v>
      </c>
      <c r="I160" s="31">
        <v>0</v>
      </c>
      <c r="J160" s="31">
        <v>33.453577777777781</v>
      </c>
      <c r="K160" s="31">
        <v>70.51444444444445</v>
      </c>
      <c r="L160" s="31">
        <v>25.898888888888891</v>
      </c>
      <c r="M160" s="31">
        <v>8.1666666666666661</v>
      </c>
      <c r="N160" s="31">
        <v>34.93888888888889</v>
      </c>
      <c r="O160" s="31">
        <v>7.9788888888888891</v>
      </c>
      <c r="P160" s="31">
        <v>4.0377777777777775</v>
      </c>
      <c r="Q160" s="31">
        <v>3</v>
      </c>
      <c r="R160" s="31">
        <v>2.5</v>
      </c>
      <c r="S160" s="31">
        <v>0</v>
      </c>
      <c r="T160" s="31" t="str">
        <f>VLOOKUP(A160,Rankings!B:E,3,FALSE)</f>
        <v>AL</v>
      </c>
    </row>
    <row r="161" spans="1:21" ht="18.600000000000001" customHeight="1">
      <c r="A161" s="26" t="s">
        <v>753</v>
      </c>
      <c r="B161" s="27" t="s">
        <v>117</v>
      </c>
      <c r="C161" s="36" t="s">
        <v>31</v>
      </c>
      <c r="D161" s="31">
        <v>48.594444444444441</v>
      </c>
      <c r="E161" s="33">
        <v>4.0877100720246951</v>
      </c>
      <c r="F161" s="33">
        <v>1.2950040013718991</v>
      </c>
      <c r="G161" s="31">
        <v>54.55777777777778</v>
      </c>
      <c r="H161" s="31">
        <v>2.7488888888888887</v>
      </c>
      <c r="I161" s="31">
        <v>0</v>
      </c>
      <c r="J161" s="31">
        <v>22.071111111111112</v>
      </c>
      <c r="K161" s="31">
        <v>43.68</v>
      </c>
      <c r="L161" s="31">
        <v>19.25</v>
      </c>
      <c r="M161" s="31">
        <v>6.1000000000000005</v>
      </c>
      <c r="N161" s="31">
        <v>9.93888888888889</v>
      </c>
      <c r="O161" s="31">
        <v>9.6055555555555561</v>
      </c>
      <c r="P161" s="31">
        <v>2.793333333333333</v>
      </c>
      <c r="Q161" s="31">
        <v>4.3</v>
      </c>
      <c r="R161" s="31">
        <v>0</v>
      </c>
      <c r="S161" s="31">
        <v>0</v>
      </c>
      <c r="T161" s="31" t="str">
        <f>VLOOKUP(A161,Rankings!B:E,3,FALSE)</f>
        <v>NL</v>
      </c>
    </row>
    <row r="162" spans="1:21" ht="18.600000000000001" customHeight="1">
      <c r="A162" s="26" t="s">
        <v>109</v>
      </c>
      <c r="B162" s="27" t="s">
        <v>76</v>
      </c>
      <c r="C162" s="42" t="s">
        <v>34</v>
      </c>
      <c r="D162" s="31">
        <v>66.83</v>
      </c>
      <c r="E162" s="33">
        <v>2.4252581176118508</v>
      </c>
      <c r="F162" s="33">
        <v>0.9969491412705539</v>
      </c>
      <c r="G162" s="31">
        <v>70.171666666666667</v>
      </c>
      <c r="H162" s="31">
        <v>3.9755555555555553</v>
      </c>
      <c r="I162" s="31">
        <v>34.983333333333327</v>
      </c>
      <c r="J162" s="31">
        <v>18.008888888888887</v>
      </c>
      <c r="K162" s="31">
        <v>51.791111111111114</v>
      </c>
      <c r="L162" s="31">
        <v>14.835000000000001</v>
      </c>
      <c r="M162" s="31">
        <v>4.0333333333333332</v>
      </c>
      <c r="N162" s="31">
        <v>67.25333333333333</v>
      </c>
      <c r="O162" s="31">
        <v>0</v>
      </c>
      <c r="P162" s="31">
        <v>2.44</v>
      </c>
      <c r="Q162" s="31">
        <v>0</v>
      </c>
      <c r="R162" s="31">
        <v>0</v>
      </c>
      <c r="S162" s="31">
        <v>4</v>
      </c>
      <c r="T162" s="31" t="str">
        <f>VLOOKUP(A162,Rankings!B:E,3,FALSE)</f>
        <v>AL</v>
      </c>
    </row>
    <row r="163" spans="1:21" ht="18.600000000000001" customHeight="1">
      <c r="A163" s="26" t="s">
        <v>172</v>
      </c>
      <c r="B163" s="27" t="s">
        <v>63</v>
      </c>
      <c r="C163" s="42" t="s">
        <v>34</v>
      </c>
      <c r="D163" s="31">
        <v>59.354444444444447</v>
      </c>
      <c r="E163" s="33">
        <v>3.0772758756247778</v>
      </c>
      <c r="F163" s="33">
        <v>1.0535202830453585</v>
      </c>
      <c r="G163" s="31">
        <v>88.850000000000009</v>
      </c>
      <c r="H163" s="31">
        <v>3.0044444444444447</v>
      </c>
      <c r="I163" s="31">
        <v>33.211111111111116</v>
      </c>
      <c r="J163" s="31">
        <v>20.294444444444444</v>
      </c>
      <c r="K163" s="31">
        <v>39.537777777777777</v>
      </c>
      <c r="L163" s="31">
        <v>22.993333333333336</v>
      </c>
      <c r="M163" s="31">
        <v>7</v>
      </c>
      <c r="N163" s="31">
        <v>61.52</v>
      </c>
      <c r="O163" s="31">
        <v>0</v>
      </c>
      <c r="P163" s="31">
        <v>2.37</v>
      </c>
      <c r="Q163" s="31">
        <v>0</v>
      </c>
      <c r="R163" s="31">
        <v>0</v>
      </c>
      <c r="S163" s="31">
        <v>3</v>
      </c>
      <c r="T163" s="31" t="str">
        <f>VLOOKUP(A163,Rankings!B:E,3,FALSE)</f>
        <v>NL</v>
      </c>
    </row>
    <row r="164" spans="1:21" ht="18.600000000000001" customHeight="1">
      <c r="A164" s="26" t="s">
        <v>174</v>
      </c>
      <c r="B164" s="27" t="s">
        <v>97</v>
      </c>
      <c r="C164" s="42" t="s">
        <v>34</v>
      </c>
      <c r="D164" s="31">
        <v>62.544444444444444</v>
      </c>
      <c r="E164" s="33">
        <v>2.9449458163084032</v>
      </c>
      <c r="F164" s="33">
        <v>1.170563155089714</v>
      </c>
      <c r="G164" s="31">
        <v>87.902222222222221</v>
      </c>
      <c r="H164" s="31">
        <v>3.9833333333333329</v>
      </c>
      <c r="I164" s="31">
        <v>28.983333333333334</v>
      </c>
      <c r="J164" s="31">
        <v>20.465555555555557</v>
      </c>
      <c r="K164" s="31">
        <v>44.126666666666665</v>
      </c>
      <c r="L164" s="31">
        <v>29.085555555555555</v>
      </c>
      <c r="M164" s="31">
        <v>5.0333333333333332</v>
      </c>
      <c r="N164" s="31">
        <v>63.180000000000007</v>
      </c>
      <c r="O164" s="31">
        <v>0</v>
      </c>
      <c r="P164" s="31">
        <v>2.9966666666666666</v>
      </c>
      <c r="Q164" s="31">
        <v>0</v>
      </c>
      <c r="R164" s="31">
        <v>1.5</v>
      </c>
      <c r="S164" s="31">
        <v>8</v>
      </c>
      <c r="T164" s="31" t="str">
        <f>VLOOKUP(A164,Rankings!B:E,3,FALSE)</f>
        <v>NL</v>
      </c>
      <c r="U164" s="154"/>
    </row>
    <row r="165" spans="1:21" ht="18.600000000000001" customHeight="1">
      <c r="A165" s="26" t="s">
        <v>182</v>
      </c>
      <c r="B165" s="27" t="s">
        <v>123</v>
      </c>
      <c r="C165" s="42" t="s">
        <v>34</v>
      </c>
      <c r="D165" s="31">
        <v>66.195555555555543</v>
      </c>
      <c r="E165" s="33">
        <v>3.0017120988317449</v>
      </c>
      <c r="F165" s="33">
        <v>1.1147609775748626</v>
      </c>
      <c r="G165" s="31">
        <v>84.87222222222222</v>
      </c>
      <c r="H165" s="31">
        <v>4.0411111111111113</v>
      </c>
      <c r="I165" s="31">
        <v>27.133333333333336</v>
      </c>
      <c r="J165" s="31">
        <v>22.077777777777779</v>
      </c>
      <c r="K165" s="31">
        <v>47.925555555555555</v>
      </c>
      <c r="L165" s="31">
        <v>25.866666666666664</v>
      </c>
      <c r="M165" s="31">
        <v>7</v>
      </c>
      <c r="N165" s="31">
        <v>63.532222222222224</v>
      </c>
      <c r="O165" s="31">
        <v>0</v>
      </c>
      <c r="P165" s="31">
        <v>2.9855555555555555</v>
      </c>
      <c r="Q165" s="31">
        <v>0</v>
      </c>
      <c r="R165" s="31">
        <v>2.5</v>
      </c>
      <c r="S165" s="31">
        <v>7</v>
      </c>
      <c r="T165" s="31" t="str">
        <f>VLOOKUP(A165,Rankings!B:E,3,FALSE)</f>
        <v>NL</v>
      </c>
    </row>
    <row r="166" spans="1:21" ht="18.600000000000001" customHeight="1">
      <c r="A166" s="26" t="s">
        <v>181</v>
      </c>
      <c r="B166" s="27" t="s">
        <v>78</v>
      </c>
      <c r="C166" s="42" t="s">
        <v>34</v>
      </c>
      <c r="D166" s="31">
        <v>58.29666666666666</v>
      </c>
      <c r="E166" s="33">
        <v>3.0545485733889879</v>
      </c>
      <c r="F166" s="33">
        <v>1.0806602245220807</v>
      </c>
      <c r="G166" s="31">
        <v>70.290000000000006</v>
      </c>
      <c r="H166" s="31">
        <v>3.7522222222222221</v>
      </c>
      <c r="I166" s="31">
        <v>30.322222222222223</v>
      </c>
      <c r="J166" s="31">
        <v>19.785555555555558</v>
      </c>
      <c r="K166" s="31">
        <v>47.363333333333337</v>
      </c>
      <c r="L166" s="31">
        <v>15.635555555555555</v>
      </c>
      <c r="M166" s="31">
        <v>5.166666666666667</v>
      </c>
      <c r="N166" s="31">
        <v>59.32</v>
      </c>
      <c r="O166" s="31">
        <v>0</v>
      </c>
      <c r="P166" s="31">
        <v>2.0411111111111109</v>
      </c>
      <c r="Q166" s="31">
        <v>0</v>
      </c>
      <c r="R166" s="31">
        <v>1.5</v>
      </c>
      <c r="S166" s="31">
        <v>4</v>
      </c>
      <c r="T166" s="31" t="str">
        <f>VLOOKUP(A166,Rankings!B:E,3,FALSE)</f>
        <v>AL</v>
      </c>
    </row>
    <row r="167" spans="1:21" ht="18.600000000000001" customHeight="1">
      <c r="A167" s="26" t="s">
        <v>197</v>
      </c>
      <c r="B167" s="27" t="s">
        <v>99</v>
      </c>
      <c r="C167" s="42" t="s">
        <v>34</v>
      </c>
      <c r="D167" s="31">
        <v>63.134444444444448</v>
      </c>
      <c r="E167" s="33">
        <v>2.9895725172031464</v>
      </c>
      <c r="F167" s="33">
        <v>1.1174917724080886</v>
      </c>
      <c r="G167" s="31">
        <v>82.836666666666659</v>
      </c>
      <c r="H167" s="31">
        <v>3.0249999999999999</v>
      </c>
      <c r="I167" s="31">
        <v>27.400000000000002</v>
      </c>
      <c r="J167" s="31">
        <v>20.971666666666668</v>
      </c>
      <c r="K167" s="31">
        <v>45.511111111111113</v>
      </c>
      <c r="L167" s="31">
        <v>25.04111111111111</v>
      </c>
      <c r="M167" s="31">
        <v>6.1333333333333329</v>
      </c>
      <c r="N167" s="31">
        <v>63.413333333333327</v>
      </c>
      <c r="O167" s="31">
        <v>0</v>
      </c>
      <c r="P167" s="31">
        <v>3.0088888888888889</v>
      </c>
      <c r="Q167" s="31">
        <v>0</v>
      </c>
      <c r="R167" s="31">
        <v>3.5</v>
      </c>
      <c r="S167" s="31">
        <v>4</v>
      </c>
      <c r="T167" s="31" t="str">
        <f>VLOOKUP(A167,Rankings!B:E,3,FALSE)</f>
        <v>AL</v>
      </c>
    </row>
    <row r="168" spans="1:21" ht="18.600000000000001" customHeight="1">
      <c r="A168" s="26" t="s">
        <v>188</v>
      </c>
      <c r="B168" s="27" t="s">
        <v>73</v>
      </c>
      <c r="C168" s="42" t="s">
        <v>34</v>
      </c>
      <c r="D168" s="31">
        <v>63.951111111111111</v>
      </c>
      <c r="E168" s="33">
        <v>3.1708596844812011</v>
      </c>
      <c r="F168" s="33">
        <v>1.064354715407603</v>
      </c>
      <c r="G168" s="31">
        <v>77.527777777777771</v>
      </c>
      <c r="H168" s="31">
        <v>3.9955555555555553</v>
      </c>
      <c r="I168" s="31">
        <v>26.333333333333332</v>
      </c>
      <c r="J168" s="31">
        <v>22.531111111111112</v>
      </c>
      <c r="K168" s="31">
        <v>52.526666666666664</v>
      </c>
      <c r="L168" s="31">
        <v>15.54</v>
      </c>
      <c r="M168" s="31">
        <v>7.166666666666667</v>
      </c>
      <c r="N168" s="31">
        <v>64.497777777777785</v>
      </c>
      <c r="O168" s="31">
        <v>0</v>
      </c>
      <c r="P168" s="31">
        <v>3.0311111111111111</v>
      </c>
      <c r="Q168" s="31">
        <v>0</v>
      </c>
      <c r="R168" s="31">
        <v>4</v>
      </c>
      <c r="S168" s="31">
        <v>7</v>
      </c>
      <c r="T168" s="31" t="str">
        <f>VLOOKUP(A168,Rankings!B:E,3,FALSE)</f>
        <v>NL</v>
      </c>
    </row>
    <row r="169" spans="1:21" ht="18.600000000000001" customHeight="1">
      <c r="A169" s="26" t="s">
        <v>161</v>
      </c>
      <c r="B169" s="27" t="s">
        <v>94</v>
      </c>
      <c r="C169" s="42" t="s">
        <v>34</v>
      </c>
      <c r="D169" s="31">
        <v>64.44</v>
      </c>
      <c r="E169" s="33">
        <v>3.3154096834264433</v>
      </c>
      <c r="F169" s="33">
        <v>1.1381647010138631</v>
      </c>
      <c r="G169" s="31">
        <v>74.888333333333335</v>
      </c>
      <c r="H169" s="31">
        <v>4.0266666666666664</v>
      </c>
      <c r="I169" s="31">
        <v>32.883333333333333</v>
      </c>
      <c r="J169" s="31">
        <v>23.738333333333333</v>
      </c>
      <c r="K169" s="31">
        <v>51.140000000000008</v>
      </c>
      <c r="L169" s="31">
        <v>22.203333333333333</v>
      </c>
      <c r="M169" s="31">
        <v>7.0333333333333341</v>
      </c>
      <c r="N169" s="31">
        <v>63.063333333333333</v>
      </c>
      <c r="O169" s="31">
        <v>0</v>
      </c>
      <c r="P169" s="31">
        <v>2.9966666666666666</v>
      </c>
      <c r="Q169" s="31">
        <v>0</v>
      </c>
      <c r="R169" s="31">
        <v>2.5</v>
      </c>
      <c r="S169" s="31">
        <v>6</v>
      </c>
      <c r="T169" s="31" t="str">
        <f>VLOOKUP(A169,Rankings!B:E,3,FALSE)</f>
        <v>AL</v>
      </c>
    </row>
    <row r="170" spans="1:21" ht="18.600000000000001" customHeight="1">
      <c r="A170" s="26" t="s">
        <v>220</v>
      </c>
      <c r="B170" s="27" t="s">
        <v>156</v>
      </c>
      <c r="C170" s="42" t="s">
        <v>34</v>
      </c>
      <c r="D170" s="31">
        <v>66.476666666666674</v>
      </c>
      <c r="E170" s="33">
        <v>2.7930100787243641</v>
      </c>
      <c r="F170" s="33">
        <v>1.0952715238429522</v>
      </c>
      <c r="G170" s="31">
        <v>87.733333333333334</v>
      </c>
      <c r="H170" s="31">
        <v>3.5644444444444443</v>
      </c>
      <c r="I170" s="31">
        <v>19.600000000000001</v>
      </c>
      <c r="J170" s="31">
        <v>20.63</v>
      </c>
      <c r="K170" s="31">
        <v>50.282222222222224</v>
      </c>
      <c r="L170" s="31">
        <v>22.527777777777775</v>
      </c>
      <c r="M170" s="31">
        <v>5.333333333333333</v>
      </c>
      <c r="N170" s="31">
        <v>61.609999999999992</v>
      </c>
      <c r="O170" s="31">
        <v>0</v>
      </c>
      <c r="P170" s="31">
        <v>2.7266666666666666</v>
      </c>
      <c r="Q170" s="31">
        <v>0</v>
      </c>
      <c r="R170" s="31">
        <v>19.5</v>
      </c>
      <c r="S170" s="31">
        <v>3</v>
      </c>
      <c r="T170" s="31" t="str">
        <f>VLOOKUP(A170,Rankings!B:E,3,FALSE)</f>
        <v>AL</v>
      </c>
    </row>
    <row r="171" spans="1:21" ht="18.600000000000001" customHeight="1">
      <c r="A171" s="26" t="s">
        <v>237</v>
      </c>
      <c r="B171" s="27" t="s">
        <v>71</v>
      </c>
      <c r="C171" s="42" t="s">
        <v>34</v>
      </c>
      <c r="D171" s="31">
        <v>62.772222222222219</v>
      </c>
      <c r="E171" s="33">
        <v>2.5695282768386587</v>
      </c>
      <c r="F171" s="33">
        <v>1.0016638640587663</v>
      </c>
      <c r="G171" s="31">
        <v>89.848888888888894</v>
      </c>
      <c r="H171" s="31">
        <v>2.9977777777777774</v>
      </c>
      <c r="I171" s="31">
        <v>10.299999999999999</v>
      </c>
      <c r="J171" s="31">
        <v>17.921666666666667</v>
      </c>
      <c r="K171" s="31">
        <v>41.833333333333336</v>
      </c>
      <c r="L171" s="31">
        <v>21.043333333333333</v>
      </c>
      <c r="M171" s="31">
        <v>5</v>
      </c>
      <c r="N171" s="31">
        <v>63.631111111111117</v>
      </c>
      <c r="O171" s="31">
        <v>0</v>
      </c>
      <c r="P171" s="31">
        <v>3.0177777777777774</v>
      </c>
      <c r="Q171" s="31">
        <v>0</v>
      </c>
      <c r="R171" s="31">
        <v>17</v>
      </c>
      <c r="S171" s="31">
        <v>0</v>
      </c>
      <c r="T171" s="31" t="str">
        <f>VLOOKUP(A171,Rankings!B:E,3,FALSE)</f>
        <v>AL</v>
      </c>
    </row>
    <row r="172" spans="1:21" ht="18.600000000000001" customHeight="1">
      <c r="A172" s="26" t="s">
        <v>289</v>
      </c>
      <c r="B172" s="27" t="s">
        <v>137</v>
      </c>
      <c r="C172" s="42" t="s">
        <v>34</v>
      </c>
      <c r="D172" s="31">
        <v>61.585000000000001</v>
      </c>
      <c r="E172" s="33">
        <v>3.2694649671186169</v>
      </c>
      <c r="F172" s="33">
        <v>1.16532705474818</v>
      </c>
      <c r="G172" s="31">
        <v>75.40666666666668</v>
      </c>
      <c r="H172" s="31">
        <v>2.9899999999999998</v>
      </c>
      <c r="I172" s="31">
        <v>27</v>
      </c>
      <c r="J172" s="31">
        <v>22.372222222222224</v>
      </c>
      <c r="K172" s="31">
        <v>51.524444444444441</v>
      </c>
      <c r="L172" s="31">
        <v>20.242222222222221</v>
      </c>
      <c r="M172" s="31">
        <v>6.0333333333333341</v>
      </c>
      <c r="N172" s="31">
        <v>60.015000000000008</v>
      </c>
      <c r="O172" s="31">
        <v>0</v>
      </c>
      <c r="P172" s="31">
        <v>2.9783333333333335</v>
      </c>
      <c r="Q172" s="31">
        <v>0</v>
      </c>
      <c r="R172" s="31">
        <v>3</v>
      </c>
      <c r="S172" s="31">
        <v>5</v>
      </c>
      <c r="T172" s="31" t="str">
        <f>VLOOKUP(A172,Rankings!B:E,3,FALSE)</f>
        <v>NL</v>
      </c>
    </row>
    <row r="173" spans="1:21" ht="18.600000000000001" customHeight="1">
      <c r="A173" s="26" t="s">
        <v>269</v>
      </c>
      <c r="B173" s="27" t="s">
        <v>101</v>
      </c>
      <c r="C173" s="42" t="s">
        <v>34</v>
      </c>
      <c r="D173" s="31">
        <v>58.128888888888888</v>
      </c>
      <c r="E173" s="33">
        <v>2.9973048398195581</v>
      </c>
      <c r="F173" s="33">
        <v>1.1249139842495604</v>
      </c>
      <c r="G173" s="31">
        <v>76.833333333333329</v>
      </c>
      <c r="H173" s="31">
        <v>3.5477777777777781</v>
      </c>
      <c r="I173" s="31">
        <v>18.333333333333332</v>
      </c>
      <c r="J173" s="31">
        <v>19.358888888888888</v>
      </c>
      <c r="K173" s="31">
        <v>44.878888888888888</v>
      </c>
      <c r="L173" s="31">
        <v>20.511111111111109</v>
      </c>
      <c r="M173" s="31">
        <v>4.6000000000000005</v>
      </c>
      <c r="N173" s="31">
        <v>58.881111111111117</v>
      </c>
      <c r="O173" s="31">
        <v>0</v>
      </c>
      <c r="P173" s="31">
        <v>2.9266666666666672</v>
      </c>
      <c r="Q173" s="31">
        <v>0</v>
      </c>
      <c r="R173" s="31">
        <v>8.5</v>
      </c>
      <c r="S173" s="31">
        <v>4</v>
      </c>
      <c r="T173" s="31" t="str">
        <f>VLOOKUP(A173,Rankings!B:E,3,FALSE)</f>
        <v>AL</v>
      </c>
    </row>
    <row r="174" spans="1:21" ht="18.600000000000001" customHeight="1">
      <c r="A174" s="26" t="s">
        <v>255</v>
      </c>
      <c r="B174" s="27" t="s">
        <v>71</v>
      </c>
      <c r="C174" s="42" t="s">
        <v>34</v>
      </c>
      <c r="D174" s="31">
        <v>62.166666666666657</v>
      </c>
      <c r="E174" s="33">
        <v>3.4643967828418232</v>
      </c>
      <c r="F174" s="33">
        <v>1.0778194816800717</v>
      </c>
      <c r="G174" s="31">
        <v>75.894444444444446</v>
      </c>
      <c r="H174" s="31">
        <v>3.9777777777777779</v>
      </c>
      <c r="I174" s="31">
        <v>19.422222222222221</v>
      </c>
      <c r="J174" s="31">
        <v>23.929999999999996</v>
      </c>
      <c r="K174" s="31">
        <v>48.027777777777779</v>
      </c>
      <c r="L174" s="31">
        <v>18.976666666666667</v>
      </c>
      <c r="M174" s="31">
        <v>9</v>
      </c>
      <c r="N174" s="31">
        <v>62.075555555555553</v>
      </c>
      <c r="O174" s="31">
        <v>0</v>
      </c>
      <c r="P174" s="31">
        <v>2.9988888888888887</v>
      </c>
      <c r="Q174" s="31">
        <v>0</v>
      </c>
      <c r="R174" s="31">
        <v>9</v>
      </c>
      <c r="S174" s="31">
        <v>9</v>
      </c>
      <c r="T174" s="31" t="str">
        <f>VLOOKUP(A174,Rankings!B:E,3,FALSE)</f>
        <v>AL</v>
      </c>
    </row>
    <row r="175" spans="1:21" ht="18.600000000000001" customHeight="1">
      <c r="A175" s="26" t="s">
        <v>286</v>
      </c>
      <c r="B175" s="27" t="s">
        <v>217</v>
      </c>
      <c r="C175" s="42" t="s">
        <v>34</v>
      </c>
      <c r="D175" s="31">
        <v>64.846666666666678</v>
      </c>
      <c r="E175" s="33">
        <v>3.3515215379870456</v>
      </c>
      <c r="F175" s="33">
        <v>1.271546554264761</v>
      </c>
      <c r="G175" s="31">
        <v>75.556666666666672</v>
      </c>
      <c r="H175" s="31">
        <v>4.04</v>
      </c>
      <c r="I175" s="31">
        <v>28.777777777777775</v>
      </c>
      <c r="J175" s="31">
        <v>24.14833333333333</v>
      </c>
      <c r="K175" s="31">
        <v>52.883333333333333</v>
      </c>
      <c r="L175" s="31">
        <v>29.572222222222223</v>
      </c>
      <c r="M175" s="31">
        <v>5</v>
      </c>
      <c r="N175" s="31">
        <v>65.180000000000007</v>
      </c>
      <c r="O175" s="31">
        <v>0</v>
      </c>
      <c r="P175" s="31">
        <v>3.0111111111111111</v>
      </c>
      <c r="Q175" s="31">
        <v>0</v>
      </c>
      <c r="R175" s="31">
        <v>2</v>
      </c>
      <c r="S175" s="31">
        <v>5</v>
      </c>
      <c r="T175" s="31" t="str">
        <f>VLOOKUP(A175,Rankings!B:E,3,FALSE)</f>
        <v>NL</v>
      </c>
    </row>
    <row r="176" spans="1:21" ht="18.600000000000001" customHeight="1">
      <c r="A176" s="26" t="s">
        <v>256</v>
      </c>
      <c r="B176" s="27" t="s">
        <v>103</v>
      </c>
      <c r="C176" s="42" t="s">
        <v>34</v>
      </c>
      <c r="D176" s="31">
        <v>62.452222222222225</v>
      </c>
      <c r="E176" s="33">
        <v>3.6956251000765028</v>
      </c>
      <c r="F176" s="33">
        <v>1.1885708185813155</v>
      </c>
      <c r="G176" s="31">
        <v>73.804444444444442</v>
      </c>
      <c r="H176" s="31">
        <v>3.0255555555555556</v>
      </c>
      <c r="I176" s="31">
        <v>29.022222222222222</v>
      </c>
      <c r="J176" s="31">
        <v>25.644444444444446</v>
      </c>
      <c r="K176" s="31">
        <v>50.725555555555559</v>
      </c>
      <c r="L176" s="31">
        <v>23.50333333333333</v>
      </c>
      <c r="M176" s="31">
        <v>7.666666666666667</v>
      </c>
      <c r="N176" s="31">
        <v>63.664444444444449</v>
      </c>
      <c r="O176" s="31">
        <v>0</v>
      </c>
      <c r="P176" s="31">
        <v>3.0011111111111113</v>
      </c>
      <c r="Q176" s="31">
        <v>0</v>
      </c>
      <c r="R176" s="31">
        <v>1.5</v>
      </c>
      <c r="S176" s="31">
        <v>4</v>
      </c>
      <c r="T176" s="31" t="str">
        <f>VLOOKUP(A176,Rankings!B:E,3,FALSE)</f>
        <v>AL</v>
      </c>
    </row>
    <row r="177" spans="1:20" ht="18.600000000000001" customHeight="1">
      <c r="A177" s="26" t="s">
        <v>347</v>
      </c>
      <c r="B177" s="27" t="s">
        <v>223</v>
      </c>
      <c r="C177" s="42" t="s">
        <v>34</v>
      </c>
      <c r="D177" s="31">
        <v>65.605555555555554</v>
      </c>
      <c r="E177" s="33">
        <v>3.7396223219578291</v>
      </c>
      <c r="F177" s="33">
        <v>1.1627910915403508</v>
      </c>
      <c r="G177" s="31">
        <v>83.395555555555561</v>
      </c>
      <c r="H177" s="31">
        <v>3.9911111111111111</v>
      </c>
      <c r="I177" s="31">
        <v>22</v>
      </c>
      <c r="J177" s="31">
        <v>27.26</v>
      </c>
      <c r="K177" s="31">
        <v>45</v>
      </c>
      <c r="L177" s="31">
        <v>31.285555555555558</v>
      </c>
      <c r="M177" s="31">
        <v>7.8999999999999995</v>
      </c>
      <c r="N177" s="31">
        <v>65.797777777777782</v>
      </c>
      <c r="O177" s="31">
        <v>0</v>
      </c>
      <c r="P177" s="31">
        <v>3.1577777777777776</v>
      </c>
      <c r="Q177" s="31">
        <v>0</v>
      </c>
      <c r="R177" s="31">
        <v>9.5</v>
      </c>
      <c r="S177" s="31">
        <v>7</v>
      </c>
      <c r="T177" s="31" t="str">
        <f>VLOOKUP(A177,Rankings!B:E,3,FALSE)</f>
        <v>NL</v>
      </c>
    </row>
    <row r="178" spans="1:20" ht="18.600000000000001" customHeight="1">
      <c r="A178" s="26" t="s">
        <v>288</v>
      </c>
      <c r="B178" s="27" t="s">
        <v>68</v>
      </c>
      <c r="C178" s="42" t="s">
        <v>34</v>
      </c>
      <c r="D178" s="31">
        <v>62.87</v>
      </c>
      <c r="E178" s="33">
        <v>3.3812629234929221</v>
      </c>
      <c r="F178" s="33">
        <v>1.2345404096636801</v>
      </c>
      <c r="G178" s="31">
        <v>65.106666666666669</v>
      </c>
      <c r="H178" s="31">
        <v>4.043333333333333</v>
      </c>
      <c r="I178" s="31">
        <v>25.066666666666666</v>
      </c>
      <c r="J178" s="31">
        <v>23.62</v>
      </c>
      <c r="K178" s="31">
        <v>52.828888888888891</v>
      </c>
      <c r="L178" s="31">
        <v>24.786666666666665</v>
      </c>
      <c r="M178" s="31">
        <v>4.1000000000000005</v>
      </c>
      <c r="N178" s="31">
        <v>61.742222222222217</v>
      </c>
      <c r="O178" s="31">
        <v>0</v>
      </c>
      <c r="P178" s="31">
        <v>2.9966666666666666</v>
      </c>
      <c r="Q178" s="31">
        <v>0</v>
      </c>
      <c r="R178" s="31">
        <v>3</v>
      </c>
      <c r="S178" s="31">
        <v>11</v>
      </c>
      <c r="T178" s="31" t="str">
        <f>VLOOKUP(A178,Rankings!B:E,3,FALSE)</f>
        <v>AL</v>
      </c>
    </row>
    <row r="179" spans="1:20" ht="18.600000000000001" customHeight="1">
      <c r="A179" s="26" t="s">
        <v>364</v>
      </c>
      <c r="B179" s="27" t="s">
        <v>73</v>
      </c>
      <c r="C179" s="42" t="s">
        <v>34</v>
      </c>
      <c r="D179" s="31">
        <v>63.184444444444438</v>
      </c>
      <c r="E179" s="33">
        <v>3.0935620581718428</v>
      </c>
      <c r="F179" s="33">
        <v>1.1182956423873671</v>
      </c>
      <c r="G179" s="31">
        <v>78.135000000000005</v>
      </c>
      <c r="H179" s="31">
        <v>3.9811111111111113</v>
      </c>
      <c r="I179" s="31">
        <v>9.1666666666666661</v>
      </c>
      <c r="J179" s="31">
        <v>21.718333333333334</v>
      </c>
      <c r="K179" s="31">
        <v>50.247777777777777</v>
      </c>
      <c r="L179" s="31">
        <v>20.411111111111111</v>
      </c>
      <c r="M179" s="31">
        <v>5.6000000000000005</v>
      </c>
      <c r="N179" s="31">
        <v>66.680000000000007</v>
      </c>
      <c r="O179" s="31">
        <v>0</v>
      </c>
      <c r="P179" s="31">
        <v>2.99</v>
      </c>
      <c r="Q179" s="31">
        <v>0</v>
      </c>
      <c r="R179" s="31">
        <v>22.5</v>
      </c>
      <c r="S179" s="31">
        <v>0</v>
      </c>
      <c r="T179" s="31" t="str">
        <f>VLOOKUP(A179,Rankings!B:E,3,FALSE)</f>
        <v>NL</v>
      </c>
    </row>
    <row r="180" spans="1:20" ht="18.600000000000001" customHeight="1">
      <c r="A180" s="26" t="s">
        <v>301</v>
      </c>
      <c r="B180" s="27" t="s">
        <v>117</v>
      </c>
      <c r="C180" s="42" t="s">
        <v>34</v>
      </c>
      <c r="D180" s="31">
        <v>69.426666666666662</v>
      </c>
      <c r="E180" s="33">
        <v>3.5270309199154988</v>
      </c>
      <c r="F180" s="33">
        <v>1.2238333013251392</v>
      </c>
      <c r="G180" s="31">
        <v>75.095555555555549</v>
      </c>
      <c r="H180" s="31">
        <v>3.1477777777777778</v>
      </c>
      <c r="I180" s="31">
        <v>20.911111111111111</v>
      </c>
      <c r="J180" s="31">
        <v>27.207777777777778</v>
      </c>
      <c r="K180" s="31">
        <v>60.864444444444445</v>
      </c>
      <c r="L180" s="31">
        <v>24.102222222222224</v>
      </c>
      <c r="M180" s="31">
        <v>8</v>
      </c>
      <c r="N180" s="31">
        <v>68.25333333333333</v>
      </c>
      <c r="O180" s="31">
        <v>0</v>
      </c>
      <c r="P180" s="31">
        <v>3.0344444444444445</v>
      </c>
      <c r="Q180" s="31">
        <v>0</v>
      </c>
      <c r="R180" s="31">
        <v>12</v>
      </c>
      <c r="S180" s="31">
        <v>4</v>
      </c>
      <c r="T180" s="31" t="str">
        <f>VLOOKUP(A180,Rankings!B:E,3,FALSE)</f>
        <v>AL</v>
      </c>
    </row>
    <row r="181" spans="1:20" ht="18.600000000000001" customHeight="1">
      <c r="A181" s="26" t="s">
        <v>411</v>
      </c>
      <c r="B181" s="27" t="s">
        <v>103</v>
      </c>
      <c r="C181" s="42" t="s">
        <v>34</v>
      </c>
      <c r="D181" s="31">
        <v>123.70333333333333</v>
      </c>
      <c r="E181" s="33">
        <v>3.7830637816280892</v>
      </c>
      <c r="F181" s="33">
        <v>1.1974796331725543</v>
      </c>
      <c r="G181" s="31">
        <v>120.00833333333333</v>
      </c>
      <c r="H181" s="31">
        <v>7.4533333333333331</v>
      </c>
      <c r="I181" s="31">
        <v>0.5</v>
      </c>
      <c r="J181" s="31">
        <v>51.997511111111116</v>
      </c>
      <c r="K181" s="31">
        <v>116.41555555555556</v>
      </c>
      <c r="L181" s="31">
        <v>31.716666666666669</v>
      </c>
      <c r="M181" s="31">
        <v>14.666666666666666</v>
      </c>
      <c r="N181" s="31">
        <v>30.223333333333333</v>
      </c>
      <c r="O181" s="31">
        <v>19.79</v>
      </c>
      <c r="P181" s="31">
        <v>5.9733333333333336</v>
      </c>
      <c r="Q181" s="31">
        <v>9</v>
      </c>
      <c r="R181" s="31">
        <v>6.5</v>
      </c>
      <c r="S181" s="31">
        <v>0</v>
      </c>
      <c r="T181" s="31" t="str">
        <f>VLOOKUP(A181,Rankings!B:E,3,FALSE)</f>
        <v>AL</v>
      </c>
    </row>
    <row r="182" spans="1:20" ht="18.600000000000001" customHeight="1">
      <c r="A182" s="26" t="s">
        <v>352</v>
      </c>
      <c r="B182" s="27" t="s">
        <v>101</v>
      </c>
      <c r="C182" s="42" t="s">
        <v>34</v>
      </c>
      <c r="D182" s="31">
        <v>62.135555555555555</v>
      </c>
      <c r="E182" s="33">
        <v>3.2565895354243413</v>
      </c>
      <c r="F182" s="33">
        <v>1.0983512749901649</v>
      </c>
      <c r="G182" s="31">
        <v>73.792222222222222</v>
      </c>
      <c r="H182" s="31">
        <v>2.9933333333333336</v>
      </c>
      <c r="I182" s="31">
        <v>9.4333333333333336</v>
      </c>
      <c r="J182" s="31">
        <v>22.483333333333334</v>
      </c>
      <c r="K182" s="31">
        <v>46.774444444444441</v>
      </c>
      <c r="L182" s="31">
        <v>21.472222222222225</v>
      </c>
      <c r="M182" s="31">
        <v>6.7</v>
      </c>
      <c r="N182" s="31">
        <v>64.186666666666667</v>
      </c>
      <c r="O182" s="31">
        <v>0</v>
      </c>
      <c r="P182" s="31">
        <v>2.9833333333333329</v>
      </c>
      <c r="Q182" s="31">
        <v>0</v>
      </c>
      <c r="R182" s="31">
        <v>15.5</v>
      </c>
      <c r="S182" s="31">
        <v>5</v>
      </c>
      <c r="T182" s="31" t="str">
        <f>VLOOKUP(A182,Rankings!B:E,3,FALSE)</f>
        <v>AL</v>
      </c>
    </row>
    <row r="183" spans="1:20" ht="18.600000000000001" customHeight="1">
      <c r="A183" s="26" t="s">
        <v>358</v>
      </c>
      <c r="B183" s="27" t="s">
        <v>81</v>
      </c>
      <c r="C183" s="42" t="s">
        <v>34</v>
      </c>
      <c r="D183" s="31">
        <v>63.145555555555553</v>
      </c>
      <c r="E183" s="33">
        <v>3.216140838626806</v>
      </c>
      <c r="F183" s="33">
        <v>1.1422639052629726</v>
      </c>
      <c r="G183" s="31">
        <v>75.040000000000006</v>
      </c>
      <c r="H183" s="31">
        <v>3.9944444444444449</v>
      </c>
      <c r="I183" s="31">
        <v>9.3333333333333339</v>
      </c>
      <c r="J183" s="31">
        <v>22.565000000000001</v>
      </c>
      <c r="K183" s="31">
        <v>49.708888888888886</v>
      </c>
      <c r="L183" s="31">
        <v>22.419999999999998</v>
      </c>
      <c r="M183" s="31">
        <v>5.95</v>
      </c>
      <c r="N183" s="31">
        <v>61.94222222222222</v>
      </c>
      <c r="O183" s="31">
        <v>0</v>
      </c>
      <c r="P183" s="31">
        <v>2.8633333333333333</v>
      </c>
      <c r="Q183" s="31">
        <v>0</v>
      </c>
      <c r="R183" s="31">
        <v>14.5</v>
      </c>
      <c r="S183" s="31">
        <v>6</v>
      </c>
      <c r="T183" s="31" t="str">
        <f>VLOOKUP(A183,Rankings!B:E,3,FALSE)</f>
        <v>NL</v>
      </c>
    </row>
    <row r="184" spans="1:20" ht="18.600000000000001" customHeight="1">
      <c r="A184" s="26" t="s">
        <v>331</v>
      </c>
      <c r="B184" s="27" t="s">
        <v>123</v>
      </c>
      <c r="C184" s="42" t="s">
        <v>34</v>
      </c>
      <c r="D184" s="31">
        <v>64.578888888888898</v>
      </c>
      <c r="E184" s="33">
        <v>3.3577536518642139</v>
      </c>
      <c r="F184" s="33">
        <v>1.0776483542953492</v>
      </c>
      <c r="G184" s="31">
        <v>75.047777777777782</v>
      </c>
      <c r="H184" s="31">
        <v>3.9933333333333336</v>
      </c>
      <c r="I184" s="31">
        <v>6.2888888888888888</v>
      </c>
      <c r="J184" s="31">
        <v>24.093333333333334</v>
      </c>
      <c r="K184" s="31">
        <v>51.095555555555556</v>
      </c>
      <c r="L184" s="31">
        <v>18.497777777777777</v>
      </c>
      <c r="M184" s="31">
        <v>7.5</v>
      </c>
      <c r="N184" s="31">
        <v>64.76444444444445</v>
      </c>
      <c r="O184" s="31">
        <v>0</v>
      </c>
      <c r="P184" s="31">
        <v>3.0322222222222224</v>
      </c>
      <c r="Q184" s="31">
        <v>0</v>
      </c>
      <c r="R184" s="31">
        <v>16.5</v>
      </c>
      <c r="S184" s="31">
        <v>2</v>
      </c>
      <c r="T184" s="31" t="str">
        <f>VLOOKUP(A184,Rankings!B:E,3,FALSE)</f>
        <v>NL</v>
      </c>
    </row>
    <row r="185" spans="1:20" ht="18.600000000000001" customHeight="1">
      <c r="A185" s="26" t="s">
        <v>241</v>
      </c>
      <c r="B185" s="27" t="s">
        <v>114</v>
      </c>
      <c r="C185" s="42" t="s">
        <v>34</v>
      </c>
      <c r="D185" s="31">
        <v>25.902222222222221</v>
      </c>
      <c r="E185" s="33">
        <v>2.9267759094028829</v>
      </c>
      <c r="F185" s="33">
        <v>1.0072494852436513</v>
      </c>
      <c r="G185" s="31">
        <v>36.147777777777776</v>
      </c>
      <c r="H185" s="31">
        <v>1.9966666666666668</v>
      </c>
      <c r="I185" s="31">
        <v>9.1333333333333329</v>
      </c>
      <c r="J185" s="31">
        <v>8.4233333333333338</v>
      </c>
      <c r="K185" s="31">
        <v>19.943333333333332</v>
      </c>
      <c r="L185" s="31">
        <v>6.1466666666666674</v>
      </c>
      <c r="M185" s="31">
        <v>3.4666666666666668</v>
      </c>
      <c r="N185" s="31">
        <v>26.351111111111109</v>
      </c>
      <c r="O185" s="31">
        <v>0</v>
      </c>
      <c r="P185" s="31">
        <v>1.0833333333333333</v>
      </c>
      <c r="Q185" s="31">
        <v>0</v>
      </c>
      <c r="R185" s="31">
        <v>0</v>
      </c>
      <c r="S185" s="31">
        <v>3</v>
      </c>
      <c r="T185" s="31" t="str">
        <f>VLOOKUP(A185,Rankings!B:E,3,FALSE)</f>
        <v>AL</v>
      </c>
    </row>
    <row r="186" spans="1:20" ht="18.600000000000001" customHeight="1">
      <c r="A186" s="26" t="s">
        <v>529</v>
      </c>
      <c r="B186" s="27" t="s">
        <v>95</v>
      </c>
      <c r="C186" s="42" t="s">
        <v>34</v>
      </c>
      <c r="D186" s="31">
        <v>60.775555555555549</v>
      </c>
      <c r="E186" s="33">
        <v>3.5977458042341595</v>
      </c>
      <c r="F186" s="33">
        <v>1.2579984642948556</v>
      </c>
      <c r="G186" s="31">
        <v>73.721111111111114</v>
      </c>
      <c r="H186" s="31">
        <v>3.26</v>
      </c>
      <c r="I186" s="31">
        <v>16.600000000000001</v>
      </c>
      <c r="J186" s="31">
        <v>24.295000000000002</v>
      </c>
      <c r="K186" s="31">
        <v>48.176666666666669</v>
      </c>
      <c r="L186" s="31">
        <v>28.27888888888889</v>
      </c>
      <c r="M186" s="31">
        <v>7</v>
      </c>
      <c r="N186" s="31">
        <v>60.842222222222226</v>
      </c>
      <c r="O186" s="31">
        <v>0</v>
      </c>
      <c r="P186" s="31">
        <v>2.99</v>
      </c>
      <c r="Q186" s="31">
        <v>0</v>
      </c>
      <c r="R186" s="31">
        <v>11</v>
      </c>
      <c r="S186" s="31">
        <v>1</v>
      </c>
      <c r="T186" s="31" t="str">
        <f>VLOOKUP(A186,Rankings!B:E,3,FALSE)</f>
        <v>NL</v>
      </c>
    </row>
    <row r="187" spans="1:20" ht="18.600000000000001" customHeight="1">
      <c r="A187" s="26" t="s">
        <v>495</v>
      </c>
      <c r="B187" s="27" t="s">
        <v>81</v>
      </c>
      <c r="C187" s="42" t="s">
        <v>34</v>
      </c>
      <c r="D187" s="31">
        <v>59.961111111111109</v>
      </c>
      <c r="E187" s="33">
        <v>3.3525062540535528</v>
      </c>
      <c r="F187" s="33">
        <v>1.1698693597702217</v>
      </c>
      <c r="G187" s="31">
        <v>79.556666666666672</v>
      </c>
      <c r="H187" s="31">
        <v>3.98</v>
      </c>
      <c r="I187" s="31">
        <v>4.8888888888888884</v>
      </c>
      <c r="J187" s="31">
        <v>22.335555555555555</v>
      </c>
      <c r="K187" s="31">
        <v>44.473333333333336</v>
      </c>
      <c r="L187" s="31">
        <v>25.673333333333332</v>
      </c>
      <c r="M187" s="31">
        <v>7.0333333333333341</v>
      </c>
      <c r="N187" s="31">
        <v>61.25333333333333</v>
      </c>
      <c r="O187" s="31">
        <v>0</v>
      </c>
      <c r="P187" s="31">
        <v>1.9916666666666665</v>
      </c>
      <c r="Q187" s="31">
        <v>0</v>
      </c>
      <c r="R187" s="31">
        <v>15.5</v>
      </c>
      <c r="S187" s="31">
        <v>3</v>
      </c>
      <c r="T187" s="31" t="str">
        <f>VLOOKUP(A187,Rankings!B:E,3,FALSE)</f>
        <v>NL</v>
      </c>
    </row>
    <row r="188" spans="1:20" ht="18.600000000000001" customHeight="1">
      <c r="A188" s="26" t="s">
        <v>382</v>
      </c>
      <c r="B188" s="27" t="s">
        <v>176</v>
      </c>
      <c r="C188" s="42" t="s">
        <v>34</v>
      </c>
      <c r="D188" s="31">
        <v>63.043333333333322</v>
      </c>
      <c r="E188" s="33">
        <v>4.0665679691217687</v>
      </c>
      <c r="F188" s="33">
        <v>1.3542360633779238</v>
      </c>
      <c r="G188" s="31">
        <v>70.736666666666665</v>
      </c>
      <c r="H188" s="31">
        <v>4.0416666666666661</v>
      </c>
      <c r="I188" s="31">
        <v>26.366666666666664</v>
      </c>
      <c r="J188" s="31">
        <v>28.485555555555553</v>
      </c>
      <c r="K188" s="31">
        <v>56.183333333333337</v>
      </c>
      <c r="L188" s="31">
        <v>29.192222222222224</v>
      </c>
      <c r="M188" s="31">
        <v>6.6000000000000005</v>
      </c>
      <c r="N188" s="31">
        <v>63.531111111111109</v>
      </c>
      <c r="O188" s="31">
        <v>0</v>
      </c>
      <c r="P188" s="31">
        <v>3.8983333333333334</v>
      </c>
      <c r="Q188" s="31">
        <v>0</v>
      </c>
      <c r="R188" s="31">
        <v>2.5</v>
      </c>
      <c r="S188" s="31">
        <v>4</v>
      </c>
      <c r="T188" s="31" t="str">
        <f>VLOOKUP(A188,Rankings!B:E,3,FALSE)</f>
        <v>NL</v>
      </c>
    </row>
    <row r="189" spans="1:20" ht="18.600000000000001" customHeight="1">
      <c r="A189" s="26" t="s">
        <v>557</v>
      </c>
      <c r="B189" s="27" t="s">
        <v>258</v>
      </c>
      <c r="C189" s="42" t="s">
        <v>34</v>
      </c>
      <c r="D189" s="31">
        <v>63.03</v>
      </c>
      <c r="E189" s="33">
        <v>3.7341742027605904</v>
      </c>
      <c r="F189" s="33">
        <v>1.2949918028452061</v>
      </c>
      <c r="G189" s="31">
        <v>72.103333333333339</v>
      </c>
      <c r="H189" s="31">
        <v>3.0150000000000001</v>
      </c>
      <c r="I189" s="31">
        <v>19.266666666666666</v>
      </c>
      <c r="J189" s="31">
        <v>26.151666666666667</v>
      </c>
      <c r="K189" s="31">
        <v>53.137777777777778</v>
      </c>
      <c r="L189" s="31">
        <v>28.485555555555553</v>
      </c>
      <c r="M189" s="31">
        <v>5.3</v>
      </c>
      <c r="N189" s="31">
        <v>63.56444444444444</v>
      </c>
      <c r="O189" s="31">
        <v>0</v>
      </c>
      <c r="P189" s="31">
        <v>3.2766666666666668</v>
      </c>
      <c r="Q189" s="31">
        <v>0</v>
      </c>
      <c r="R189" s="31">
        <v>5.5</v>
      </c>
      <c r="S189" s="31">
        <v>7</v>
      </c>
      <c r="T189" s="31" t="str">
        <f>VLOOKUP(A189,Rankings!B:E,3,FALSE)</f>
        <v>AL</v>
      </c>
    </row>
    <row r="190" spans="1:20" ht="18.600000000000001" customHeight="1">
      <c r="A190" s="26" t="s">
        <v>445</v>
      </c>
      <c r="B190" s="27" t="s">
        <v>217</v>
      </c>
      <c r="C190" s="42" t="s">
        <v>34</v>
      </c>
      <c r="D190" s="31">
        <v>62.736666666666672</v>
      </c>
      <c r="E190" s="33">
        <v>3.539397481536581</v>
      </c>
      <c r="F190" s="33">
        <v>1.1682340647857887</v>
      </c>
      <c r="G190" s="31">
        <v>75.293333333333337</v>
      </c>
      <c r="H190" s="31">
        <v>3.9822222222222226</v>
      </c>
      <c r="I190" s="31">
        <v>6.3555555555555552</v>
      </c>
      <c r="J190" s="31">
        <v>24.672222222222221</v>
      </c>
      <c r="K190" s="31">
        <v>56.293333333333329</v>
      </c>
      <c r="L190" s="31">
        <v>16.997777777777777</v>
      </c>
      <c r="M190" s="31">
        <v>6</v>
      </c>
      <c r="N190" s="31">
        <v>63.597777777777786</v>
      </c>
      <c r="O190" s="31">
        <v>0</v>
      </c>
      <c r="P190" s="31">
        <v>4.0211111111111109</v>
      </c>
      <c r="Q190" s="31">
        <v>0</v>
      </c>
      <c r="R190" s="31">
        <v>11</v>
      </c>
      <c r="S190" s="31">
        <v>2</v>
      </c>
      <c r="T190" s="31" t="str">
        <f>VLOOKUP(A190,Rankings!B:E,3,FALSE)</f>
        <v>NL</v>
      </c>
    </row>
    <row r="191" spans="1:20" ht="18.600000000000001" customHeight="1">
      <c r="A191" s="26" t="s">
        <v>417</v>
      </c>
      <c r="B191" s="27" t="s">
        <v>81</v>
      </c>
      <c r="C191" s="42" t="s">
        <v>34</v>
      </c>
      <c r="D191" s="31">
        <v>51.898333333333341</v>
      </c>
      <c r="E191" s="33">
        <v>3.7374995985741348</v>
      </c>
      <c r="F191" s="33">
        <v>1.1607523255938426</v>
      </c>
      <c r="G191" s="31">
        <v>62.041666666666664</v>
      </c>
      <c r="H191" s="31">
        <v>3.17</v>
      </c>
      <c r="I191" s="31">
        <v>12.177777777777777</v>
      </c>
      <c r="J191" s="31">
        <v>21.552222222222223</v>
      </c>
      <c r="K191" s="31">
        <v>43.566666666666663</v>
      </c>
      <c r="L191" s="31">
        <v>16.674444444444443</v>
      </c>
      <c r="M191" s="31">
        <v>7.1333333333333329</v>
      </c>
      <c r="N191" s="31">
        <v>53.230000000000011</v>
      </c>
      <c r="O191" s="31">
        <v>0</v>
      </c>
      <c r="P191" s="31">
        <v>2.3622222222222224</v>
      </c>
      <c r="Q191" s="31">
        <v>0</v>
      </c>
      <c r="R191" s="31">
        <v>12.5</v>
      </c>
      <c r="S191" s="31">
        <v>2</v>
      </c>
      <c r="T191" s="31" t="str">
        <f>VLOOKUP(A191,Rankings!B:E,3,FALSE)</f>
        <v>NL</v>
      </c>
    </row>
    <row r="192" spans="1:20" ht="18.600000000000001" customHeight="1">
      <c r="A192" s="26" t="s">
        <v>443</v>
      </c>
      <c r="B192" s="27" t="s">
        <v>91</v>
      </c>
      <c r="C192" s="42" t="s">
        <v>34</v>
      </c>
      <c r="D192" s="31">
        <v>58.463333333333338</v>
      </c>
      <c r="E192" s="33">
        <v>3.7649238839158445</v>
      </c>
      <c r="F192" s="33">
        <v>1.2539673489556606</v>
      </c>
      <c r="G192" s="31">
        <v>72.545555555555552</v>
      </c>
      <c r="H192" s="31">
        <v>3.9877777777777776</v>
      </c>
      <c r="I192" s="31">
        <v>13.344444444444443</v>
      </c>
      <c r="J192" s="31">
        <v>24.456666666666667</v>
      </c>
      <c r="K192" s="31">
        <v>47.050000000000004</v>
      </c>
      <c r="L192" s="31">
        <v>26.261111111111109</v>
      </c>
      <c r="M192" s="31">
        <v>6.7</v>
      </c>
      <c r="N192" s="31">
        <v>59.99666666666667</v>
      </c>
      <c r="O192" s="31">
        <v>0</v>
      </c>
      <c r="P192" s="31">
        <v>3.3077777777777779</v>
      </c>
      <c r="Q192" s="31">
        <v>0</v>
      </c>
      <c r="R192" s="31">
        <v>7.5</v>
      </c>
      <c r="S192" s="31">
        <v>7</v>
      </c>
      <c r="T192" s="31" t="str">
        <f>VLOOKUP(A192,Rankings!B:E,3,FALSE)</f>
        <v>NL</v>
      </c>
    </row>
    <row r="193" spans="1:20" ht="18.600000000000001" customHeight="1">
      <c r="A193" s="26" t="s">
        <v>527</v>
      </c>
      <c r="B193" s="27" t="s">
        <v>91</v>
      </c>
      <c r="C193" s="42" t="s">
        <v>34</v>
      </c>
      <c r="D193" s="31">
        <v>61.81111111111111</v>
      </c>
      <c r="E193" s="33">
        <v>3.6541973755168073</v>
      </c>
      <c r="F193" s="33">
        <v>1.2477440230091676</v>
      </c>
      <c r="G193" s="31">
        <v>70.731111111111105</v>
      </c>
      <c r="H193" s="31">
        <v>4.0266666666666664</v>
      </c>
      <c r="I193" s="31">
        <v>11.733333333333334</v>
      </c>
      <c r="J193" s="31">
        <v>25.096666666666664</v>
      </c>
      <c r="K193" s="31">
        <v>50.68</v>
      </c>
      <c r="L193" s="31">
        <v>26.444444444444443</v>
      </c>
      <c r="M193" s="31">
        <v>6.2333333333333334</v>
      </c>
      <c r="N193" s="31">
        <v>63.975555555555559</v>
      </c>
      <c r="O193" s="31">
        <v>0</v>
      </c>
      <c r="P193" s="31">
        <v>3.4333333333333336</v>
      </c>
      <c r="Q193" s="31">
        <v>0</v>
      </c>
      <c r="R193" s="31">
        <v>11.5</v>
      </c>
      <c r="S193" s="31">
        <v>2</v>
      </c>
      <c r="T193" s="31" t="str">
        <f>VLOOKUP(A193,Rankings!B:E,3,FALSE)</f>
        <v>NL</v>
      </c>
    </row>
    <row r="194" spans="1:20" ht="18.600000000000001" customHeight="1">
      <c r="A194" s="26" t="s">
        <v>450</v>
      </c>
      <c r="B194" s="27" t="s">
        <v>158</v>
      </c>
      <c r="C194" s="42" t="s">
        <v>34</v>
      </c>
      <c r="D194" s="31">
        <v>62.652222222222214</v>
      </c>
      <c r="E194" s="33">
        <v>3.769539078156313</v>
      </c>
      <c r="F194" s="33">
        <v>1.2098356004043487</v>
      </c>
      <c r="G194" s="31">
        <v>70.88666666666667</v>
      </c>
      <c r="H194" s="31">
        <v>2.3366666666666669</v>
      </c>
      <c r="I194" s="31">
        <v>12.4</v>
      </c>
      <c r="J194" s="31">
        <v>26.24111111111111</v>
      </c>
      <c r="K194" s="31">
        <v>52.652222222222214</v>
      </c>
      <c r="L194" s="31">
        <v>23.146666666666665</v>
      </c>
      <c r="M194" s="31">
        <v>8.2666666666666675</v>
      </c>
      <c r="N194" s="31">
        <v>63.396666666666668</v>
      </c>
      <c r="O194" s="31">
        <v>0</v>
      </c>
      <c r="P194" s="31">
        <v>3.0122222222222224</v>
      </c>
      <c r="Q194" s="31">
        <v>0</v>
      </c>
      <c r="R194" s="31">
        <v>13</v>
      </c>
      <c r="S194" s="31">
        <v>9</v>
      </c>
      <c r="T194" s="31" t="str">
        <f>VLOOKUP(A194,Rankings!B:E,3,FALSE)</f>
        <v>NL</v>
      </c>
    </row>
    <row r="195" spans="1:20" ht="18.600000000000001" customHeight="1">
      <c r="A195" s="26" t="s">
        <v>570</v>
      </c>
      <c r="B195" s="27" t="s">
        <v>91</v>
      </c>
      <c r="C195" s="42" t="s">
        <v>34</v>
      </c>
      <c r="D195" s="31">
        <v>57.414444444444435</v>
      </c>
      <c r="E195" s="33">
        <v>3.1711532134770581</v>
      </c>
      <c r="F195" s="33">
        <v>1.2782787916319938</v>
      </c>
      <c r="G195" s="31">
        <v>78.422222222222231</v>
      </c>
      <c r="H195" s="31">
        <v>4.0049999999999999</v>
      </c>
      <c r="I195" s="31">
        <v>4.3555555555555552</v>
      </c>
      <c r="J195" s="31">
        <v>20.23</v>
      </c>
      <c r="K195" s="31">
        <v>43.034999999999997</v>
      </c>
      <c r="L195" s="31">
        <v>30.356666666666666</v>
      </c>
      <c r="M195" s="31">
        <v>4.0333333333333332</v>
      </c>
      <c r="N195" s="31">
        <v>60.897777777777776</v>
      </c>
      <c r="O195" s="31">
        <v>0</v>
      </c>
      <c r="P195" s="31">
        <v>1.9900000000000002</v>
      </c>
      <c r="Q195" s="31">
        <v>0</v>
      </c>
      <c r="R195" s="31">
        <v>18</v>
      </c>
      <c r="S195" s="31">
        <v>1</v>
      </c>
      <c r="T195" s="31" t="str">
        <f>VLOOKUP(A195,Rankings!B:E,3,FALSE)</f>
        <v>NL</v>
      </c>
    </row>
    <row r="196" spans="1:20" ht="18.600000000000001" customHeight="1">
      <c r="A196" s="26" t="s">
        <v>488</v>
      </c>
      <c r="B196" s="27" t="s">
        <v>76</v>
      </c>
      <c r="C196" s="42" t="s">
        <v>34</v>
      </c>
      <c r="D196" s="31">
        <v>61.653333333333329</v>
      </c>
      <c r="E196" s="33">
        <v>3.4460423875432524</v>
      </c>
      <c r="F196" s="33">
        <v>1.2205702133794696</v>
      </c>
      <c r="G196" s="31">
        <v>84.043333333333337</v>
      </c>
      <c r="H196" s="31">
        <v>3.7866666666666666</v>
      </c>
      <c r="I196" s="31">
        <v>2.4777777777777779</v>
      </c>
      <c r="J196" s="31">
        <v>23.606666666666666</v>
      </c>
      <c r="K196" s="31">
        <v>43.475555555555559</v>
      </c>
      <c r="L196" s="31">
        <v>31.776666666666667</v>
      </c>
      <c r="M196" s="31">
        <v>6.6000000000000005</v>
      </c>
      <c r="N196" s="31">
        <v>60.975555555555559</v>
      </c>
      <c r="O196" s="31">
        <v>0</v>
      </c>
      <c r="P196" s="31">
        <v>2.9866666666666668</v>
      </c>
      <c r="Q196" s="31">
        <v>0</v>
      </c>
      <c r="R196" s="31">
        <v>14</v>
      </c>
      <c r="S196" s="31">
        <v>2</v>
      </c>
      <c r="T196" s="31" t="str">
        <f>VLOOKUP(A196,Rankings!B:E,3,FALSE)</f>
        <v>AL</v>
      </c>
    </row>
    <row r="197" spans="1:20" ht="18.600000000000001" customHeight="1">
      <c r="A197" s="26" t="s">
        <v>556</v>
      </c>
      <c r="B197" s="27" t="s">
        <v>306</v>
      </c>
      <c r="C197" s="42" t="s">
        <v>34</v>
      </c>
      <c r="D197" s="31">
        <v>65.772222222222226</v>
      </c>
      <c r="E197" s="33">
        <v>3.9592702086324851</v>
      </c>
      <c r="F197" s="33">
        <v>1.3104991975673621</v>
      </c>
      <c r="G197" s="31">
        <v>69.37777777777778</v>
      </c>
      <c r="H197" s="31">
        <v>3.0577777777777779</v>
      </c>
      <c r="I197" s="31">
        <v>19.966666666666665</v>
      </c>
      <c r="J197" s="31">
        <v>28.934444444444441</v>
      </c>
      <c r="K197" s="31">
        <v>60.108888888888885</v>
      </c>
      <c r="L197" s="31">
        <v>26.085555555555555</v>
      </c>
      <c r="M197" s="31">
        <v>7.6333333333333329</v>
      </c>
      <c r="N197" s="31">
        <v>66.097777777777779</v>
      </c>
      <c r="O197" s="31">
        <v>0</v>
      </c>
      <c r="P197" s="31">
        <v>3.5233333333333334</v>
      </c>
      <c r="Q197" s="31">
        <v>0</v>
      </c>
      <c r="R197" s="31">
        <v>14.5</v>
      </c>
      <c r="S197" s="31">
        <v>4</v>
      </c>
      <c r="T197" s="31" t="str">
        <f>VLOOKUP(A197,Rankings!B:E,3,FALSE)</f>
        <v>NL</v>
      </c>
    </row>
    <row r="198" spans="1:20" ht="18.600000000000001" customHeight="1">
      <c r="A198" s="26" t="s">
        <v>500</v>
      </c>
      <c r="B198" s="27" t="s">
        <v>86</v>
      </c>
      <c r="C198" s="42" t="s">
        <v>34</v>
      </c>
      <c r="D198" s="31">
        <v>58.488888888888887</v>
      </c>
      <c r="E198" s="33">
        <v>3.8650075987841941</v>
      </c>
      <c r="F198" s="33">
        <v>1.2734992401215806</v>
      </c>
      <c r="G198" s="31">
        <v>66.815555555555548</v>
      </c>
      <c r="H198" s="31">
        <v>1.9977777777777777</v>
      </c>
      <c r="I198" s="31">
        <v>18.388888888888889</v>
      </c>
      <c r="J198" s="31">
        <v>25.117777777777775</v>
      </c>
      <c r="K198" s="31">
        <v>47.202222222222225</v>
      </c>
      <c r="L198" s="31">
        <v>27.283333333333331</v>
      </c>
      <c r="M198" s="31">
        <v>6.6000000000000005</v>
      </c>
      <c r="N198" s="31">
        <v>58.885555555555555</v>
      </c>
      <c r="O198" s="31">
        <v>0</v>
      </c>
      <c r="P198" s="31">
        <v>2.9977777777777774</v>
      </c>
      <c r="Q198" s="31">
        <v>0</v>
      </c>
      <c r="R198" s="31">
        <v>6.5</v>
      </c>
      <c r="S198" s="31">
        <v>7</v>
      </c>
      <c r="T198" s="31" t="str">
        <f>VLOOKUP(A198,Rankings!B:E,3,FALSE)</f>
        <v>AL</v>
      </c>
    </row>
    <row r="199" spans="1:20" ht="18.600000000000001" customHeight="1">
      <c r="A199" s="26" t="s">
        <v>407</v>
      </c>
      <c r="B199" s="27" t="s">
        <v>63</v>
      </c>
      <c r="C199" s="42" t="s">
        <v>34</v>
      </c>
      <c r="D199" s="31">
        <v>63.287777777777769</v>
      </c>
      <c r="E199" s="33">
        <v>3.3722151020909785</v>
      </c>
      <c r="F199" s="33">
        <v>1.1966502220895734</v>
      </c>
      <c r="G199" s="31">
        <v>72.572222222222223</v>
      </c>
      <c r="H199" s="31">
        <v>3.9544444444444444</v>
      </c>
      <c r="I199" s="31">
        <v>3.1222222222222222</v>
      </c>
      <c r="J199" s="31">
        <v>23.713333333333335</v>
      </c>
      <c r="K199" s="31">
        <v>50.363333333333337</v>
      </c>
      <c r="L199" s="31">
        <v>25.37</v>
      </c>
      <c r="M199" s="31">
        <v>6.5</v>
      </c>
      <c r="N199" s="31">
        <v>62.175555555555555</v>
      </c>
      <c r="O199" s="31">
        <v>0</v>
      </c>
      <c r="P199" s="31">
        <v>2.6455555555555557</v>
      </c>
      <c r="Q199" s="31">
        <v>0</v>
      </c>
      <c r="R199" s="31">
        <v>16.5</v>
      </c>
      <c r="S199" s="31">
        <v>0</v>
      </c>
      <c r="T199" s="31" t="str">
        <f>VLOOKUP(A199,Rankings!B:E,3,FALSE)</f>
        <v>NL</v>
      </c>
    </row>
    <row r="200" spans="1:20" ht="18.600000000000001" customHeight="1">
      <c r="A200" s="26" t="s">
        <v>432</v>
      </c>
      <c r="B200" s="27" t="s">
        <v>73</v>
      </c>
      <c r="C200" s="42" t="s">
        <v>34</v>
      </c>
      <c r="D200" s="31">
        <v>64.569999999999993</v>
      </c>
      <c r="E200" s="33">
        <v>3.3774198544215581</v>
      </c>
      <c r="F200" s="33">
        <v>1.144563178634729</v>
      </c>
      <c r="G200" s="31">
        <v>69.239999999999995</v>
      </c>
      <c r="H200" s="31">
        <v>4.0149999999999997</v>
      </c>
      <c r="I200" s="31">
        <v>1.0833333333333333</v>
      </c>
      <c r="J200" s="31">
        <v>24.231111111111108</v>
      </c>
      <c r="K200" s="31">
        <v>56.786666666666669</v>
      </c>
      <c r="L200" s="31">
        <v>17.117777777777778</v>
      </c>
      <c r="M200" s="31">
        <v>6.6000000000000005</v>
      </c>
      <c r="N200" s="31">
        <v>57.986666666666672</v>
      </c>
      <c r="O200" s="31">
        <v>0.93333333333333324</v>
      </c>
      <c r="P200" s="31">
        <v>2.0344444444444445</v>
      </c>
      <c r="Q200" s="31">
        <v>0</v>
      </c>
      <c r="R200" s="31">
        <v>16</v>
      </c>
      <c r="S200" s="31">
        <v>3</v>
      </c>
      <c r="T200" s="31" t="str">
        <f>VLOOKUP(A200,Rankings!B:E,3,FALSE)</f>
        <v>NL</v>
      </c>
    </row>
    <row r="201" spans="1:20" ht="18.600000000000001" customHeight="1">
      <c r="A201" s="26" t="s">
        <v>517</v>
      </c>
      <c r="B201" s="27" t="s">
        <v>68</v>
      </c>
      <c r="C201" s="42" t="s">
        <v>34</v>
      </c>
      <c r="D201" s="31">
        <v>59.981111111111112</v>
      </c>
      <c r="E201" s="33">
        <v>3.3858992645832942</v>
      </c>
      <c r="F201" s="33">
        <v>1.1712761424893021</v>
      </c>
      <c r="G201" s="31">
        <v>69.078888888888898</v>
      </c>
      <c r="H201" s="31">
        <v>3.9233333333333333</v>
      </c>
      <c r="I201" s="31">
        <v>2.9222222222222221</v>
      </c>
      <c r="J201" s="31">
        <v>22.565555555555552</v>
      </c>
      <c r="K201" s="31">
        <v>50.473333333333336</v>
      </c>
      <c r="L201" s="31">
        <v>19.781111111111112</v>
      </c>
      <c r="M201" s="31">
        <v>6.0333333333333341</v>
      </c>
      <c r="N201" s="31">
        <v>49.905555555555559</v>
      </c>
      <c r="O201" s="31">
        <v>4.4444444444444446E-2</v>
      </c>
      <c r="P201" s="31">
        <v>2.5377777777777779</v>
      </c>
      <c r="Q201" s="31">
        <v>0</v>
      </c>
      <c r="R201" s="31">
        <v>12</v>
      </c>
      <c r="S201" s="31">
        <v>0</v>
      </c>
      <c r="T201" s="31" t="str">
        <f>VLOOKUP(A201,Rankings!B:E,3,FALSE)</f>
        <v>AL</v>
      </c>
    </row>
    <row r="202" spans="1:20" ht="18.600000000000001" customHeight="1">
      <c r="A202" s="26" t="s">
        <v>506</v>
      </c>
      <c r="B202" s="27" t="s">
        <v>95</v>
      </c>
      <c r="C202" s="42" t="s">
        <v>34</v>
      </c>
      <c r="D202" s="31">
        <v>64.28</v>
      </c>
      <c r="E202" s="33">
        <v>3.4893434971997515</v>
      </c>
      <c r="F202" s="33">
        <v>1.2376581622070111</v>
      </c>
      <c r="G202" s="31">
        <v>74.575555555555553</v>
      </c>
      <c r="H202" s="31">
        <v>4.0383333333333331</v>
      </c>
      <c r="I202" s="31">
        <v>5.9666666666666659</v>
      </c>
      <c r="J202" s="31">
        <v>24.921666666666667</v>
      </c>
      <c r="K202" s="31">
        <v>53.080000000000005</v>
      </c>
      <c r="L202" s="31">
        <v>26.47666666666667</v>
      </c>
      <c r="M202" s="31">
        <v>6.0333333333333341</v>
      </c>
      <c r="N202" s="31">
        <v>66.48</v>
      </c>
      <c r="O202" s="31">
        <v>0</v>
      </c>
      <c r="P202" s="31">
        <v>3.0122222222222224</v>
      </c>
      <c r="Q202" s="31">
        <v>0</v>
      </c>
      <c r="R202" s="31">
        <v>18.5</v>
      </c>
      <c r="S202" s="31">
        <v>1</v>
      </c>
      <c r="T202" s="31" t="str">
        <f>VLOOKUP(A202,Rankings!B:E,3,FALSE)</f>
        <v>NL</v>
      </c>
    </row>
    <row r="203" spans="1:20" ht="18.600000000000001" customHeight="1">
      <c r="A203" s="26" t="s">
        <v>531</v>
      </c>
      <c r="B203" s="27" t="s">
        <v>86</v>
      </c>
      <c r="C203" s="42" t="s">
        <v>34</v>
      </c>
      <c r="D203" s="31">
        <v>69.413333333333341</v>
      </c>
      <c r="E203" s="33">
        <v>3.459277756434882</v>
      </c>
      <c r="F203" s="33">
        <v>1.1965040338071453</v>
      </c>
      <c r="G203" s="31">
        <v>74.01166666666667</v>
      </c>
      <c r="H203" s="31">
        <v>4.0116666666666667</v>
      </c>
      <c r="I203" s="31">
        <v>2.7555555555555551</v>
      </c>
      <c r="J203" s="31">
        <v>26.679999999999996</v>
      </c>
      <c r="K203" s="31">
        <v>59.656666666666666</v>
      </c>
      <c r="L203" s="31">
        <v>23.396666666666665</v>
      </c>
      <c r="M203" s="31">
        <v>8</v>
      </c>
      <c r="N203" s="31">
        <v>61.386666666666663</v>
      </c>
      <c r="O203" s="31">
        <v>8.3333333333333329E-2</v>
      </c>
      <c r="P203" s="31">
        <v>3.2922222222222222</v>
      </c>
      <c r="Q203" s="31">
        <v>0</v>
      </c>
      <c r="R203" s="31">
        <v>12</v>
      </c>
      <c r="S203" s="31">
        <v>0</v>
      </c>
      <c r="T203" s="31" t="str">
        <f>VLOOKUP(A203,Rankings!B:E,3,FALSE)</f>
        <v>AL</v>
      </c>
    </row>
    <row r="204" spans="1:20" ht="18.600000000000001" customHeight="1">
      <c r="A204" s="26" t="s">
        <v>513</v>
      </c>
      <c r="B204" s="27" t="s">
        <v>78</v>
      </c>
      <c r="C204" s="42" t="s">
        <v>34</v>
      </c>
      <c r="D204" s="31">
        <v>62.516666666666659</v>
      </c>
      <c r="E204" s="33">
        <v>3.6491069048253801</v>
      </c>
      <c r="F204" s="33">
        <v>1.1678130276370746</v>
      </c>
      <c r="G204" s="31">
        <v>73.978888888888889</v>
      </c>
      <c r="H204" s="31">
        <v>4.0016666666666669</v>
      </c>
      <c r="I204" s="31">
        <v>3.0833333333333335</v>
      </c>
      <c r="J204" s="31">
        <v>25.347777777777779</v>
      </c>
      <c r="K204" s="31">
        <v>51.141111111111115</v>
      </c>
      <c r="L204" s="31">
        <v>21.866666666666664</v>
      </c>
      <c r="M204" s="31">
        <v>7.0333333333333341</v>
      </c>
      <c r="N204" s="31">
        <v>64.846666666666678</v>
      </c>
      <c r="O204" s="31">
        <v>0</v>
      </c>
      <c r="P204" s="31">
        <v>3.0177777777777774</v>
      </c>
      <c r="Q204" s="31">
        <v>0</v>
      </c>
      <c r="R204" s="31">
        <v>18.5</v>
      </c>
      <c r="S204" s="31">
        <v>1</v>
      </c>
      <c r="T204" s="31" t="str">
        <f>VLOOKUP(A204,Rankings!B:E,3,FALSE)</f>
        <v>AL</v>
      </c>
    </row>
    <row r="205" spans="1:20" ht="18.600000000000001" customHeight="1">
      <c r="A205" s="26" t="s">
        <v>502</v>
      </c>
      <c r="B205" s="27" t="s">
        <v>81</v>
      </c>
      <c r="C205" s="42" t="s">
        <v>34</v>
      </c>
      <c r="D205" s="31">
        <v>61.43555555555556</v>
      </c>
      <c r="E205" s="33">
        <v>3.3677631483758952</v>
      </c>
      <c r="F205" s="33">
        <v>1.1715076322071909</v>
      </c>
      <c r="G205" s="31">
        <v>57.021111111111111</v>
      </c>
      <c r="H205" s="31">
        <v>3.3322222222222222</v>
      </c>
      <c r="I205" s="31">
        <v>6.6333333333333329</v>
      </c>
      <c r="J205" s="31">
        <v>22.988933333333335</v>
      </c>
      <c r="K205" s="31">
        <v>55.065555555555555</v>
      </c>
      <c r="L205" s="31">
        <v>16.906666666666666</v>
      </c>
      <c r="M205" s="31">
        <v>5.0333333333333332</v>
      </c>
      <c r="N205" s="31">
        <v>59.26444444444445</v>
      </c>
      <c r="O205" s="31">
        <v>3.3333333333333333E-2</v>
      </c>
      <c r="P205" s="31">
        <v>3.0011111111111113</v>
      </c>
      <c r="Q205" s="31">
        <v>0</v>
      </c>
      <c r="R205" s="31">
        <v>14.5</v>
      </c>
      <c r="S205" s="31">
        <v>2</v>
      </c>
      <c r="T205" s="31" t="str">
        <f>VLOOKUP(A205,Rankings!B:E,3,FALSE)</f>
        <v>NL</v>
      </c>
    </row>
    <row r="206" spans="1:20" ht="18.600000000000001" customHeight="1">
      <c r="A206" s="26" t="s">
        <v>530</v>
      </c>
      <c r="B206" s="27" t="s">
        <v>120</v>
      </c>
      <c r="C206" s="42" t="s">
        <v>34</v>
      </c>
      <c r="D206" s="31">
        <v>60.342222222222226</v>
      </c>
      <c r="E206" s="33">
        <v>3.4272022538115929</v>
      </c>
      <c r="F206" s="33">
        <v>1.2095547617293951</v>
      </c>
      <c r="G206" s="31">
        <v>62.523333333333333</v>
      </c>
      <c r="H206" s="31">
        <v>2.9888888888888889</v>
      </c>
      <c r="I206" s="31">
        <v>6.6777777777777771</v>
      </c>
      <c r="J206" s="31">
        <v>22.978333333333335</v>
      </c>
      <c r="K206" s="31">
        <v>53.262222222222221</v>
      </c>
      <c r="L206" s="31">
        <v>19.725000000000001</v>
      </c>
      <c r="M206" s="31">
        <v>6</v>
      </c>
      <c r="N206" s="31">
        <v>62.631111111111117</v>
      </c>
      <c r="O206" s="31">
        <v>0</v>
      </c>
      <c r="P206" s="31">
        <v>3.0077777777777777</v>
      </c>
      <c r="Q206" s="31">
        <v>0</v>
      </c>
      <c r="R206" s="31">
        <v>18.5</v>
      </c>
      <c r="S206" s="31">
        <v>3</v>
      </c>
      <c r="T206" s="31" t="str">
        <f>VLOOKUP(A206,Rankings!B:E,3,FALSE)</f>
        <v>NL</v>
      </c>
    </row>
    <row r="207" spans="1:20" ht="18.600000000000001" customHeight="1">
      <c r="A207" s="26" t="s">
        <v>567</v>
      </c>
      <c r="B207" s="27" t="s">
        <v>134</v>
      </c>
      <c r="C207" s="42" t="s">
        <v>34</v>
      </c>
      <c r="D207" s="31">
        <v>65.608888888888885</v>
      </c>
      <c r="E207" s="33">
        <v>3.632129792711015</v>
      </c>
      <c r="F207" s="33">
        <v>1.2390766833762366</v>
      </c>
      <c r="G207" s="31">
        <v>72.158333333333331</v>
      </c>
      <c r="H207" s="31">
        <v>3.6433333333333331</v>
      </c>
      <c r="I207" s="31">
        <v>6.2555555555555555</v>
      </c>
      <c r="J207" s="31">
        <v>26.477777777777778</v>
      </c>
      <c r="K207" s="31">
        <v>57.080000000000005</v>
      </c>
      <c r="L207" s="31">
        <v>24.214444444444442</v>
      </c>
      <c r="M207" s="31">
        <v>6.5666666666666664</v>
      </c>
      <c r="N207" s="31">
        <v>63.021111111111111</v>
      </c>
      <c r="O207" s="31">
        <v>1.6666666666666666E-2</v>
      </c>
      <c r="P207" s="31">
        <v>3.0555555555555554</v>
      </c>
      <c r="Q207" s="31">
        <v>0</v>
      </c>
      <c r="R207" s="31">
        <v>13.5</v>
      </c>
      <c r="S207" s="31">
        <v>0</v>
      </c>
      <c r="T207" s="31" t="str">
        <f>VLOOKUP(A207,Rankings!B:E,3,FALSE)</f>
        <v>AL</v>
      </c>
    </row>
    <row r="208" spans="1:20" ht="18.600000000000001" customHeight="1">
      <c r="A208" s="26" t="s">
        <v>439</v>
      </c>
      <c r="B208" s="27" t="s">
        <v>94</v>
      </c>
      <c r="C208" s="42" t="s">
        <v>34</v>
      </c>
      <c r="D208" s="31">
        <v>60.52</v>
      </c>
      <c r="E208" s="33">
        <v>3.6554857898215469</v>
      </c>
      <c r="F208" s="33">
        <v>1.1286994198428435</v>
      </c>
      <c r="G208" s="31">
        <v>66.373333333333335</v>
      </c>
      <c r="H208" s="31">
        <v>3.0016666666666665</v>
      </c>
      <c r="I208" s="31">
        <v>2.5333333333333332</v>
      </c>
      <c r="J208" s="31">
        <v>24.581111111111113</v>
      </c>
      <c r="K208" s="31">
        <v>52.843333333333334</v>
      </c>
      <c r="L208" s="31">
        <v>15.465555555555556</v>
      </c>
      <c r="M208" s="31">
        <v>8.1333333333333329</v>
      </c>
      <c r="N208" s="31">
        <v>60.053333333333335</v>
      </c>
      <c r="O208" s="31">
        <v>1.4444444444444444</v>
      </c>
      <c r="P208" s="31">
        <v>2.9766666666666666</v>
      </c>
      <c r="Q208" s="31">
        <v>0</v>
      </c>
      <c r="R208" s="31">
        <v>14</v>
      </c>
      <c r="S208" s="31">
        <v>0</v>
      </c>
      <c r="T208" s="31" t="str">
        <f>VLOOKUP(A208,Rankings!B:E,3,FALSE)</f>
        <v>AL</v>
      </c>
    </row>
    <row r="209" spans="1:20" ht="18.600000000000001" customHeight="1">
      <c r="A209" s="26" t="s">
        <v>478</v>
      </c>
      <c r="B209" s="27" t="s">
        <v>103</v>
      </c>
      <c r="C209" s="42" t="s">
        <v>34</v>
      </c>
      <c r="D209" s="31">
        <v>58.344444444444441</v>
      </c>
      <c r="E209" s="33">
        <v>3.5070177109122076</v>
      </c>
      <c r="F209" s="33">
        <v>1.1287564273471724</v>
      </c>
      <c r="G209" s="31">
        <v>62.287777777777784</v>
      </c>
      <c r="H209" s="31">
        <v>3.0016666666666665</v>
      </c>
      <c r="I209" s="31">
        <v>2.15</v>
      </c>
      <c r="J209" s="31">
        <v>22.734999999999999</v>
      </c>
      <c r="K209" s="31">
        <v>55.95000000000001</v>
      </c>
      <c r="L209" s="31">
        <v>9.9066666666666663</v>
      </c>
      <c r="M209" s="31">
        <v>6.8999999999999995</v>
      </c>
      <c r="N209" s="31">
        <v>61.331111111111113</v>
      </c>
      <c r="O209" s="31">
        <v>0</v>
      </c>
      <c r="P209" s="31">
        <v>2.0177777777777774</v>
      </c>
      <c r="Q209" s="31">
        <v>0</v>
      </c>
      <c r="R209" s="31">
        <v>14</v>
      </c>
      <c r="S209" s="31">
        <v>1</v>
      </c>
      <c r="T209" s="31" t="str">
        <f>VLOOKUP(A209,Rankings!B:E,3,FALSE)</f>
        <v>AL</v>
      </c>
    </row>
    <row r="210" spans="1:20" ht="18.600000000000001" customHeight="1">
      <c r="A210" s="26" t="s">
        <v>462</v>
      </c>
      <c r="B210" s="27" t="s">
        <v>156</v>
      </c>
      <c r="C210" s="42" t="s">
        <v>34</v>
      </c>
      <c r="D210" s="31">
        <v>68.173333333333332</v>
      </c>
      <c r="E210" s="33">
        <v>3.9902699002542534</v>
      </c>
      <c r="F210" s="33">
        <v>1.3113957885129408</v>
      </c>
      <c r="G210" s="31">
        <v>66.86333333333333</v>
      </c>
      <c r="H210" s="31">
        <v>3.0550000000000002</v>
      </c>
      <c r="I210" s="31">
        <v>17.366666666666667</v>
      </c>
      <c r="J210" s="31">
        <v>30.225555555555555</v>
      </c>
      <c r="K210" s="31">
        <v>64.566666666666663</v>
      </c>
      <c r="L210" s="31">
        <v>24.835555555555555</v>
      </c>
      <c r="M210" s="31">
        <v>7.2666666666666666</v>
      </c>
      <c r="N210" s="31">
        <v>62.864444444444445</v>
      </c>
      <c r="O210" s="31">
        <v>0.33333333333333331</v>
      </c>
      <c r="P210" s="31">
        <v>3.2777777777777781</v>
      </c>
      <c r="Q210" s="31">
        <v>0</v>
      </c>
      <c r="R210" s="31">
        <v>3.5</v>
      </c>
      <c r="S210" s="31">
        <v>1</v>
      </c>
      <c r="T210" s="31" t="str">
        <f>VLOOKUP(A210,Rankings!B:E,3,FALSE)</f>
        <v>AL</v>
      </c>
    </row>
    <row r="211" spans="1:20" ht="18.600000000000001" customHeight="1">
      <c r="A211" s="26" t="s">
        <v>507</v>
      </c>
      <c r="B211" s="27" t="s">
        <v>73</v>
      </c>
      <c r="C211" s="42" t="s">
        <v>34</v>
      </c>
      <c r="D211" s="31">
        <v>56.193333333333328</v>
      </c>
      <c r="E211" s="33">
        <v>3.3799383082216159</v>
      </c>
      <c r="F211" s="33">
        <v>1.1342883695179342</v>
      </c>
      <c r="G211" s="31">
        <v>61.94222222222222</v>
      </c>
      <c r="H211" s="31">
        <v>3.7488888888888887</v>
      </c>
      <c r="I211" s="31">
        <v>0</v>
      </c>
      <c r="J211" s="31">
        <v>21.103333333333332</v>
      </c>
      <c r="K211" s="31">
        <v>48.80833333333333</v>
      </c>
      <c r="L211" s="31">
        <v>14.931111111111113</v>
      </c>
      <c r="M211" s="31">
        <v>6.8500000000000005</v>
      </c>
      <c r="N211" s="31">
        <v>54.218888888888891</v>
      </c>
      <c r="O211" s="31">
        <v>0</v>
      </c>
      <c r="P211" s="31">
        <v>1.9950000000000001</v>
      </c>
      <c r="Q211" s="31">
        <v>0</v>
      </c>
      <c r="R211" s="31">
        <v>11</v>
      </c>
      <c r="S211" s="31">
        <v>2</v>
      </c>
      <c r="T211" s="31" t="str">
        <f>VLOOKUP(A211,Rankings!B:E,3,FALSE)</f>
        <v>NL</v>
      </c>
    </row>
    <row r="212" spans="1:20" ht="18.600000000000001" customHeight="1">
      <c r="A212" s="26" t="s">
        <v>480</v>
      </c>
      <c r="B212" s="27" t="s">
        <v>71</v>
      </c>
      <c r="C212" s="42" t="s">
        <v>34</v>
      </c>
      <c r="D212" s="31">
        <v>58.606666666666676</v>
      </c>
      <c r="E212" s="33">
        <v>3.5517290410647249</v>
      </c>
      <c r="F212" s="33">
        <v>1.1891517840215371</v>
      </c>
      <c r="G212" s="31">
        <v>61.655555555555559</v>
      </c>
      <c r="H212" s="31">
        <v>3.9544444444444444</v>
      </c>
      <c r="I212" s="31">
        <v>4.6111111111111107</v>
      </c>
      <c r="J212" s="31">
        <v>23.128333333333334</v>
      </c>
      <c r="K212" s="31">
        <v>48.662222222222226</v>
      </c>
      <c r="L212" s="31">
        <v>21.03</v>
      </c>
      <c r="M212" s="31">
        <v>6.0333333333333341</v>
      </c>
      <c r="N212" s="31">
        <v>60.78</v>
      </c>
      <c r="O212" s="31">
        <v>0</v>
      </c>
      <c r="P212" s="31">
        <v>2.98</v>
      </c>
      <c r="Q212" s="31">
        <v>0</v>
      </c>
      <c r="R212" s="31">
        <v>14.5</v>
      </c>
      <c r="S212" s="31">
        <v>3</v>
      </c>
      <c r="T212" s="31" t="str">
        <f>VLOOKUP(A212,Rankings!B:E,3,FALSE)</f>
        <v>AL</v>
      </c>
    </row>
    <row r="213" spans="1:20" ht="18.600000000000001" customHeight="1">
      <c r="A213" s="26" t="s">
        <v>536</v>
      </c>
      <c r="B213" s="27" t="s">
        <v>140</v>
      </c>
      <c r="C213" s="42" t="s">
        <v>34</v>
      </c>
      <c r="D213" s="31">
        <v>59.309999999999995</v>
      </c>
      <c r="E213" s="33">
        <v>3.9524532119372795</v>
      </c>
      <c r="F213" s="33">
        <v>1.2624065643792504</v>
      </c>
      <c r="G213" s="31">
        <v>67.042222222222222</v>
      </c>
      <c r="H213" s="31">
        <v>3</v>
      </c>
      <c r="I213" s="31">
        <v>12.47777777777778</v>
      </c>
      <c r="J213" s="31">
        <v>26.046666666666667</v>
      </c>
      <c r="K213" s="31">
        <v>53.094444444444441</v>
      </c>
      <c r="L213" s="31">
        <v>21.77888888888889</v>
      </c>
      <c r="M213" s="31">
        <v>8</v>
      </c>
      <c r="N213" s="31">
        <v>61.042222222222222</v>
      </c>
      <c r="O213" s="31">
        <v>0</v>
      </c>
      <c r="P213" s="31">
        <v>2.9811111111111113</v>
      </c>
      <c r="Q213" s="31">
        <v>0</v>
      </c>
      <c r="R213" s="31">
        <v>15.5</v>
      </c>
      <c r="S213" s="31">
        <v>7</v>
      </c>
      <c r="T213" s="31" t="str">
        <f>VLOOKUP(A213,Rankings!B:E,3,FALSE)</f>
        <v>AL</v>
      </c>
    </row>
    <row r="214" spans="1:20" ht="18.600000000000001" customHeight="1">
      <c r="A214" s="26" t="s">
        <v>546</v>
      </c>
      <c r="B214" s="27" t="s">
        <v>78</v>
      </c>
      <c r="C214" s="42" t="s">
        <v>34</v>
      </c>
      <c r="D214" s="31">
        <v>63.584444444444443</v>
      </c>
      <c r="E214" s="33">
        <v>3.4154580085974904</v>
      </c>
      <c r="F214" s="33">
        <v>1.2745779890259672</v>
      </c>
      <c r="G214" s="31">
        <v>80.984444444444435</v>
      </c>
      <c r="H214" s="31">
        <v>3.1316666666666664</v>
      </c>
      <c r="I214" s="31">
        <v>1.1666666666666665</v>
      </c>
      <c r="J214" s="31">
        <v>24.13</v>
      </c>
      <c r="K214" s="31">
        <v>50.477777777777781</v>
      </c>
      <c r="L214" s="31">
        <v>30.565555555555559</v>
      </c>
      <c r="M214" s="31">
        <v>5.2333333333333334</v>
      </c>
      <c r="N214" s="31">
        <v>60.186666666666667</v>
      </c>
      <c r="O214" s="31">
        <v>0</v>
      </c>
      <c r="P214" s="31">
        <v>2.0011111111111108</v>
      </c>
      <c r="Q214" s="31">
        <v>0</v>
      </c>
      <c r="R214" s="31">
        <v>10.5</v>
      </c>
      <c r="S214" s="31">
        <v>0</v>
      </c>
      <c r="T214" s="31" t="str">
        <f>VLOOKUP(A214,Rankings!B:E,3,FALSE)</f>
        <v>AL</v>
      </c>
    </row>
    <row r="215" spans="1:20" ht="18.600000000000001" customHeight="1">
      <c r="A215" s="26" t="s">
        <v>550</v>
      </c>
      <c r="B215" s="27" t="s">
        <v>103</v>
      </c>
      <c r="C215" s="42" t="s">
        <v>34</v>
      </c>
      <c r="D215" s="31">
        <v>64.51444444444445</v>
      </c>
      <c r="E215" s="33">
        <v>3.4782908220381308</v>
      </c>
      <c r="F215" s="33">
        <v>1.2300432289065324</v>
      </c>
      <c r="G215" s="31">
        <v>67.581111111111113</v>
      </c>
      <c r="H215" s="31">
        <v>3.4266666666666663</v>
      </c>
      <c r="I215" s="31">
        <v>3.7555555555555551</v>
      </c>
      <c r="J215" s="31">
        <v>24.933333333333334</v>
      </c>
      <c r="K215" s="31">
        <v>57.428888888888885</v>
      </c>
      <c r="L215" s="31">
        <v>21.926666666666666</v>
      </c>
      <c r="M215" s="31">
        <v>5.7</v>
      </c>
      <c r="N215" s="31">
        <v>62.997777777777777</v>
      </c>
      <c r="O215" s="31">
        <v>0</v>
      </c>
      <c r="P215" s="31">
        <v>2.9816666666666669</v>
      </c>
      <c r="Q215" s="31">
        <v>0</v>
      </c>
      <c r="R215" s="31">
        <v>16</v>
      </c>
      <c r="S215" s="31">
        <v>0</v>
      </c>
      <c r="T215" s="31" t="str">
        <f>VLOOKUP(A215,Rankings!B:E,3,FALSE)</f>
        <v>AL</v>
      </c>
    </row>
    <row r="216" spans="1:20" ht="18.600000000000001" customHeight="1">
      <c r="A216" s="26" t="s">
        <v>601</v>
      </c>
      <c r="B216" s="27" t="s">
        <v>101</v>
      </c>
      <c r="C216" s="42" t="s">
        <v>34</v>
      </c>
      <c r="D216" s="31">
        <v>54.106666666666676</v>
      </c>
      <c r="E216" s="33">
        <v>3.4161686791522912</v>
      </c>
      <c r="F216" s="33">
        <v>1.2244332183341546</v>
      </c>
      <c r="G216" s="31">
        <v>71.756666666666675</v>
      </c>
      <c r="H216" s="31">
        <v>2.9516666666666667</v>
      </c>
      <c r="I216" s="31">
        <v>0.98333333333333339</v>
      </c>
      <c r="J216" s="31">
        <v>20.537500000000001</v>
      </c>
      <c r="K216" s="31">
        <v>40.233333333333334</v>
      </c>
      <c r="L216" s="31">
        <v>26.016666666666666</v>
      </c>
      <c r="M216" s="31">
        <v>6</v>
      </c>
      <c r="N216" s="31">
        <v>53.294999999999995</v>
      </c>
      <c r="O216" s="31">
        <v>0</v>
      </c>
      <c r="P216" s="31">
        <v>2.0083333333333333</v>
      </c>
      <c r="Q216" s="31">
        <v>0</v>
      </c>
      <c r="R216" s="31">
        <v>6</v>
      </c>
      <c r="S216" s="31">
        <v>0</v>
      </c>
      <c r="T216" s="31" t="str">
        <f>VLOOKUP(A216,Rankings!B:E,3,FALSE)</f>
        <v>AL</v>
      </c>
    </row>
    <row r="217" spans="1:20" ht="18.600000000000001" customHeight="1">
      <c r="A217" s="26" t="s">
        <v>493</v>
      </c>
      <c r="B217" s="27" t="s">
        <v>156</v>
      </c>
      <c r="C217" s="42" t="s">
        <v>34</v>
      </c>
      <c r="D217" s="31">
        <v>59.284999999999989</v>
      </c>
      <c r="E217" s="33">
        <v>3.6381040735430554</v>
      </c>
      <c r="F217" s="33">
        <v>1.1850290030268105</v>
      </c>
      <c r="G217" s="31">
        <v>70.783333333333331</v>
      </c>
      <c r="H217" s="31">
        <v>3.5344444444444445</v>
      </c>
      <c r="I217" s="31">
        <v>0.42222222222222222</v>
      </c>
      <c r="J217" s="31">
        <v>23.965</v>
      </c>
      <c r="K217" s="31">
        <v>51.237777777777779</v>
      </c>
      <c r="L217" s="31">
        <v>19.016666666666666</v>
      </c>
      <c r="M217" s="31">
        <v>7.0333333333333341</v>
      </c>
      <c r="N217" s="31">
        <v>60.76444444444445</v>
      </c>
      <c r="O217" s="31">
        <v>0</v>
      </c>
      <c r="P217" s="31">
        <v>2.9766666666666666</v>
      </c>
      <c r="Q217" s="31">
        <v>0</v>
      </c>
      <c r="R217" s="31">
        <v>16</v>
      </c>
      <c r="S217" s="31">
        <v>4</v>
      </c>
      <c r="T217" s="31" t="str">
        <f>VLOOKUP(A217,Rankings!B:E,3,FALSE)</f>
        <v>AL</v>
      </c>
    </row>
    <row r="218" spans="1:20" ht="18.600000000000001" customHeight="1">
      <c r="A218" s="26" t="s">
        <v>574</v>
      </c>
      <c r="B218" s="27" t="s">
        <v>76</v>
      </c>
      <c r="C218" s="42" t="s">
        <v>34</v>
      </c>
      <c r="D218" s="31">
        <v>63.163333333333334</v>
      </c>
      <c r="E218" s="33">
        <v>3.7086389783102005</v>
      </c>
      <c r="F218" s="33">
        <v>1.2276109557232571</v>
      </c>
      <c r="G218" s="31">
        <v>74.382222222222225</v>
      </c>
      <c r="H218" s="31">
        <v>3.3266666666666667</v>
      </c>
      <c r="I218" s="31">
        <v>2.5444444444444447</v>
      </c>
      <c r="J218" s="31">
        <v>26.027777777777775</v>
      </c>
      <c r="K218" s="31">
        <v>54.44</v>
      </c>
      <c r="L218" s="31">
        <v>23.099999999999998</v>
      </c>
      <c r="M218" s="31">
        <v>7</v>
      </c>
      <c r="N218" s="31">
        <v>59.142222222222223</v>
      </c>
      <c r="O218" s="31">
        <v>0.24444444444444444</v>
      </c>
      <c r="P218" s="31">
        <v>2.9988888888888887</v>
      </c>
      <c r="Q218" s="31">
        <v>0</v>
      </c>
      <c r="R218" s="31">
        <v>15.5</v>
      </c>
      <c r="S218" s="31">
        <v>0</v>
      </c>
      <c r="T218" s="31" t="str">
        <f>VLOOKUP(A218,Rankings!B:E,3,FALSE)</f>
        <v>AL</v>
      </c>
    </row>
    <row r="219" spans="1:20" ht="18.600000000000001" customHeight="1">
      <c r="A219" s="26" t="s">
        <v>512</v>
      </c>
      <c r="B219" s="27" t="s">
        <v>114</v>
      </c>
      <c r="C219" s="42" t="s">
        <v>34</v>
      </c>
      <c r="D219" s="31">
        <v>62.73</v>
      </c>
      <c r="E219" s="33">
        <v>3.859078590785908</v>
      </c>
      <c r="F219" s="33">
        <v>1.2887153054537084</v>
      </c>
      <c r="G219" s="31">
        <v>61.776666666666664</v>
      </c>
      <c r="H219" s="31">
        <v>3.0144444444444445</v>
      </c>
      <c r="I219" s="31">
        <v>12.422222222222222</v>
      </c>
      <c r="J219" s="31">
        <v>26.897777777777776</v>
      </c>
      <c r="K219" s="31">
        <v>57.551111111111112</v>
      </c>
      <c r="L219" s="31">
        <v>23.290000000000003</v>
      </c>
      <c r="M219" s="31">
        <v>6.5666666666666664</v>
      </c>
      <c r="N219" s="31">
        <v>61.19777777777778</v>
      </c>
      <c r="O219" s="31">
        <v>1.1111111111111112E-2</v>
      </c>
      <c r="P219" s="31">
        <v>3.0111111111111111</v>
      </c>
      <c r="Q219" s="31">
        <v>0</v>
      </c>
      <c r="R219" s="31">
        <v>12.5</v>
      </c>
      <c r="S219" s="31">
        <v>3</v>
      </c>
      <c r="T219" s="31" t="str">
        <f>VLOOKUP(A219,Rankings!B:E,3,FALSE)</f>
        <v>AL</v>
      </c>
    </row>
    <row r="220" spans="1:20" ht="18.600000000000001" customHeight="1">
      <c r="A220" s="26" t="s">
        <v>539</v>
      </c>
      <c r="B220" s="27" t="s">
        <v>134</v>
      </c>
      <c r="C220" s="42" t="s">
        <v>34</v>
      </c>
      <c r="D220" s="31">
        <v>60.75888888888889</v>
      </c>
      <c r="E220" s="33">
        <v>3.7134879212918093</v>
      </c>
      <c r="F220" s="33">
        <v>1.2786332132472615</v>
      </c>
      <c r="G220" s="31">
        <v>53.285555555555554</v>
      </c>
      <c r="H220" s="31">
        <v>3.0016666666666665</v>
      </c>
      <c r="I220" s="31">
        <v>12.911111111111111</v>
      </c>
      <c r="J220" s="31">
        <v>25.069711111111115</v>
      </c>
      <c r="K220" s="31">
        <v>58.73</v>
      </c>
      <c r="L220" s="31">
        <v>18.958333333333336</v>
      </c>
      <c r="M220" s="31">
        <v>5.6000000000000005</v>
      </c>
      <c r="N220" s="31">
        <v>62.23</v>
      </c>
      <c r="O220" s="31">
        <v>0</v>
      </c>
      <c r="P220" s="31">
        <v>3.0144444444444445</v>
      </c>
      <c r="Q220" s="31">
        <v>0</v>
      </c>
      <c r="R220" s="31">
        <v>10.5</v>
      </c>
      <c r="S220" s="31">
        <v>8</v>
      </c>
      <c r="T220" s="31" t="str">
        <f>VLOOKUP(A220,Rankings!B:E,3,FALSE)</f>
        <v>NL</v>
      </c>
    </row>
    <row r="221" spans="1:20" ht="18.600000000000001" customHeight="1">
      <c r="A221" s="26" t="s">
        <v>505</v>
      </c>
      <c r="B221" s="27" t="s">
        <v>114</v>
      </c>
      <c r="C221" s="42" t="s">
        <v>34</v>
      </c>
      <c r="D221" s="31">
        <v>61.212222222222231</v>
      </c>
      <c r="E221" s="33">
        <v>3.8559292806447507</v>
      </c>
      <c r="F221" s="33">
        <v>1.1809369951534732</v>
      </c>
      <c r="G221" s="31">
        <v>60.75888888888889</v>
      </c>
      <c r="H221" s="31">
        <v>3.4044444444444442</v>
      </c>
      <c r="I221" s="31">
        <v>5.4222222222222216</v>
      </c>
      <c r="J221" s="31">
        <v>26.225555555555555</v>
      </c>
      <c r="K221" s="31">
        <v>55.045555555555552</v>
      </c>
      <c r="L221" s="31">
        <v>17.242222222222221</v>
      </c>
      <c r="M221" s="31">
        <v>8.0333333333333332</v>
      </c>
      <c r="N221" s="31">
        <v>54.175555555555555</v>
      </c>
      <c r="O221" s="31">
        <v>1.0555555555555556</v>
      </c>
      <c r="P221" s="31">
        <v>3.4555555555555557</v>
      </c>
      <c r="Q221" s="31">
        <v>0</v>
      </c>
      <c r="R221" s="31">
        <v>10.5</v>
      </c>
      <c r="S221" s="31">
        <v>1</v>
      </c>
      <c r="T221" s="31" t="str">
        <f>VLOOKUP(A221,Rankings!B:E,3,FALSE)</f>
        <v>AL</v>
      </c>
    </row>
    <row r="222" spans="1:20" ht="18.600000000000001" customHeight="1">
      <c r="A222" s="26" t="s">
        <v>674</v>
      </c>
      <c r="B222" s="27" t="s">
        <v>84</v>
      </c>
      <c r="C222" s="42" t="s">
        <v>34</v>
      </c>
      <c r="D222" s="31">
        <v>60.842222222222226</v>
      </c>
      <c r="E222" s="33">
        <v>4.0443953394937724</v>
      </c>
      <c r="F222" s="33">
        <v>1.2915007852733846</v>
      </c>
      <c r="G222" s="31">
        <v>62.638888888888886</v>
      </c>
      <c r="H222" s="31">
        <v>2.9988888888888887</v>
      </c>
      <c r="I222" s="31">
        <v>13.988888888888889</v>
      </c>
      <c r="J222" s="31">
        <v>27.341111111111115</v>
      </c>
      <c r="K222" s="31">
        <v>56.546666666666674</v>
      </c>
      <c r="L222" s="31">
        <v>22.031111111111112</v>
      </c>
      <c r="M222" s="31">
        <v>8.0333333333333332</v>
      </c>
      <c r="N222" s="31">
        <v>63.213333333333338</v>
      </c>
      <c r="O222" s="31">
        <v>0</v>
      </c>
      <c r="P222" s="31">
        <v>3.02</v>
      </c>
      <c r="Q222" s="31">
        <v>0</v>
      </c>
      <c r="R222" s="31">
        <v>16.5</v>
      </c>
      <c r="S222" s="31">
        <v>9</v>
      </c>
      <c r="T222" s="31" t="str">
        <f>VLOOKUP(A222,Rankings!B:E,3,FALSE)</f>
        <v>AL</v>
      </c>
    </row>
    <row r="223" spans="1:20" ht="18.600000000000001" customHeight="1">
      <c r="A223" s="26" t="s">
        <v>522</v>
      </c>
      <c r="B223" s="27" t="s">
        <v>103</v>
      </c>
      <c r="C223" s="42" t="s">
        <v>34</v>
      </c>
      <c r="D223" s="31">
        <v>75.778888888888886</v>
      </c>
      <c r="E223" s="33">
        <v>3.7693875456371608</v>
      </c>
      <c r="F223" s="33">
        <v>1.2639697365141274</v>
      </c>
      <c r="G223" s="31">
        <v>78.941111111111113</v>
      </c>
      <c r="H223" s="31">
        <v>4.0044444444444443</v>
      </c>
      <c r="I223" s="31">
        <v>1.4111111111111112</v>
      </c>
      <c r="J223" s="31">
        <v>31.737777777777779</v>
      </c>
      <c r="K223" s="31">
        <v>68.38111111111111</v>
      </c>
      <c r="L223" s="31">
        <v>27.40111111111111</v>
      </c>
      <c r="M223" s="31">
        <v>7.1333333333333329</v>
      </c>
      <c r="N223" s="31">
        <v>44.504444444444438</v>
      </c>
      <c r="O223" s="31">
        <v>6.0100000000000007</v>
      </c>
      <c r="P223" s="31">
        <v>4.3233333333333333</v>
      </c>
      <c r="Q223" s="31">
        <v>2</v>
      </c>
      <c r="R223" s="31">
        <v>5.5</v>
      </c>
      <c r="S223" s="31">
        <v>2</v>
      </c>
      <c r="T223" s="31" t="str">
        <f>VLOOKUP(A223,Rankings!B:E,3,FALSE)</f>
        <v>AL</v>
      </c>
    </row>
    <row r="224" spans="1:20" ht="18.600000000000001" customHeight="1">
      <c r="A224" s="26" t="s">
        <v>600</v>
      </c>
      <c r="B224" s="27" t="s">
        <v>97</v>
      </c>
      <c r="C224" s="42" t="s">
        <v>34</v>
      </c>
      <c r="D224" s="31">
        <v>57.385555555555555</v>
      </c>
      <c r="E224" s="33">
        <v>3.8567196545781948</v>
      </c>
      <c r="F224" s="33">
        <v>1.1830890467984589</v>
      </c>
      <c r="G224" s="31">
        <v>67.718888888888884</v>
      </c>
      <c r="H224" s="31">
        <v>2.8333333333333335</v>
      </c>
      <c r="I224" s="31">
        <v>2.5777777777777779</v>
      </c>
      <c r="J224" s="31">
        <v>24.591111111111115</v>
      </c>
      <c r="K224" s="31">
        <v>47.390000000000008</v>
      </c>
      <c r="L224" s="31">
        <v>20.502222222222223</v>
      </c>
      <c r="M224" s="31">
        <v>8.7666666666666675</v>
      </c>
      <c r="N224" s="31">
        <v>61.231111111111112</v>
      </c>
      <c r="O224" s="31">
        <v>0.3666666666666667</v>
      </c>
      <c r="P224" s="31">
        <v>2.9855555555555555</v>
      </c>
      <c r="Q224" s="31">
        <v>0</v>
      </c>
      <c r="R224" s="31">
        <v>15</v>
      </c>
      <c r="S224" s="31">
        <v>0</v>
      </c>
      <c r="T224" s="31" t="str">
        <f>VLOOKUP(A224,Rankings!B:E,3,FALSE)</f>
        <v>NL</v>
      </c>
    </row>
    <row r="225" spans="1:20" ht="18.600000000000001" customHeight="1">
      <c r="A225" s="26" t="s">
        <v>605</v>
      </c>
      <c r="B225" s="27" t="s">
        <v>71</v>
      </c>
      <c r="C225" s="42" t="s">
        <v>34</v>
      </c>
      <c r="D225" s="31">
        <v>60.141111111111115</v>
      </c>
      <c r="E225" s="33">
        <v>3.4947807933194155</v>
      </c>
      <c r="F225" s="33">
        <v>1.2881002087682671</v>
      </c>
      <c r="G225" s="31">
        <v>73.521111111111111</v>
      </c>
      <c r="H225" s="31">
        <v>3.0822222222222222</v>
      </c>
      <c r="I225" s="31">
        <v>2.0333333333333332</v>
      </c>
      <c r="J225" s="31">
        <v>23.353333333333335</v>
      </c>
      <c r="K225" s="31">
        <v>47.956666666666671</v>
      </c>
      <c r="L225" s="31">
        <v>29.511111111111109</v>
      </c>
      <c r="M225" s="31">
        <v>5.0333333333333332</v>
      </c>
      <c r="N225" s="31">
        <v>56.353333333333332</v>
      </c>
      <c r="O225" s="31">
        <v>0.6</v>
      </c>
      <c r="P225" s="31">
        <v>3.0333333333333332</v>
      </c>
      <c r="Q225" s="31">
        <v>0</v>
      </c>
      <c r="R225" s="31">
        <v>12</v>
      </c>
      <c r="S225" s="31">
        <v>1</v>
      </c>
      <c r="T225" s="31" t="str">
        <f>VLOOKUP(A225,Rankings!B:E,3,FALSE)</f>
        <v>AL</v>
      </c>
    </row>
    <row r="226" spans="1:20" ht="18.600000000000001" customHeight="1">
      <c r="A226" s="26" t="s">
        <v>599</v>
      </c>
      <c r="B226" s="27" t="s">
        <v>101</v>
      </c>
      <c r="C226" s="42" t="s">
        <v>34</v>
      </c>
      <c r="D226" s="31">
        <v>61.862222222222222</v>
      </c>
      <c r="E226" s="33">
        <v>3.5192722178317406</v>
      </c>
      <c r="F226" s="33">
        <v>1.2453121632301172</v>
      </c>
      <c r="G226" s="31">
        <v>67.477777777777774</v>
      </c>
      <c r="H226" s="31">
        <v>3.03</v>
      </c>
      <c r="I226" s="31">
        <v>1.9777777777777779</v>
      </c>
      <c r="J226" s="31">
        <v>24.189999999999998</v>
      </c>
      <c r="K226" s="31">
        <v>54.44</v>
      </c>
      <c r="L226" s="31">
        <v>22.597777777777779</v>
      </c>
      <c r="M226" s="31">
        <v>6.8500000000000005</v>
      </c>
      <c r="N226" s="31">
        <v>55.131111111111117</v>
      </c>
      <c r="O226" s="31">
        <v>1.9222222222222223</v>
      </c>
      <c r="P226" s="31">
        <v>3.0022222222222226</v>
      </c>
      <c r="Q226" s="31">
        <v>0</v>
      </c>
      <c r="R226" s="31">
        <v>8</v>
      </c>
      <c r="S226" s="31">
        <v>0</v>
      </c>
      <c r="T226" s="31" t="str">
        <f>VLOOKUP(A226,Rankings!B:E,3,FALSE)</f>
        <v>AL</v>
      </c>
    </row>
    <row r="227" spans="1:20" ht="18.600000000000001" customHeight="1">
      <c r="A227" s="26" t="s">
        <v>575</v>
      </c>
      <c r="B227" s="27" t="s">
        <v>158</v>
      </c>
      <c r="C227" s="42" t="s">
        <v>34</v>
      </c>
      <c r="D227" s="31">
        <v>62.31</v>
      </c>
      <c r="E227" s="33">
        <v>3.9174289841116994</v>
      </c>
      <c r="F227" s="33">
        <v>1.2103906988355713</v>
      </c>
      <c r="G227" s="31">
        <v>66.731666666666669</v>
      </c>
      <c r="H227" s="31">
        <v>3.0116666666666667</v>
      </c>
      <c r="I227" s="31">
        <v>4.9833333333333334</v>
      </c>
      <c r="J227" s="31">
        <v>27.121666666666666</v>
      </c>
      <c r="K227" s="31">
        <v>55.427777777777777</v>
      </c>
      <c r="L227" s="31">
        <v>19.991666666666667</v>
      </c>
      <c r="M227" s="31">
        <v>8.4666666666666668</v>
      </c>
      <c r="N227" s="31">
        <v>52.675555555555555</v>
      </c>
      <c r="O227" s="31">
        <v>1.1166666666666667</v>
      </c>
      <c r="P227" s="31">
        <v>3.2255555555555553</v>
      </c>
      <c r="Q227" s="31">
        <v>0</v>
      </c>
      <c r="R227" s="31">
        <v>10</v>
      </c>
      <c r="S227" s="31">
        <v>1</v>
      </c>
      <c r="T227" s="31" t="str">
        <f>VLOOKUP(A227,Rankings!B:E,3,FALSE)</f>
        <v>NL</v>
      </c>
    </row>
    <row r="228" spans="1:20" ht="18.600000000000001" customHeight="1">
      <c r="A228" s="26" t="s">
        <v>526</v>
      </c>
      <c r="B228" s="27" t="s">
        <v>78</v>
      </c>
      <c r="C228" s="42" t="s">
        <v>34</v>
      </c>
      <c r="D228" s="31">
        <v>61.515555555555558</v>
      </c>
      <c r="E228" s="33">
        <v>3.7756303735279246</v>
      </c>
      <c r="F228" s="33">
        <v>1.2354056787804348</v>
      </c>
      <c r="G228" s="31">
        <v>62.422222222222217</v>
      </c>
      <c r="H228" s="31">
        <v>3.5155555555555558</v>
      </c>
      <c r="I228" s="31">
        <v>5.6444444444444448</v>
      </c>
      <c r="J228" s="31">
        <v>25.806666666666668</v>
      </c>
      <c r="K228" s="31">
        <v>55.53</v>
      </c>
      <c r="L228" s="31">
        <v>20.466666666666665</v>
      </c>
      <c r="M228" s="31">
        <v>5.7</v>
      </c>
      <c r="N228" s="31">
        <v>60.675555555555555</v>
      </c>
      <c r="O228" s="31">
        <v>0</v>
      </c>
      <c r="P228" s="31">
        <v>2.9988888888888887</v>
      </c>
      <c r="Q228" s="31">
        <v>0</v>
      </c>
      <c r="R228" s="31">
        <v>16</v>
      </c>
      <c r="S228" s="31">
        <v>3</v>
      </c>
      <c r="T228" s="31" t="str">
        <f>VLOOKUP(A228,Rankings!B:E,3,FALSE)</f>
        <v>AL</v>
      </c>
    </row>
    <row r="229" spans="1:20" ht="18.600000000000001" customHeight="1">
      <c r="A229" s="26" t="s">
        <v>573</v>
      </c>
      <c r="B229" s="27" t="s">
        <v>101</v>
      </c>
      <c r="C229" s="42" t="s">
        <v>34</v>
      </c>
      <c r="D229" s="31">
        <v>55.683333333333337</v>
      </c>
      <c r="E229" s="33">
        <v>3.8040107752170012</v>
      </c>
      <c r="F229" s="33">
        <v>1.1980245435498351</v>
      </c>
      <c r="G229" s="31">
        <v>63.173333333333339</v>
      </c>
      <c r="H229" s="31">
        <v>3.0483333333333333</v>
      </c>
      <c r="I229" s="31">
        <v>3.2333333333333338</v>
      </c>
      <c r="J229" s="31">
        <v>23.535555555555558</v>
      </c>
      <c r="K229" s="31">
        <v>45.364444444444445</v>
      </c>
      <c r="L229" s="31">
        <v>21.345555555555553</v>
      </c>
      <c r="M229" s="31">
        <v>8</v>
      </c>
      <c r="N229" s="31">
        <v>59.046666666666674</v>
      </c>
      <c r="O229" s="31">
        <v>0</v>
      </c>
      <c r="P229" s="31">
        <v>2.7133333333333334</v>
      </c>
      <c r="Q229" s="31">
        <v>0</v>
      </c>
      <c r="R229" s="31">
        <v>21.5</v>
      </c>
      <c r="S229" s="31">
        <v>2</v>
      </c>
      <c r="T229" s="31" t="str">
        <f>VLOOKUP(A229,Rankings!B:E,3,FALSE)</f>
        <v>AL</v>
      </c>
    </row>
    <row r="230" spans="1:20" ht="18.600000000000001" customHeight="1">
      <c r="A230" s="26" t="s">
        <v>515</v>
      </c>
      <c r="B230" s="27" t="s">
        <v>68</v>
      </c>
      <c r="C230" s="42" t="s">
        <v>34</v>
      </c>
      <c r="D230" s="31">
        <v>55.264444444444443</v>
      </c>
      <c r="E230" s="33">
        <v>3.6053922554183924</v>
      </c>
      <c r="F230" s="33">
        <v>1.220133499537577</v>
      </c>
      <c r="G230" s="31">
        <v>67.904444444444451</v>
      </c>
      <c r="H230" s="31">
        <v>2.3377777777777777</v>
      </c>
      <c r="I230" s="31">
        <v>0.97777777777777775</v>
      </c>
      <c r="J230" s="31">
        <v>22.138888888888889</v>
      </c>
      <c r="K230" s="31">
        <v>42.643333333333338</v>
      </c>
      <c r="L230" s="31">
        <v>24.786666666666665</v>
      </c>
      <c r="M230" s="31">
        <v>6.0333333333333341</v>
      </c>
      <c r="N230" s="31">
        <v>52.376666666666665</v>
      </c>
      <c r="O230" s="31">
        <v>0</v>
      </c>
      <c r="P230" s="31">
        <v>1.5233333333333334</v>
      </c>
      <c r="Q230" s="31">
        <v>0</v>
      </c>
      <c r="R230" s="31">
        <v>11</v>
      </c>
      <c r="S230" s="31">
        <v>1</v>
      </c>
      <c r="T230" s="31" t="str">
        <f>VLOOKUP(A230,Rankings!B:E,3,FALSE)</f>
        <v>AL</v>
      </c>
    </row>
    <row r="231" spans="1:20" ht="18.600000000000001" customHeight="1">
      <c r="A231" s="26" t="s">
        <v>578</v>
      </c>
      <c r="B231" s="27" t="s">
        <v>156</v>
      </c>
      <c r="C231" s="42" t="s">
        <v>34</v>
      </c>
      <c r="D231" s="31">
        <v>57.358333333333341</v>
      </c>
      <c r="E231" s="33">
        <v>3.4645358128722941</v>
      </c>
      <c r="F231" s="33">
        <v>1.2690977771320642</v>
      </c>
      <c r="G231" s="31">
        <v>72.034999999999997</v>
      </c>
      <c r="H231" s="31">
        <v>2.8916666666666671</v>
      </c>
      <c r="I231" s="31">
        <v>1.6666666666666666E-2</v>
      </c>
      <c r="J231" s="31">
        <v>22.080000000000002</v>
      </c>
      <c r="K231" s="31">
        <v>44.699999999999996</v>
      </c>
      <c r="L231" s="31">
        <v>28.093333333333334</v>
      </c>
      <c r="M231" s="31">
        <v>4.2333333333333334</v>
      </c>
      <c r="N231" s="31">
        <v>50.914999999999999</v>
      </c>
      <c r="O231" s="31">
        <v>0</v>
      </c>
      <c r="P231" s="31">
        <v>2.0166666666666666</v>
      </c>
      <c r="Q231" s="31">
        <v>0</v>
      </c>
      <c r="R231" s="31">
        <v>6</v>
      </c>
      <c r="S231" s="31">
        <v>0</v>
      </c>
      <c r="T231" s="31" t="str">
        <f>VLOOKUP(A231,Rankings!B:E,3,FALSE)</f>
        <v>AL</v>
      </c>
    </row>
    <row r="232" spans="1:20" ht="18.600000000000001" customHeight="1">
      <c r="A232" s="26" t="s">
        <v>594</v>
      </c>
      <c r="B232" s="27" t="s">
        <v>68</v>
      </c>
      <c r="C232" s="42" t="s">
        <v>34</v>
      </c>
      <c r="D232" s="31">
        <v>61.146666666666668</v>
      </c>
      <c r="E232" s="33">
        <v>3.5793741822939382</v>
      </c>
      <c r="F232" s="33">
        <v>1.2346816397732228</v>
      </c>
      <c r="G232" s="31">
        <v>55.431111111111115</v>
      </c>
      <c r="H232" s="31">
        <v>3.9933333333333336</v>
      </c>
      <c r="I232" s="31">
        <v>3.4111111111111114</v>
      </c>
      <c r="J232" s="31">
        <v>24.318533333333335</v>
      </c>
      <c r="K232" s="31">
        <v>56.136666666666663</v>
      </c>
      <c r="L232" s="31">
        <v>19.36</v>
      </c>
      <c r="M232" s="31">
        <v>5.6000000000000005</v>
      </c>
      <c r="N232" s="31">
        <v>58.52</v>
      </c>
      <c r="O232" s="31">
        <v>1.6666666666666666E-2</v>
      </c>
      <c r="P232" s="31">
        <v>2.9983333333333335</v>
      </c>
      <c r="Q232" s="31">
        <v>0</v>
      </c>
      <c r="R232" s="31">
        <v>15.5</v>
      </c>
      <c r="S232" s="31">
        <v>0</v>
      </c>
      <c r="T232" s="31" t="str">
        <f>VLOOKUP(A232,Rankings!B:E,3,FALSE)</f>
        <v>AL</v>
      </c>
    </row>
    <row r="233" spans="1:20" ht="18.600000000000001" customHeight="1">
      <c r="A233" s="26" t="s">
        <v>653</v>
      </c>
      <c r="B233" s="27" t="s">
        <v>156</v>
      </c>
      <c r="C233" s="42" t="s">
        <v>34</v>
      </c>
      <c r="D233" s="31">
        <v>63.336666666666666</v>
      </c>
      <c r="E233" s="33">
        <v>4.036524393452976</v>
      </c>
      <c r="F233" s="33">
        <v>1.1992702138483939</v>
      </c>
      <c r="G233" s="31">
        <v>73.373333333333335</v>
      </c>
      <c r="H233" s="31">
        <v>3.0083333333333333</v>
      </c>
      <c r="I233" s="31">
        <v>1.5333333333333332</v>
      </c>
      <c r="J233" s="31">
        <v>28.406666666666666</v>
      </c>
      <c r="K233" s="31">
        <v>54.857777777777777</v>
      </c>
      <c r="L233" s="31">
        <v>21.099999999999998</v>
      </c>
      <c r="M233" s="31">
        <v>10.233333333333333</v>
      </c>
      <c r="N233" s="31">
        <v>61.620000000000005</v>
      </c>
      <c r="O233" s="31">
        <v>0</v>
      </c>
      <c r="P233" s="31">
        <v>3.2833333333333332</v>
      </c>
      <c r="Q233" s="31">
        <v>0</v>
      </c>
      <c r="R233" s="31">
        <v>14</v>
      </c>
      <c r="S233" s="31">
        <v>1</v>
      </c>
      <c r="T233" s="31" t="str">
        <f>VLOOKUP(A233,Rankings!B:E,3,FALSE)</f>
        <v>AL</v>
      </c>
    </row>
    <row r="234" spans="1:20" ht="18.600000000000001" customHeight="1">
      <c r="A234" s="26" t="s">
        <v>571</v>
      </c>
      <c r="B234" s="27" t="s">
        <v>84</v>
      </c>
      <c r="C234" s="42" t="s">
        <v>34</v>
      </c>
      <c r="D234" s="31">
        <v>65.426666666666677</v>
      </c>
      <c r="E234" s="33">
        <v>3.9772957000203779</v>
      </c>
      <c r="F234" s="33">
        <v>1.2504585286325656</v>
      </c>
      <c r="G234" s="31">
        <v>62.104999999999997</v>
      </c>
      <c r="H234" s="31">
        <v>2.9888888888888889</v>
      </c>
      <c r="I234" s="31">
        <v>7.9222222222222216</v>
      </c>
      <c r="J234" s="31">
        <v>28.913466666666665</v>
      </c>
      <c r="K234" s="31">
        <v>60.547777777777782</v>
      </c>
      <c r="L234" s="31">
        <v>21.265555555555554</v>
      </c>
      <c r="M234" s="31">
        <v>7.6000000000000005</v>
      </c>
      <c r="N234" s="31">
        <v>62.852222222222224</v>
      </c>
      <c r="O234" s="31">
        <v>1.6666666666666666E-2</v>
      </c>
      <c r="P234" s="31">
        <v>2.9683333333333333</v>
      </c>
      <c r="Q234" s="31">
        <v>0</v>
      </c>
      <c r="R234" s="31">
        <v>10.5</v>
      </c>
      <c r="S234" s="31">
        <v>2</v>
      </c>
      <c r="T234" s="31" t="str">
        <f>VLOOKUP(A234,Rankings!B:E,3,FALSE)</f>
        <v>AL</v>
      </c>
    </row>
    <row r="235" spans="1:20" ht="18.600000000000001" customHeight="1">
      <c r="A235" s="26" t="s">
        <v>648</v>
      </c>
      <c r="B235" s="27" t="s">
        <v>134</v>
      </c>
      <c r="C235" s="42" t="s">
        <v>34</v>
      </c>
      <c r="D235" s="31">
        <v>60.835555555555565</v>
      </c>
      <c r="E235" s="33">
        <v>3.682057276446522</v>
      </c>
      <c r="F235" s="33">
        <v>1.3775935125657508</v>
      </c>
      <c r="G235" s="31">
        <v>77.086666666666659</v>
      </c>
      <c r="H235" s="31">
        <v>3.1455555555555557</v>
      </c>
      <c r="I235" s="31">
        <v>6.0333333333333341</v>
      </c>
      <c r="J235" s="31">
        <v>24.888888888888889</v>
      </c>
      <c r="K235" s="31">
        <v>49.506666666666661</v>
      </c>
      <c r="L235" s="31">
        <v>34.300000000000004</v>
      </c>
      <c r="M235" s="31">
        <v>5</v>
      </c>
      <c r="N235" s="31">
        <v>63.586666666666666</v>
      </c>
      <c r="O235" s="31">
        <v>0</v>
      </c>
      <c r="P235" s="31">
        <v>3.1077777777777782</v>
      </c>
      <c r="Q235" s="31">
        <v>0</v>
      </c>
      <c r="R235" s="31">
        <v>13</v>
      </c>
      <c r="S235" s="31">
        <v>2</v>
      </c>
      <c r="T235" s="31" t="str">
        <f>VLOOKUP(A235,Rankings!B:E,3,FALSE)</f>
        <v>NL</v>
      </c>
    </row>
    <row r="236" spans="1:20" ht="18.600000000000001" customHeight="1">
      <c r="A236" s="26" t="s">
        <v>614</v>
      </c>
      <c r="B236" s="27" t="s">
        <v>117</v>
      </c>
      <c r="C236" s="42" t="s">
        <v>34</v>
      </c>
      <c r="D236" s="31">
        <v>64.38333333333334</v>
      </c>
      <c r="E236" s="33">
        <v>3.6622055397359561</v>
      </c>
      <c r="F236" s="33">
        <v>1.2993183190956938</v>
      </c>
      <c r="G236" s="31">
        <v>69.554444444444442</v>
      </c>
      <c r="H236" s="31">
        <v>3.0050000000000003</v>
      </c>
      <c r="I236" s="31">
        <v>3.6555555555555554</v>
      </c>
      <c r="J236" s="31">
        <v>26.198333333333334</v>
      </c>
      <c r="K236" s="31">
        <v>53.416666666666664</v>
      </c>
      <c r="L236" s="31">
        <v>30.237777777777779</v>
      </c>
      <c r="M236" s="31">
        <v>6.0333333333333341</v>
      </c>
      <c r="N236" s="31">
        <v>62.50888888888889</v>
      </c>
      <c r="O236" s="31">
        <v>0</v>
      </c>
      <c r="P236" s="31">
        <v>2.9683333333333333</v>
      </c>
      <c r="Q236" s="31">
        <v>0</v>
      </c>
      <c r="R236" s="31">
        <v>13.5</v>
      </c>
      <c r="S236" s="31">
        <v>0</v>
      </c>
      <c r="T236" s="31" t="str">
        <f>VLOOKUP(A236,Rankings!B:E,3,FALSE)</f>
        <v>AL</v>
      </c>
    </row>
    <row r="237" spans="1:20" ht="18.600000000000001" customHeight="1">
      <c r="A237" s="26" t="s">
        <v>597</v>
      </c>
      <c r="B237" s="27" t="s">
        <v>99</v>
      </c>
      <c r="C237" s="42" t="s">
        <v>34</v>
      </c>
      <c r="D237" s="31">
        <v>61.171666666666674</v>
      </c>
      <c r="E237" s="33">
        <v>3.7586028390049857</v>
      </c>
      <c r="F237" s="33">
        <v>1.2826471950521754</v>
      </c>
      <c r="G237" s="31">
        <v>77.599166666666676</v>
      </c>
      <c r="H237" s="31">
        <v>3.7666666666666671</v>
      </c>
      <c r="I237" s="31">
        <v>0</v>
      </c>
      <c r="J237" s="31">
        <v>25.546666666666667</v>
      </c>
      <c r="K237" s="31">
        <v>49.136666666666663</v>
      </c>
      <c r="L237" s="31">
        <v>29.324999999999999</v>
      </c>
      <c r="M237" s="31">
        <v>6.7666666666666666</v>
      </c>
      <c r="N237" s="31">
        <v>38.928333333333335</v>
      </c>
      <c r="O237" s="31">
        <v>5.4716666666666667</v>
      </c>
      <c r="P237" s="31">
        <v>3.4583333333333335</v>
      </c>
      <c r="Q237" s="31">
        <v>3</v>
      </c>
      <c r="R237" s="31">
        <v>4</v>
      </c>
      <c r="S237" s="31">
        <v>1</v>
      </c>
      <c r="T237" s="31" t="str">
        <f>VLOOKUP(A237,Rankings!B:E,3,FALSE)</f>
        <v>AL</v>
      </c>
    </row>
    <row r="238" spans="1:20" ht="18.600000000000001" customHeight="1">
      <c r="A238" s="26" t="s">
        <v>559</v>
      </c>
      <c r="B238" s="27" t="s">
        <v>94</v>
      </c>
      <c r="C238" s="42" t="s">
        <v>34</v>
      </c>
      <c r="D238" s="31">
        <v>63.377777777777787</v>
      </c>
      <c r="E238" s="33">
        <v>3.9612938288920052</v>
      </c>
      <c r="F238" s="33">
        <v>1.1814340813464235</v>
      </c>
      <c r="G238" s="31">
        <v>61.838888888888881</v>
      </c>
      <c r="H238" s="31">
        <v>4.003333333333333</v>
      </c>
      <c r="I238" s="31">
        <v>1.5</v>
      </c>
      <c r="J238" s="31">
        <v>27.895333333333337</v>
      </c>
      <c r="K238" s="31">
        <v>56.344444444444441</v>
      </c>
      <c r="L238" s="31">
        <v>18.53222222222222</v>
      </c>
      <c r="M238" s="31">
        <v>9.5333333333333332</v>
      </c>
      <c r="N238" s="31">
        <v>64.92</v>
      </c>
      <c r="O238" s="31">
        <v>0</v>
      </c>
      <c r="P238" s="31">
        <v>3.4666666666666668</v>
      </c>
      <c r="Q238" s="31">
        <v>0</v>
      </c>
      <c r="R238" s="31">
        <v>17</v>
      </c>
      <c r="S238" s="31">
        <v>1</v>
      </c>
      <c r="T238" s="31" t="str">
        <f>VLOOKUP(A238,Rankings!B:E,3,FALSE)</f>
        <v>AL</v>
      </c>
    </row>
    <row r="239" spans="1:20" ht="18.600000000000001" customHeight="1">
      <c r="A239" s="26" t="s">
        <v>465</v>
      </c>
      <c r="B239" s="27" t="s">
        <v>71</v>
      </c>
      <c r="C239" s="42" t="s">
        <v>34</v>
      </c>
      <c r="D239" s="31">
        <v>62.17777777777777</v>
      </c>
      <c r="E239" s="33">
        <v>3.8531451036454616</v>
      </c>
      <c r="F239" s="33">
        <v>1.2011079342387421</v>
      </c>
      <c r="G239" s="31">
        <v>65.135555555555555</v>
      </c>
      <c r="H239" s="31">
        <v>3.0266666666666668</v>
      </c>
      <c r="I239" s="31">
        <v>0.97777777777777775</v>
      </c>
      <c r="J239" s="31">
        <v>26.62</v>
      </c>
      <c r="K239" s="31">
        <v>54.481111111111112</v>
      </c>
      <c r="L239" s="31">
        <v>20.201111111111111</v>
      </c>
      <c r="M239" s="31">
        <v>8</v>
      </c>
      <c r="N239" s="31">
        <v>58.831111111111113</v>
      </c>
      <c r="O239" s="31">
        <v>1.1111111111111112E-2</v>
      </c>
      <c r="P239" s="31">
        <v>2.9622222222222221</v>
      </c>
      <c r="Q239" s="31">
        <v>0</v>
      </c>
      <c r="R239" s="31">
        <v>8</v>
      </c>
      <c r="S239" s="31">
        <v>0</v>
      </c>
      <c r="T239" s="31" t="str">
        <f>VLOOKUP(A239,Rankings!B:E,3,FALSE)</f>
        <v>AL</v>
      </c>
    </row>
    <row r="240" spans="1:20" ht="18.600000000000001" customHeight="1">
      <c r="A240" s="26" t="s">
        <v>596</v>
      </c>
      <c r="B240" s="27" t="s">
        <v>95</v>
      </c>
      <c r="C240" s="42" t="s">
        <v>34</v>
      </c>
      <c r="D240" s="31">
        <v>57.02</v>
      </c>
      <c r="E240" s="33">
        <v>3.7968256752016831</v>
      </c>
      <c r="F240" s="33">
        <v>1.2125764838847968</v>
      </c>
      <c r="G240" s="31">
        <v>62.951666666666661</v>
      </c>
      <c r="H240" s="31">
        <v>2.4666666666666668</v>
      </c>
      <c r="I240" s="31">
        <v>2.2111111111111112</v>
      </c>
      <c r="J240" s="31">
        <v>24.054999999999996</v>
      </c>
      <c r="K240" s="31">
        <v>49.857777777777777</v>
      </c>
      <c r="L240" s="31">
        <v>19.283333333333335</v>
      </c>
      <c r="M240" s="31">
        <v>6.5666666666666664</v>
      </c>
      <c r="N240" s="31">
        <v>58.296666666666674</v>
      </c>
      <c r="O240" s="31">
        <v>0.70000000000000007</v>
      </c>
      <c r="P240" s="31">
        <v>2.0188888888888887</v>
      </c>
      <c r="Q240" s="31">
        <v>0</v>
      </c>
      <c r="R240" s="31">
        <v>19</v>
      </c>
      <c r="S240" s="31">
        <v>0</v>
      </c>
      <c r="T240" s="31" t="str">
        <f>VLOOKUP(A240,Rankings!B:E,3,FALSE)</f>
        <v>NL</v>
      </c>
    </row>
    <row r="241" spans="1:20" ht="18.600000000000001" customHeight="1">
      <c r="A241" s="26" t="s">
        <v>582</v>
      </c>
      <c r="B241" s="27" t="s">
        <v>306</v>
      </c>
      <c r="C241" s="42" t="s">
        <v>34</v>
      </c>
      <c r="D241" s="31">
        <v>58.776666666666671</v>
      </c>
      <c r="E241" s="33">
        <v>3.8413202518006013</v>
      </c>
      <c r="F241" s="33">
        <v>1.249929110191119</v>
      </c>
      <c r="G241" s="31">
        <v>62.143333333333338</v>
      </c>
      <c r="H241" s="31">
        <v>2.9866666666666668</v>
      </c>
      <c r="I241" s="31">
        <v>4.5666666666666664</v>
      </c>
      <c r="J241" s="31">
        <v>25.08666666666667</v>
      </c>
      <c r="K241" s="31">
        <v>52.99</v>
      </c>
      <c r="L241" s="31">
        <v>20.476666666666667</v>
      </c>
      <c r="M241" s="31">
        <v>7</v>
      </c>
      <c r="N241" s="31">
        <v>59.129999999999995</v>
      </c>
      <c r="O241" s="31">
        <v>0</v>
      </c>
      <c r="P241" s="31">
        <v>3.0016666666666665</v>
      </c>
      <c r="Q241" s="31">
        <v>0</v>
      </c>
      <c r="R241" s="31">
        <v>17</v>
      </c>
      <c r="S241" s="31">
        <v>1</v>
      </c>
      <c r="T241" s="31" t="str">
        <f>VLOOKUP(A241,Rankings!B:E,3,FALSE)</f>
        <v>NL</v>
      </c>
    </row>
    <row r="242" spans="1:20" ht="18.600000000000001" customHeight="1">
      <c r="A242" s="26" t="s">
        <v>756</v>
      </c>
      <c r="B242" s="27" t="s">
        <v>63</v>
      </c>
      <c r="C242" s="42" t="s">
        <v>34</v>
      </c>
      <c r="D242" s="31">
        <v>52.18333333333333</v>
      </c>
      <c r="E242" s="33">
        <v>3.7346694346854048</v>
      </c>
      <c r="F242" s="33">
        <v>1.2836154583200257</v>
      </c>
      <c r="G242" s="31">
        <v>59.520833333333329</v>
      </c>
      <c r="H242" s="31">
        <v>1.9958333333333333</v>
      </c>
      <c r="I242" s="31">
        <v>6.708333333333333</v>
      </c>
      <c r="J242" s="31">
        <v>21.654166666666669</v>
      </c>
      <c r="K242" s="31">
        <v>42.116666666666667</v>
      </c>
      <c r="L242" s="31">
        <v>24.866666666666667</v>
      </c>
      <c r="M242" s="31">
        <v>5.125</v>
      </c>
      <c r="N242" s="31">
        <v>52.283333333333331</v>
      </c>
      <c r="O242" s="31">
        <v>0</v>
      </c>
      <c r="P242" s="31">
        <v>3.0750000000000002</v>
      </c>
      <c r="Q242" s="31">
        <v>0</v>
      </c>
      <c r="R242" s="31">
        <v>12.3</v>
      </c>
      <c r="S242" s="31">
        <v>8.1999999999999993</v>
      </c>
      <c r="T242" s="31" t="str">
        <f>VLOOKUP(A242,Rankings!B:E,3,FALSE)</f>
        <v>NL</v>
      </c>
    </row>
    <row r="243" spans="1:20" ht="18.600000000000001" customHeight="1">
      <c r="A243" s="26" t="s">
        <v>533</v>
      </c>
      <c r="B243" s="27" t="s">
        <v>94</v>
      </c>
      <c r="C243" s="42" t="s">
        <v>34</v>
      </c>
      <c r="D243" s="31">
        <v>61.49666666666667</v>
      </c>
      <c r="E243" s="33">
        <v>3.7591110629302404</v>
      </c>
      <c r="F243" s="33">
        <v>1.2226317596256344</v>
      </c>
      <c r="G243" s="31">
        <v>60.948333333333331</v>
      </c>
      <c r="H243" s="31">
        <v>3.0233333333333334</v>
      </c>
      <c r="I243" s="31">
        <v>1.5222222222222221</v>
      </c>
      <c r="J243" s="31">
        <v>25.685866666666669</v>
      </c>
      <c r="K243" s="31">
        <v>54.668888888888887</v>
      </c>
      <c r="L243" s="31">
        <v>20.518888888888888</v>
      </c>
      <c r="M243" s="31">
        <v>8</v>
      </c>
      <c r="N243" s="31">
        <v>62.88</v>
      </c>
      <c r="O243" s="31">
        <v>0</v>
      </c>
      <c r="P243" s="31">
        <v>3.0333333333333332</v>
      </c>
      <c r="Q243" s="31">
        <v>0</v>
      </c>
      <c r="R243" s="31">
        <v>19.5</v>
      </c>
      <c r="S243" s="31">
        <v>1</v>
      </c>
      <c r="T243" s="31" t="str">
        <f>VLOOKUP(A243,Rankings!B:E,3,FALSE)</f>
        <v>AL</v>
      </c>
    </row>
    <row r="244" spans="1:20" ht="18.600000000000001" customHeight="1">
      <c r="A244" s="26" t="s">
        <v>583</v>
      </c>
      <c r="B244" s="27" t="s">
        <v>134</v>
      </c>
      <c r="C244" s="42" t="s">
        <v>34</v>
      </c>
      <c r="D244" s="31">
        <v>54.975555555555552</v>
      </c>
      <c r="E244" s="33">
        <v>3.7975059622458471</v>
      </c>
      <c r="F244" s="33">
        <v>1.2367921096244796</v>
      </c>
      <c r="G244" s="31">
        <v>63.425555555555555</v>
      </c>
      <c r="H244" s="31">
        <v>3.0100000000000002</v>
      </c>
      <c r="I244" s="31">
        <v>1.0666666666666667</v>
      </c>
      <c r="J244" s="31">
        <v>23.196666666666669</v>
      </c>
      <c r="K244" s="31">
        <v>45.418888888888887</v>
      </c>
      <c r="L244" s="31">
        <v>22.574444444444442</v>
      </c>
      <c r="M244" s="31">
        <v>7</v>
      </c>
      <c r="N244" s="31">
        <v>57.164444444444449</v>
      </c>
      <c r="O244" s="31">
        <v>0</v>
      </c>
      <c r="P244" s="31">
        <v>3.0977777777777775</v>
      </c>
      <c r="Q244" s="31">
        <v>0</v>
      </c>
      <c r="R244" s="31">
        <v>14.5</v>
      </c>
      <c r="S244" s="31">
        <v>2</v>
      </c>
      <c r="T244" s="31" t="str">
        <f>VLOOKUP(A244,Rankings!B:E,3,FALSE)</f>
        <v>NL</v>
      </c>
    </row>
    <row r="245" spans="1:20" ht="18.600000000000001" customHeight="1">
      <c r="A245" s="26" t="s">
        <v>628</v>
      </c>
      <c r="B245" s="27" t="s">
        <v>76</v>
      </c>
      <c r="C245" s="42" t="s">
        <v>34</v>
      </c>
      <c r="D245" s="31">
        <v>57.979166666666664</v>
      </c>
      <c r="E245" s="33">
        <v>3.8165432985986341</v>
      </c>
      <c r="F245" s="33">
        <v>1.231304347826087</v>
      </c>
      <c r="G245" s="31">
        <v>65.076666666666668</v>
      </c>
      <c r="H245" s="31">
        <v>3.2149999999999999</v>
      </c>
      <c r="I245" s="31">
        <v>0</v>
      </c>
      <c r="J245" s="31">
        <v>24.586666666666662</v>
      </c>
      <c r="K245" s="31">
        <v>49.65</v>
      </c>
      <c r="L245" s="31">
        <v>21.74</v>
      </c>
      <c r="M245" s="31">
        <v>7</v>
      </c>
      <c r="N245" s="31">
        <v>54.386666666666663</v>
      </c>
      <c r="O245" s="31">
        <v>0.5</v>
      </c>
      <c r="P245" s="31">
        <v>2.186666666666667</v>
      </c>
      <c r="Q245" s="31">
        <v>0</v>
      </c>
      <c r="R245" s="31">
        <v>6</v>
      </c>
      <c r="S245" s="31">
        <v>1</v>
      </c>
      <c r="T245" s="31" t="str">
        <f>VLOOKUP(A245,Rankings!B:E,3,FALSE)</f>
        <v>AL</v>
      </c>
    </row>
    <row r="246" spans="1:20" ht="18.600000000000001" customHeight="1">
      <c r="A246" s="26" t="s">
        <v>755</v>
      </c>
      <c r="B246" s="27" t="s">
        <v>158</v>
      </c>
      <c r="C246" s="42" t="s">
        <v>34</v>
      </c>
      <c r="D246" s="31">
        <v>62.569999999999993</v>
      </c>
      <c r="E246" s="33">
        <v>4.0415534601246605</v>
      </c>
      <c r="F246" s="33">
        <v>1.331433239216522</v>
      </c>
      <c r="G246" s="31">
        <v>60.31</v>
      </c>
      <c r="H246" s="31">
        <v>3.0144444444444445</v>
      </c>
      <c r="I246" s="31">
        <v>9.4888888888888889</v>
      </c>
      <c r="J246" s="31">
        <v>28.097777777777779</v>
      </c>
      <c r="K246" s="31">
        <v>59.817777777777771</v>
      </c>
      <c r="L246" s="31">
        <v>23.49</v>
      </c>
      <c r="M246" s="31">
        <v>6.9666666666666659</v>
      </c>
      <c r="N246" s="31">
        <v>59.531111111111109</v>
      </c>
      <c r="O246" s="31">
        <v>0.81111111111111123</v>
      </c>
      <c r="P246" s="31">
        <v>3.4111111111111114</v>
      </c>
      <c r="Q246" s="31">
        <v>0</v>
      </c>
      <c r="R246" s="31">
        <v>12.5</v>
      </c>
      <c r="S246" s="31">
        <v>3</v>
      </c>
      <c r="T246" s="31" t="str">
        <f>VLOOKUP(A246,Rankings!B:E,3,FALSE)</f>
        <v>NL</v>
      </c>
    </row>
    <row r="247" spans="1:20" ht="18.600000000000001" customHeight="1">
      <c r="A247" s="26" t="s">
        <v>611</v>
      </c>
      <c r="B247" s="27" t="s">
        <v>91</v>
      </c>
      <c r="C247" s="42" t="s">
        <v>34</v>
      </c>
      <c r="D247" s="31">
        <v>61.955555555555556</v>
      </c>
      <c r="E247" s="33">
        <v>3.9073977761836449</v>
      </c>
      <c r="F247" s="33">
        <v>1.3590746054519367</v>
      </c>
      <c r="G247" s="31">
        <v>67.653333333333336</v>
      </c>
      <c r="H247" s="31">
        <v>2.9933333333333336</v>
      </c>
      <c r="I247" s="31">
        <v>6.7833333333333341</v>
      </c>
      <c r="J247" s="31">
        <v>26.898333333333337</v>
      </c>
      <c r="K247" s="31">
        <v>52.642222222222223</v>
      </c>
      <c r="L247" s="31">
        <v>31.560000000000002</v>
      </c>
      <c r="M247" s="31">
        <v>6.0333333333333341</v>
      </c>
      <c r="N247" s="31">
        <v>61.786666666666669</v>
      </c>
      <c r="O247" s="31">
        <v>0</v>
      </c>
      <c r="P247" s="31">
        <v>3.3111111111111113</v>
      </c>
      <c r="Q247" s="31">
        <v>0</v>
      </c>
      <c r="R247" s="31">
        <v>15.5</v>
      </c>
      <c r="S247" s="31">
        <v>3</v>
      </c>
      <c r="T247" s="31" t="str">
        <f>VLOOKUP(A247,Rankings!B:E,3,FALSE)</f>
        <v>NL</v>
      </c>
    </row>
    <row r="248" spans="1:20" ht="18.600000000000001" customHeight="1">
      <c r="A248" s="26" t="s">
        <v>479</v>
      </c>
      <c r="B248" s="27" t="s">
        <v>94</v>
      </c>
      <c r="C248" s="42" t="s">
        <v>34</v>
      </c>
      <c r="D248" s="31">
        <v>19.001666666666665</v>
      </c>
      <c r="E248" s="33">
        <v>3.5386369616700288</v>
      </c>
      <c r="F248" s="33">
        <v>1.0369265853872469</v>
      </c>
      <c r="G248" s="31">
        <v>21.358333333333334</v>
      </c>
      <c r="H248" s="31">
        <v>1.5483333333333331</v>
      </c>
      <c r="I248" s="31">
        <v>0.73333333333333339</v>
      </c>
      <c r="J248" s="31">
        <v>7.471111111111111</v>
      </c>
      <c r="K248" s="31">
        <v>14.772222222222224</v>
      </c>
      <c r="L248" s="31">
        <v>4.931111111111111</v>
      </c>
      <c r="M248" s="31">
        <v>2.6333333333333333</v>
      </c>
      <c r="N248" s="31">
        <v>17.8</v>
      </c>
      <c r="O248" s="31">
        <v>0</v>
      </c>
      <c r="P248" s="31">
        <v>1.0411111111111111</v>
      </c>
      <c r="Q248" s="31">
        <v>0</v>
      </c>
      <c r="R248" s="31">
        <v>10</v>
      </c>
      <c r="S248" s="31">
        <v>0</v>
      </c>
      <c r="T248" s="31" t="str">
        <f>VLOOKUP(A248,Rankings!B:E,3,FALSE)</f>
        <v>AL</v>
      </c>
    </row>
    <row r="249" spans="1:20" ht="18.600000000000001" customHeight="1">
      <c r="A249" s="26" t="s">
        <v>595</v>
      </c>
      <c r="B249" s="27" t="s">
        <v>117</v>
      </c>
      <c r="C249" s="42" t="s">
        <v>34</v>
      </c>
      <c r="D249" s="31">
        <v>50.341111111111111</v>
      </c>
      <c r="E249" s="33">
        <v>3.8026574260048118</v>
      </c>
      <c r="F249" s="33">
        <v>1.3682653894541681</v>
      </c>
      <c r="G249" s="31">
        <v>62.308888888888895</v>
      </c>
      <c r="H249" s="31">
        <v>3.0066666666666664</v>
      </c>
      <c r="I249" s="31">
        <v>6.9999999999999991</v>
      </c>
      <c r="J249" s="31">
        <v>21.27</v>
      </c>
      <c r="K249" s="31">
        <v>39.596666666666664</v>
      </c>
      <c r="L249" s="31">
        <v>29.283333333333335</v>
      </c>
      <c r="M249" s="31">
        <v>5.3</v>
      </c>
      <c r="N249" s="31">
        <v>55.30777777777778</v>
      </c>
      <c r="O249" s="31">
        <v>0</v>
      </c>
      <c r="P249" s="31">
        <v>3.2677777777777774</v>
      </c>
      <c r="Q249" s="31">
        <v>0</v>
      </c>
      <c r="R249" s="31">
        <v>7.5</v>
      </c>
      <c r="S249" s="31">
        <v>0</v>
      </c>
      <c r="T249" s="31" t="str">
        <f>VLOOKUP(A249,Rankings!B:E,3,FALSE)</f>
        <v>AL</v>
      </c>
    </row>
    <row r="250" spans="1:20" ht="18.600000000000001" customHeight="1">
      <c r="A250" s="26" t="s">
        <v>625</v>
      </c>
      <c r="B250" s="27" t="s">
        <v>84</v>
      </c>
      <c r="C250" s="42" t="s">
        <v>34</v>
      </c>
      <c r="D250" s="31">
        <v>61.30777777777778</v>
      </c>
      <c r="E250" s="33">
        <v>4.168841365061529</v>
      </c>
      <c r="F250" s="33">
        <v>1.2725773420084454</v>
      </c>
      <c r="G250" s="31">
        <v>58.866666666666667</v>
      </c>
      <c r="H250" s="31">
        <v>3.0022222222222226</v>
      </c>
      <c r="I250" s="31">
        <v>5.6777777777777771</v>
      </c>
      <c r="J250" s="31">
        <v>28.398044444444441</v>
      </c>
      <c r="K250" s="31">
        <v>55.094444444444441</v>
      </c>
      <c r="L250" s="31">
        <v>22.924444444444447</v>
      </c>
      <c r="M250" s="31">
        <v>7.666666666666667</v>
      </c>
      <c r="N250" s="31">
        <v>62.542222222222222</v>
      </c>
      <c r="O250" s="31">
        <v>0</v>
      </c>
      <c r="P250" s="31">
        <v>3.0022222222222226</v>
      </c>
      <c r="Q250" s="31">
        <v>0</v>
      </c>
      <c r="R250" s="31">
        <v>18</v>
      </c>
      <c r="S250" s="31">
        <v>2</v>
      </c>
      <c r="T250" s="31" t="str">
        <f>VLOOKUP(A250,Rankings!B:E,3,FALSE)</f>
        <v>AL</v>
      </c>
    </row>
    <row r="251" spans="1:20" ht="18.600000000000001" customHeight="1">
      <c r="A251" s="26" t="s">
        <v>744</v>
      </c>
      <c r="B251" s="27" t="s">
        <v>86</v>
      </c>
      <c r="C251" s="42" t="s">
        <v>34</v>
      </c>
      <c r="D251" s="31">
        <v>56.512222222222221</v>
      </c>
      <c r="E251" s="33">
        <v>4.0769941605552393</v>
      </c>
      <c r="F251" s="33">
        <v>1.4079550146477655</v>
      </c>
      <c r="G251" s="31">
        <v>55.233333333333327</v>
      </c>
      <c r="H251" s="31">
        <v>3</v>
      </c>
      <c r="I251" s="31">
        <v>6.5166666666666666</v>
      </c>
      <c r="J251" s="31">
        <v>25.600000000000005</v>
      </c>
      <c r="K251" s="31">
        <v>51.800000000000004</v>
      </c>
      <c r="L251" s="31">
        <v>27.766666666666666</v>
      </c>
      <c r="M251" s="31">
        <v>5.6000000000000005</v>
      </c>
      <c r="N251" s="31">
        <v>56.288888888888891</v>
      </c>
      <c r="O251" s="31">
        <v>0</v>
      </c>
      <c r="P251" s="31">
        <v>3</v>
      </c>
      <c r="Q251" s="31">
        <v>0</v>
      </c>
      <c r="R251" s="31">
        <v>8.6999999999999993</v>
      </c>
      <c r="S251" s="31">
        <v>3.1</v>
      </c>
      <c r="T251" s="31" t="str">
        <f>VLOOKUP(A251,Rankings!B:E,3,FALSE)</f>
        <v>NL</v>
      </c>
    </row>
    <row r="252" spans="1:20" ht="20.100000000000001" customHeight="1">
      <c r="T252" s="31"/>
    </row>
    <row r="253" spans="1:20" ht="20.100000000000001" customHeight="1">
      <c r="T253" s="31"/>
    </row>
    <row r="254" spans="1:20" ht="20.100000000000001" customHeight="1">
      <c r="T254" s="31"/>
    </row>
    <row r="255" spans="1:20" ht="20.100000000000001" customHeight="1">
      <c r="T255" s="31"/>
    </row>
    <row r="256" spans="1:20" ht="20.100000000000001" customHeight="1">
      <c r="T256" s="31"/>
    </row>
    <row r="257" spans="20:20" ht="20.100000000000001" customHeight="1">
      <c r="T257" s="31"/>
    </row>
    <row r="258" spans="20:20" ht="20.100000000000001" customHeight="1">
      <c r="T258" s="31"/>
    </row>
    <row r="259" spans="20:20" ht="20.100000000000001" customHeight="1">
      <c r="T259" s="31"/>
    </row>
    <row r="260" spans="20:20" ht="20.100000000000001" customHeight="1">
      <c r="T260" s="31"/>
    </row>
    <row r="261" spans="20:20" ht="20.100000000000001" customHeight="1">
      <c r="T261" s="31"/>
    </row>
    <row r="262" spans="20:20" ht="20.100000000000001" customHeight="1">
      <c r="T262" s="31"/>
    </row>
    <row r="263" spans="20:20" ht="20.100000000000001" customHeight="1">
      <c r="T263" s="31"/>
    </row>
    <row r="264" spans="20:20" ht="20.100000000000001" customHeight="1">
      <c r="T264" s="31"/>
    </row>
    <row r="265" spans="20:20" ht="20.100000000000001" customHeight="1">
      <c r="T265" s="31"/>
    </row>
    <row r="266" spans="20:20" ht="20.100000000000001" customHeight="1">
      <c r="T266" s="31"/>
    </row>
    <row r="267" spans="20:20" ht="20.100000000000001" customHeight="1">
      <c r="T267" s="31"/>
    </row>
    <row r="268" spans="20:20" ht="20.100000000000001" customHeight="1">
      <c r="T268" s="31"/>
    </row>
    <row r="269" spans="20:20" ht="20.100000000000001" customHeight="1">
      <c r="T269" s="31"/>
    </row>
    <row r="270" spans="20:20" ht="20.100000000000001" customHeight="1">
      <c r="T270" s="31"/>
    </row>
    <row r="271" spans="20:20" ht="20.100000000000001" customHeight="1">
      <c r="T271" s="31"/>
    </row>
    <row r="272" spans="20:20" ht="20.100000000000001" customHeight="1">
      <c r="T272" s="31"/>
    </row>
    <row r="273" spans="20:20" ht="20.100000000000001" customHeight="1">
      <c r="T273" s="31"/>
    </row>
    <row r="274" spans="20:20" ht="20.100000000000001" customHeight="1">
      <c r="T274" s="31"/>
    </row>
    <row r="275" spans="20:20" ht="20.100000000000001" customHeight="1">
      <c r="T275" s="31"/>
    </row>
    <row r="276" spans="20:20" ht="20.100000000000001" customHeight="1">
      <c r="T276" s="31"/>
    </row>
    <row r="277" spans="20:20" ht="20.100000000000001" customHeight="1">
      <c r="T277" s="31"/>
    </row>
    <row r="278" spans="20:20" ht="20.100000000000001" customHeight="1">
      <c r="T278" s="31"/>
    </row>
    <row r="279" spans="20:20" ht="20.100000000000001" customHeight="1">
      <c r="T279" s="31"/>
    </row>
    <row r="280" spans="20:20" ht="20.100000000000001" customHeight="1">
      <c r="T280" s="31"/>
    </row>
    <row r="281" spans="20:20" ht="20.100000000000001" customHeight="1">
      <c r="T281" s="31"/>
    </row>
    <row r="282" spans="20:20" ht="20.100000000000001" customHeight="1">
      <c r="T282" s="31"/>
    </row>
    <row r="283" spans="20:20" ht="20.100000000000001" customHeight="1">
      <c r="T283" s="31"/>
    </row>
    <row r="284" spans="20:20" ht="20.100000000000001" customHeight="1">
      <c r="T284" s="31"/>
    </row>
    <row r="285" spans="20:20" ht="20.100000000000001" customHeight="1">
      <c r="T285" s="31"/>
    </row>
    <row r="286" spans="20:20" ht="20.100000000000001" customHeight="1">
      <c r="T286" s="31"/>
    </row>
    <row r="287" spans="20:20" ht="20.100000000000001" customHeight="1">
      <c r="T287" s="31"/>
    </row>
    <row r="288" spans="20:20" ht="20.100000000000001" customHeight="1">
      <c r="T288" s="31"/>
    </row>
    <row r="289" spans="20:20" ht="20.100000000000001" customHeight="1">
      <c r="T289" s="31"/>
    </row>
    <row r="290" spans="20:20" ht="20.100000000000001" customHeight="1">
      <c r="T290" s="31"/>
    </row>
    <row r="291" spans="20:20" ht="20.100000000000001" customHeight="1">
      <c r="T291" s="31"/>
    </row>
    <row r="292" spans="20:20" ht="20.100000000000001" customHeight="1">
      <c r="T292" s="31"/>
    </row>
    <row r="293" spans="20:20" ht="20.100000000000001" customHeight="1">
      <c r="T293" s="31"/>
    </row>
    <row r="294" spans="20:20" ht="20.100000000000001" customHeight="1">
      <c r="T294" s="31"/>
    </row>
    <row r="295" spans="20:20" ht="20.100000000000001" customHeight="1">
      <c r="T295" s="31"/>
    </row>
    <row r="296" spans="20:20" ht="20.100000000000001" customHeight="1">
      <c r="T296" s="31"/>
    </row>
    <row r="297" spans="20:20" ht="20.100000000000001" customHeight="1">
      <c r="T297" s="31"/>
    </row>
    <row r="298" spans="20:20" ht="20.100000000000001" customHeight="1">
      <c r="T298" s="31"/>
    </row>
    <row r="299" spans="20:20" ht="20.100000000000001" customHeight="1">
      <c r="T299" s="31"/>
    </row>
    <row r="300" spans="20:20" ht="20.100000000000001" customHeight="1">
      <c r="T300" s="31"/>
    </row>
    <row r="301" spans="20:20" ht="20.100000000000001" customHeight="1">
      <c r="T301" s="31"/>
    </row>
    <row r="302" spans="20:20" ht="20.100000000000001" customHeight="1">
      <c r="T302" s="31"/>
    </row>
    <row r="303" spans="20:20" ht="20.100000000000001" customHeight="1">
      <c r="T303" s="31"/>
    </row>
    <row r="304" spans="20:20" ht="20.100000000000001" customHeight="1">
      <c r="T304" s="31"/>
    </row>
    <row r="305" spans="20:20" ht="20.100000000000001" customHeight="1">
      <c r="T305" s="31"/>
    </row>
    <row r="306" spans="20:20" ht="20.100000000000001" customHeight="1">
      <c r="T306" s="31"/>
    </row>
    <row r="307" spans="20:20" ht="20.100000000000001" customHeight="1">
      <c r="T307" s="31"/>
    </row>
    <row r="308" spans="20:20" ht="20.100000000000001" customHeight="1">
      <c r="T308" s="31"/>
    </row>
    <row r="309" spans="20:20" ht="20.100000000000001" customHeight="1">
      <c r="T309" s="31"/>
    </row>
    <row r="310" spans="20:20" ht="20.100000000000001" customHeight="1">
      <c r="T310" s="31"/>
    </row>
    <row r="311" spans="20:20" ht="20.100000000000001" customHeight="1">
      <c r="T311" s="31"/>
    </row>
    <row r="312" spans="20:20" ht="20.100000000000001" customHeight="1">
      <c r="T312" s="31"/>
    </row>
    <row r="313" spans="20:20" ht="20.100000000000001" customHeight="1">
      <c r="T313" s="31"/>
    </row>
    <row r="314" spans="20:20" ht="20.100000000000001" customHeight="1">
      <c r="T314" s="31"/>
    </row>
    <row r="315" spans="20:20" ht="20.100000000000001" customHeight="1">
      <c r="T315" s="31"/>
    </row>
    <row r="316" spans="20:20" ht="20.100000000000001" customHeight="1">
      <c r="T316" s="31"/>
    </row>
    <row r="317" spans="20:20" ht="20.100000000000001" customHeight="1">
      <c r="T317" s="31"/>
    </row>
    <row r="318" spans="20:20" ht="20.100000000000001" customHeight="1">
      <c r="T318" s="31"/>
    </row>
    <row r="319" spans="20:20" ht="20.100000000000001" customHeight="1">
      <c r="T319" s="31"/>
    </row>
    <row r="320" spans="20:20" ht="20.100000000000001" customHeight="1">
      <c r="T320" s="31"/>
    </row>
    <row r="321" spans="20:20" ht="20.100000000000001" customHeight="1">
      <c r="T321" s="31"/>
    </row>
    <row r="322" spans="20:20" ht="20.100000000000001" customHeight="1">
      <c r="T322" s="31"/>
    </row>
    <row r="323" spans="20:20" ht="20.100000000000001" customHeight="1">
      <c r="T323" s="31"/>
    </row>
    <row r="324" spans="20:20" ht="20.100000000000001" customHeight="1">
      <c r="T324" s="31"/>
    </row>
    <row r="325" spans="20:20" ht="20.100000000000001" customHeight="1">
      <c r="T325" s="31"/>
    </row>
    <row r="326" spans="20:20" ht="20.100000000000001" customHeight="1">
      <c r="T326" s="31"/>
    </row>
    <row r="327" spans="20:20" ht="20.100000000000001" customHeight="1">
      <c r="T327" s="31"/>
    </row>
    <row r="328" spans="20:20" ht="20.100000000000001" customHeight="1">
      <c r="T328" s="31"/>
    </row>
    <row r="329" spans="20:20" ht="20.100000000000001" customHeight="1">
      <c r="T329" s="31"/>
    </row>
    <row r="330" spans="20:20" ht="20.100000000000001" customHeight="1">
      <c r="T330" s="31"/>
    </row>
    <row r="331" spans="20:20" ht="20.100000000000001" customHeight="1">
      <c r="T331" s="31"/>
    </row>
    <row r="332" spans="20:20" ht="20.100000000000001" customHeight="1">
      <c r="T332" s="31"/>
    </row>
    <row r="333" spans="20:20" ht="20.100000000000001" customHeight="1">
      <c r="T333" s="31"/>
    </row>
    <row r="334" spans="20:20" ht="20.100000000000001" customHeight="1">
      <c r="T334" s="31"/>
    </row>
    <row r="335" spans="20:20" ht="20.100000000000001" customHeight="1">
      <c r="T335" s="31"/>
    </row>
    <row r="336" spans="20:20" ht="20.100000000000001" customHeight="1">
      <c r="T336" s="31"/>
    </row>
    <row r="337" spans="20:20" ht="20.100000000000001" customHeight="1">
      <c r="T337" s="31"/>
    </row>
    <row r="338" spans="20:20" ht="20.100000000000001" customHeight="1">
      <c r="T338" s="31"/>
    </row>
    <row r="339" spans="20:20" ht="20.100000000000001" customHeight="1">
      <c r="T339" s="31"/>
    </row>
    <row r="340" spans="20:20" ht="20.100000000000001" customHeight="1">
      <c r="T340" s="31"/>
    </row>
    <row r="341" spans="20:20" ht="20.100000000000001" customHeight="1">
      <c r="T341" s="31"/>
    </row>
    <row r="342" spans="20:20" ht="20.100000000000001" customHeight="1">
      <c r="T342" s="31"/>
    </row>
    <row r="343" spans="20:20" ht="20.100000000000001" customHeight="1">
      <c r="T343" s="31"/>
    </row>
    <row r="344" spans="20:20" ht="20.100000000000001" customHeight="1">
      <c r="T344" s="31"/>
    </row>
    <row r="345" spans="20:20" ht="20.100000000000001" customHeight="1">
      <c r="T345" s="31"/>
    </row>
    <row r="346" spans="20:20" ht="20.100000000000001" customHeight="1">
      <c r="T346" s="31"/>
    </row>
    <row r="347" spans="20:20" ht="20.100000000000001" customHeight="1">
      <c r="T347" s="31"/>
    </row>
    <row r="348" spans="20:20" ht="20.100000000000001" customHeight="1">
      <c r="T348" s="31"/>
    </row>
    <row r="349" spans="20:20" ht="20.100000000000001" customHeight="1">
      <c r="T349" s="31"/>
    </row>
    <row r="350" spans="20:20" ht="20.100000000000001" customHeight="1">
      <c r="T350" s="31"/>
    </row>
    <row r="351" spans="20:20" ht="20.100000000000001" customHeight="1">
      <c r="T351" s="31"/>
    </row>
    <row r="352" spans="20:20" ht="20.100000000000001" customHeight="1">
      <c r="T352" s="31"/>
    </row>
    <row r="353" spans="20:20" ht="20.100000000000001" customHeight="1">
      <c r="T353" s="31"/>
    </row>
    <row r="354" spans="20:20" ht="20.100000000000001" customHeight="1">
      <c r="T354" s="31"/>
    </row>
    <row r="355" spans="20:20" ht="20.100000000000001" customHeight="1">
      <c r="T355" s="31"/>
    </row>
    <row r="356" spans="20:20" ht="20.100000000000001" customHeight="1">
      <c r="T356" s="31"/>
    </row>
    <row r="357" spans="20:20" ht="20.100000000000001" customHeight="1">
      <c r="T357" s="31"/>
    </row>
    <row r="358" spans="20:20" ht="20.100000000000001" customHeight="1">
      <c r="T358" s="31"/>
    </row>
    <row r="359" spans="20:20" ht="20.100000000000001" customHeight="1">
      <c r="T359" s="31"/>
    </row>
    <row r="360" spans="20:20" ht="20.100000000000001" customHeight="1">
      <c r="T360" s="31"/>
    </row>
    <row r="361" spans="20:20" ht="20.100000000000001" customHeight="1">
      <c r="T361" s="31"/>
    </row>
    <row r="362" spans="20:20" ht="20.100000000000001" customHeight="1">
      <c r="T362" s="31"/>
    </row>
    <row r="363" spans="20:20" ht="20.100000000000001" customHeight="1">
      <c r="T363" s="31"/>
    </row>
    <row r="364" spans="20:20" ht="20.100000000000001" customHeight="1">
      <c r="T364" s="31"/>
    </row>
    <row r="365" spans="20:20" ht="20.100000000000001" customHeight="1">
      <c r="T365" s="31"/>
    </row>
    <row r="366" spans="20:20" ht="20.100000000000001" customHeight="1">
      <c r="T366" s="31"/>
    </row>
    <row r="367" spans="20:20" ht="20.100000000000001" customHeight="1">
      <c r="T367" s="31"/>
    </row>
    <row r="368" spans="20:20" ht="20.100000000000001" customHeight="1">
      <c r="T368" s="31"/>
    </row>
    <row r="369" spans="20:20" ht="20.100000000000001" customHeight="1">
      <c r="T369" s="31"/>
    </row>
    <row r="370" spans="20:20" ht="20.100000000000001" customHeight="1">
      <c r="T370" s="31"/>
    </row>
    <row r="371" spans="20:20" ht="20.100000000000001" customHeight="1">
      <c r="T371" s="31"/>
    </row>
    <row r="372" spans="20:20" ht="20.100000000000001" customHeight="1">
      <c r="T372" s="31"/>
    </row>
    <row r="373" spans="20:20" ht="20.100000000000001" customHeight="1">
      <c r="T373" s="31"/>
    </row>
    <row r="374" spans="20:20" ht="20.100000000000001" customHeight="1">
      <c r="T374" s="31"/>
    </row>
    <row r="375" spans="20:20" ht="20.100000000000001" customHeight="1">
      <c r="T375" s="31"/>
    </row>
    <row r="376" spans="20:20" ht="20.100000000000001" customHeight="1">
      <c r="T376" s="31"/>
    </row>
    <row r="377" spans="20:20" ht="20.100000000000001" customHeight="1">
      <c r="T377" s="31"/>
    </row>
    <row r="378" spans="20:20" ht="20.100000000000001" customHeight="1">
      <c r="T378" s="31"/>
    </row>
    <row r="379" spans="20:20" ht="20.100000000000001" customHeight="1">
      <c r="T379" s="31"/>
    </row>
    <row r="380" spans="20:20" ht="20.100000000000001" customHeight="1">
      <c r="T380" s="31"/>
    </row>
    <row r="381" spans="20:20" ht="20.100000000000001" customHeight="1">
      <c r="T381" s="31"/>
    </row>
    <row r="382" spans="20:20" ht="20.100000000000001" customHeight="1">
      <c r="T382" s="31"/>
    </row>
    <row r="383" spans="20:20" ht="20.100000000000001" customHeight="1">
      <c r="T383" s="31"/>
    </row>
    <row r="384" spans="20:20" ht="20.100000000000001" customHeight="1">
      <c r="T384" s="31"/>
    </row>
    <row r="385" spans="20:20" ht="20.100000000000001" customHeight="1">
      <c r="T385" s="31"/>
    </row>
    <row r="386" spans="20:20" ht="20.100000000000001" customHeight="1">
      <c r="T386" s="31"/>
    </row>
    <row r="387" spans="20:20" ht="20.100000000000001" customHeight="1">
      <c r="T387" s="31"/>
    </row>
    <row r="388" spans="20:20" ht="20.100000000000001" customHeight="1">
      <c r="T388" s="31"/>
    </row>
    <row r="389" spans="20:20" ht="20.100000000000001" customHeight="1">
      <c r="T389" s="31"/>
    </row>
    <row r="390" spans="20:20" ht="20.100000000000001" customHeight="1">
      <c r="T390" s="31"/>
    </row>
    <row r="391" spans="20:20" ht="20.100000000000001" customHeight="1">
      <c r="T391" s="31"/>
    </row>
    <row r="392" spans="20:20" ht="20.100000000000001" customHeight="1">
      <c r="T392" s="31"/>
    </row>
    <row r="393" spans="20:20" ht="20.100000000000001" customHeight="1">
      <c r="T393" s="31"/>
    </row>
    <row r="394" spans="20:20" ht="20.100000000000001" customHeight="1">
      <c r="T394" s="31"/>
    </row>
    <row r="395" spans="20:20" ht="20.100000000000001" customHeight="1">
      <c r="T395" s="31"/>
    </row>
    <row r="396" spans="20:20" ht="20.100000000000001" customHeight="1">
      <c r="T396" s="31"/>
    </row>
    <row r="397" spans="20:20" ht="20.100000000000001" customHeight="1">
      <c r="T397" s="31"/>
    </row>
    <row r="398" spans="20:20" ht="20.100000000000001" customHeight="1">
      <c r="T398" s="31"/>
    </row>
    <row r="399" spans="20:20" ht="20.100000000000001" customHeight="1">
      <c r="T399" s="31"/>
    </row>
    <row r="400" spans="20:20" ht="20.100000000000001" customHeight="1">
      <c r="T400" s="31"/>
    </row>
    <row r="401" spans="20:20" ht="20.100000000000001" customHeight="1">
      <c r="T401" s="31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401"/>
  <sheetViews>
    <sheetView showGridLines="0" tabSelected="1" workbookViewId="0">
      <selection activeCell="A25" sqref="A25"/>
    </sheetView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5.1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92</v>
      </c>
      <c r="B2" s="27" t="s">
        <v>68</v>
      </c>
      <c r="C2" s="127" t="s">
        <v>31</v>
      </c>
      <c r="D2" s="138">
        <f ca="1">RANK(E2,E$2:E$161)</f>
        <v>1</v>
      </c>
      <c r="E2" s="31">
        <f ca="1">VLOOKUP(A2,Rankings!$B$1:$H$651,6,FALSE)+(RAND()*0.00001)</f>
        <v>575.17528658279309</v>
      </c>
      <c r="F2" s="31">
        <f ca="1">E2-VLOOKUP(Settings!$K$8,D$1:E$161,2,FALSE)</f>
        <v>272.5177851136292</v>
      </c>
      <c r="G2" s="138">
        <f ca="1">RANK(H2,H$2:H$161)</f>
        <v>2</v>
      </c>
      <c r="H2" s="31">
        <f ca="1">VLOOKUP(A2,Rankings!$B$1:$H$651,7,FALSE)+(RAND()*0.00001)</f>
        <v>8.0775630212606639</v>
      </c>
      <c r="I2" s="31">
        <f ca="1">H2-VLOOKUP(Settings!$K$8,G$1:H$161,2,FALSE)</f>
        <v>8.8880639367196004</v>
      </c>
      <c r="J2" s="31" t="str">
        <f>VLOOKUP(A2,Rankings!B:D,3,FALSE)</f>
        <v>AL</v>
      </c>
    </row>
    <row r="3" spans="1:10" ht="18.600000000000001" customHeight="1">
      <c r="A3" s="26" t="s">
        <v>96</v>
      </c>
      <c r="B3" s="27" t="s">
        <v>97</v>
      </c>
      <c r="C3" s="127" t="s">
        <v>31</v>
      </c>
      <c r="D3" s="138">
        <f ca="1">RANK(E3,E$2:E$161)</f>
        <v>2</v>
      </c>
      <c r="E3" s="31">
        <f ca="1">VLOOKUP(A3,Rankings!$B$1:$H$651,6,FALSE)+(RAND()*0.00001)</f>
        <v>544.46333710871374</v>
      </c>
      <c r="F3" s="31">
        <f ca="1">E3-VLOOKUP(Settings!$K$8,D$1:E$161,2,FALSE)</f>
        <v>241.80583563954985</v>
      </c>
      <c r="G3" s="138">
        <f ca="1">RANK(H3,H$2:H$161)</f>
        <v>3</v>
      </c>
      <c r="H3" s="31">
        <f ca="1">VLOOKUP(A3,Rankings!$B$1:$H$651,7,FALSE)+(RAND()*0.00001)</f>
        <v>7.3512625583457334</v>
      </c>
      <c r="I3" s="31">
        <f ca="1">H3-VLOOKUP(Settings!$K$8,G$1:H$161,2,FALSE)</f>
        <v>8.1617634738046689</v>
      </c>
      <c r="J3" s="31" t="str">
        <f>VLOOKUP(A3,Rankings!B:D,3,FALSE)</f>
        <v>NL</v>
      </c>
    </row>
    <row r="4" spans="1:10" ht="18.600000000000001" customHeight="1">
      <c r="A4" s="26" t="s">
        <v>121</v>
      </c>
      <c r="B4" s="27" t="s">
        <v>91</v>
      </c>
      <c r="C4" s="127" t="s">
        <v>31</v>
      </c>
      <c r="D4" s="138">
        <f ca="1">RANK(E4,E$2:E$161)</f>
        <v>3</v>
      </c>
      <c r="E4" s="31">
        <f ca="1">VLOOKUP(A4,Rankings!$B$1:$H$651,6,FALSE)+(RAND()*0.00001)</f>
        <v>530.48389340191659</v>
      </c>
      <c r="F4" s="31">
        <f ca="1">E4-VLOOKUP(Settings!$K$8,D$1:E$161,2,FALSE)</f>
        <v>227.8263919327527</v>
      </c>
      <c r="G4" s="138">
        <f ca="1">RANK(H4,H$2:H$161)</f>
        <v>9</v>
      </c>
      <c r="H4" s="31">
        <f ca="1">VLOOKUP(A4,Rankings!$B$1:$H$651,7,FALSE)+(RAND()*0.00001)</f>
        <v>6.2381090245452517</v>
      </c>
      <c r="I4" s="31">
        <f ca="1">H4-VLOOKUP(Settings!$K$8,G$1:H$161,2,FALSE)</f>
        <v>7.0486099400041873</v>
      </c>
      <c r="J4" s="31" t="str">
        <f>VLOOKUP(A4,Rankings!B:D,3,FALSE)</f>
        <v>NL</v>
      </c>
    </row>
    <row r="5" spans="1:10" ht="18.600000000000001" customHeight="1">
      <c r="A5" s="26" t="s">
        <v>138</v>
      </c>
      <c r="B5" s="27" t="s">
        <v>76</v>
      </c>
      <c r="C5" s="127" t="s">
        <v>31</v>
      </c>
      <c r="D5" s="138">
        <f ca="1">RANK(E5,E$2:E$161)</f>
        <v>4</v>
      </c>
      <c r="E5" s="31">
        <f ca="1">VLOOKUP(A5,Rankings!$B$1:$H$651,6,FALSE)+(RAND()*0.00001)</f>
        <v>508.77333467986267</v>
      </c>
      <c r="F5" s="31">
        <f ca="1">E5-VLOOKUP(Settings!$K$8,D$1:E$161,2,FALSE)</f>
        <v>206.11583321069878</v>
      </c>
      <c r="G5" s="138">
        <f ca="1">RANK(H5,H$2:H$161)</f>
        <v>13</v>
      </c>
      <c r="H5" s="31">
        <f ca="1">VLOOKUP(A5,Rankings!$B$1:$H$651,7,FALSE)+(RAND()*0.00001)</f>
        <v>5.3849028598094595</v>
      </c>
      <c r="I5" s="31">
        <f ca="1">H5-VLOOKUP(Settings!$K$8,G$1:H$161,2,FALSE)</f>
        <v>6.195403775268395</v>
      </c>
      <c r="J5" s="31" t="str">
        <f>VLOOKUP(A5,Rankings!B:D,3,FALSE)</f>
        <v>AL</v>
      </c>
    </row>
    <row r="6" spans="1:10" ht="18.600000000000001" customHeight="1">
      <c r="A6" s="26" t="s">
        <v>133</v>
      </c>
      <c r="B6" s="27" t="s">
        <v>134</v>
      </c>
      <c r="C6" s="127" t="s">
        <v>31</v>
      </c>
      <c r="D6" s="138">
        <f ca="1">RANK(E6,E$2:E$161)</f>
        <v>5</v>
      </c>
      <c r="E6" s="31">
        <f ca="1">VLOOKUP(A6,Rankings!$B$1:$H$651,6,FALSE)+(RAND()*0.00001)</f>
        <v>507.7522377630811</v>
      </c>
      <c r="F6" s="31">
        <f ca="1">E6-VLOOKUP(Settings!$K$8,D$1:E$161,2,FALSE)</f>
        <v>205.09473629391721</v>
      </c>
      <c r="G6" s="138">
        <f ca="1">RANK(H6,H$2:H$161)</f>
        <v>14</v>
      </c>
      <c r="H6" s="31">
        <f ca="1">VLOOKUP(A6,Rankings!$B$1:$H$651,7,FALSE)+(RAND()*0.00001)</f>
        <v>5.0351491210712522</v>
      </c>
      <c r="I6" s="31">
        <f ca="1">H6-VLOOKUP(Settings!$K$8,G$1:H$161,2,FALSE)</f>
        <v>5.8456500365301878</v>
      </c>
      <c r="J6" s="31" t="str">
        <f>VLOOKUP(A6,Rankings!B:D,3,FALSE)</f>
        <v>NL</v>
      </c>
    </row>
    <row r="7" spans="1:10" ht="18.600000000000001" customHeight="1">
      <c r="A7" s="26" t="s">
        <v>152</v>
      </c>
      <c r="B7" s="27" t="s">
        <v>78</v>
      </c>
      <c r="C7" s="127" t="s">
        <v>31</v>
      </c>
      <c r="D7" s="138">
        <f ca="1">RANK(E7,E$2:E$161)</f>
        <v>6</v>
      </c>
      <c r="E7" s="31">
        <f ca="1">VLOOKUP(A7,Rankings!$B$1:$H$651,6,FALSE)+(RAND()*0.00001)</f>
        <v>503.31174319554822</v>
      </c>
      <c r="F7" s="31">
        <f ca="1">E7-VLOOKUP(Settings!$K$8,D$1:E$161,2,FALSE)</f>
        <v>200.65424172638433</v>
      </c>
      <c r="G7" s="138">
        <f ca="1">RANK(H7,H$2:H$161)</f>
        <v>11</v>
      </c>
      <c r="H7" s="31">
        <f ca="1">VLOOKUP(A7,Rankings!$B$1:$H$651,7,FALSE)+(RAND()*0.00001)</f>
        <v>5.7680729617976949</v>
      </c>
      <c r="I7" s="31">
        <f ca="1">H7-VLOOKUP(Settings!$K$8,G$1:H$161,2,FALSE)</f>
        <v>6.5785738772566305</v>
      </c>
      <c r="J7" s="31" t="str">
        <f>VLOOKUP(A7,Rankings!B:D,3,FALSE)</f>
        <v>AL</v>
      </c>
    </row>
    <row r="8" spans="1:10" ht="18.600000000000001" customHeight="1">
      <c r="A8" s="26" t="s">
        <v>111</v>
      </c>
      <c r="B8" s="27" t="s">
        <v>73</v>
      </c>
      <c r="C8" s="127" t="s">
        <v>31</v>
      </c>
      <c r="D8" s="138">
        <f ca="1">RANK(E8,E$2:E$161)</f>
        <v>7</v>
      </c>
      <c r="E8" s="31">
        <f ca="1">VLOOKUP(A8,Rankings!$B$1:$H$651,6,FALSE)+(RAND()*0.00001)</f>
        <v>494.38667295075311</v>
      </c>
      <c r="F8" s="31">
        <f ca="1">E8-VLOOKUP(Settings!$K$8,D$1:E$161,2,FALSE)</f>
        <v>191.72917148158922</v>
      </c>
      <c r="G8" s="138">
        <f ca="1">RANK(H8,H$2:H$161)</f>
        <v>5</v>
      </c>
      <c r="H8" s="31">
        <f ca="1">VLOOKUP(A8,Rankings!$B$1:$H$651,7,FALSE)+(RAND()*0.00001)</f>
        <v>6.8420092696011947</v>
      </c>
      <c r="I8" s="31">
        <f ca="1">H8-VLOOKUP(Settings!$K$8,G$1:H$161,2,FALSE)</f>
        <v>7.6525101850601303</v>
      </c>
      <c r="J8" s="31" t="str">
        <f>VLOOKUP(A8,Rankings!B:D,3,FALSE)</f>
        <v>NL</v>
      </c>
    </row>
    <row r="9" spans="1:10" ht="18.600000000000001" customHeight="1">
      <c r="A9" s="26" t="s">
        <v>110</v>
      </c>
      <c r="B9" s="27" t="s">
        <v>95</v>
      </c>
      <c r="C9" s="127" t="s">
        <v>31</v>
      </c>
      <c r="D9" s="138">
        <f ca="1">RANK(E9,E$2:E$161)</f>
        <v>8</v>
      </c>
      <c r="E9" s="31">
        <f ca="1">VLOOKUP(A9,Rankings!$B$1:$H$651,6,FALSE)+(RAND()*0.00001)</f>
        <v>485.78444545824317</v>
      </c>
      <c r="F9" s="31">
        <f ca="1">E9-VLOOKUP(Settings!$K$8,D$1:E$161,2,FALSE)</f>
        <v>183.12694398907928</v>
      </c>
      <c r="G9" s="138">
        <f ca="1">RANK(H9,H$2:H$161)</f>
        <v>6</v>
      </c>
      <c r="H9" s="31">
        <f ca="1">VLOOKUP(A9,Rankings!$B$1:$H$651,7,FALSE)+(RAND()*0.00001)</f>
        <v>6.4652373704073938</v>
      </c>
      <c r="I9" s="31">
        <f ca="1">H9-VLOOKUP(Settings!$K$8,G$1:H$161,2,FALSE)</f>
        <v>7.2757382858663293</v>
      </c>
      <c r="J9" s="31" t="str">
        <f>VLOOKUP(A9,Rankings!B:D,3,FALSE)</f>
        <v>NL</v>
      </c>
    </row>
    <row r="10" spans="1:10" ht="18.600000000000001" customHeight="1">
      <c r="A10" s="26" t="s">
        <v>163</v>
      </c>
      <c r="B10" s="27" t="s">
        <v>78</v>
      </c>
      <c r="C10" s="127" t="s">
        <v>31</v>
      </c>
      <c r="D10" s="138">
        <f ca="1">RANK(E10,E$2:E$161)</f>
        <v>9</v>
      </c>
      <c r="E10" s="31">
        <f ca="1">VLOOKUP(A10,Rankings!$B$1:$H$651,6,FALSE)+(RAND()*0.00001)</f>
        <v>485.19418162290577</v>
      </c>
      <c r="F10" s="31">
        <f ca="1">E10-VLOOKUP(Settings!$K$8,D$1:E$161,2,FALSE)</f>
        <v>182.53668015374188</v>
      </c>
      <c r="G10" s="138">
        <f ca="1">RANK(H10,H$2:H$161)</f>
        <v>23</v>
      </c>
      <c r="H10" s="31">
        <f ca="1">VLOOKUP(A10,Rankings!$B$1:$H$651,7,FALSE)+(RAND()*0.00001)</f>
        <v>4.0234164785781648</v>
      </c>
      <c r="I10" s="31">
        <f ca="1">H10-VLOOKUP(Settings!$K$8,G$1:H$161,2,FALSE)</f>
        <v>4.8339173940371003</v>
      </c>
      <c r="J10" s="31" t="str">
        <f>VLOOKUP(A10,Rankings!B:D,3,FALSE)</f>
        <v>AL</v>
      </c>
    </row>
    <row r="11" spans="1:10" ht="18.600000000000001" customHeight="1">
      <c r="A11" s="26" t="s">
        <v>107</v>
      </c>
      <c r="B11" s="27" t="s">
        <v>95</v>
      </c>
      <c r="C11" s="127" t="s">
        <v>31</v>
      </c>
      <c r="D11" s="138">
        <f ca="1">RANK(E11,E$2:E$161)</f>
        <v>10</v>
      </c>
      <c r="E11" s="31">
        <f ca="1">VLOOKUP(A11,Rankings!$B$1:$H$651,6,FALSE)+(RAND()*0.00001)</f>
        <v>482.73334078562374</v>
      </c>
      <c r="F11" s="31">
        <f ca="1">E11-VLOOKUP(Settings!$K$8,D$1:E$161,2,FALSE)</f>
        <v>180.07583931645985</v>
      </c>
      <c r="G11" s="138">
        <f ca="1">RANK(H11,H$2:H$161)</f>
        <v>4</v>
      </c>
      <c r="H11" s="31">
        <f ca="1">VLOOKUP(A11,Rankings!$B$1:$H$651,7,FALSE)+(RAND()*0.00001)</f>
        <v>7.0026127165408978</v>
      </c>
      <c r="I11" s="31">
        <f ca="1">H11-VLOOKUP(Settings!$K$8,G$1:H$161,2,FALSE)</f>
        <v>7.8131136319998333</v>
      </c>
      <c r="J11" s="31" t="str">
        <f>VLOOKUP(A11,Rankings!B:D,3,FALSE)</f>
        <v>NL</v>
      </c>
    </row>
    <row r="12" spans="1:10" ht="18.600000000000001" customHeight="1">
      <c r="A12" s="26" t="s">
        <v>151</v>
      </c>
      <c r="B12" s="27" t="s">
        <v>73</v>
      </c>
      <c r="C12" s="127" t="s">
        <v>31</v>
      </c>
      <c r="D12" s="138">
        <f ca="1">RANK(E12,E$2:E$161)</f>
        <v>11</v>
      </c>
      <c r="E12" s="31">
        <f ca="1">VLOOKUP(A12,Rankings!$B$1:$H$651,6,FALSE)+(RAND()*0.00001)</f>
        <v>480.75657383610383</v>
      </c>
      <c r="F12" s="31">
        <f ca="1">E12-VLOOKUP(Settings!$K$8,D$1:E$161,2,FALSE)</f>
        <v>178.09907236693994</v>
      </c>
      <c r="G12" s="138">
        <f ca="1">RANK(H12,H$2:H$161)</f>
        <v>18</v>
      </c>
      <c r="H12" s="31">
        <f ca="1">VLOOKUP(A12,Rankings!$B$1:$H$651,7,FALSE)+(RAND()*0.00001)</f>
        <v>4.6392414748253312</v>
      </c>
      <c r="I12" s="31">
        <f ca="1">H12-VLOOKUP(Settings!$K$8,G$1:H$161,2,FALSE)</f>
        <v>5.4497423902842668</v>
      </c>
      <c r="J12" s="31" t="str">
        <f>VLOOKUP(A12,Rankings!B:D,3,FALSE)</f>
        <v>NL</v>
      </c>
    </row>
    <row r="13" spans="1:10" ht="18.600000000000001" customHeight="1">
      <c r="A13" s="26" t="s">
        <v>115</v>
      </c>
      <c r="B13" s="27" t="s">
        <v>101</v>
      </c>
      <c r="C13" s="127" t="s">
        <v>31</v>
      </c>
      <c r="D13" s="138">
        <f ca="1">RANK(E13,E$2:E$161)</f>
        <v>12</v>
      </c>
      <c r="E13" s="31">
        <f ca="1">VLOOKUP(A13,Rankings!$B$1:$H$651,6,FALSE)+(RAND()*0.00001)</f>
        <v>480.07611504109531</v>
      </c>
      <c r="F13" s="31">
        <f ca="1">E13-VLOOKUP(Settings!$K$8,D$1:E$161,2,FALSE)</f>
        <v>177.41861357193142</v>
      </c>
      <c r="G13" s="138">
        <f ca="1">RANK(H13,H$2:H$161)</f>
        <v>10</v>
      </c>
      <c r="H13" s="31">
        <f ca="1">VLOOKUP(A13,Rankings!$B$1:$H$651,7,FALSE)+(RAND()*0.00001)</f>
        <v>5.9469612630127537</v>
      </c>
      <c r="I13" s="31">
        <f ca="1">H13-VLOOKUP(Settings!$K$8,G$1:H$161,2,FALSE)</f>
        <v>6.7574621784716893</v>
      </c>
      <c r="J13" s="31" t="str">
        <f>VLOOKUP(A13,Rankings!B:D,3,FALSE)</f>
        <v>AL</v>
      </c>
    </row>
    <row r="14" spans="1:10" ht="18.600000000000001" customHeight="1">
      <c r="A14" s="26" t="s">
        <v>169</v>
      </c>
      <c r="B14" s="27" t="s">
        <v>94</v>
      </c>
      <c r="C14" s="127" t="s">
        <v>31</v>
      </c>
      <c r="D14" s="138">
        <f ca="1">RANK(E14,E$2:E$161)</f>
        <v>13</v>
      </c>
      <c r="E14" s="31">
        <f ca="1">VLOOKUP(A14,Rankings!$B$1:$H$651,6,FALSE)+(RAND()*0.00001)</f>
        <v>477.37749687179701</v>
      </c>
      <c r="F14" s="31">
        <f ca="1">E14-VLOOKUP(Settings!$K$8,D$1:E$161,2,FALSE)</f>
        <v>174.71999540263312</v>
      </c>
      <c r="G14" s="138">
        <f ca="1">RANK(H14,H$2:H$161)</f>
        <v>20</v>
      </c>
      <c r="H14" s="31">
        <f ca="1">VLOOKUP(A14,Rankings!$B$1:$H$651,7,FALSE)+(RAND()*0.00001)</f>
        <v>4.3582874574258561</v>
      </c>
      <c r="I14" s="31">
        <f ca="1">H14-VLOOKUP(Settings!$K$8,G$1:H$161,2,FALSE)</f>
        <v>5.1687883728847916</v>
      </c>
      <c r="J14" s="31" t="str">
        <f>VLOOKUP(A14,Rankings!B:D,3,FALSE)</f>
        <v>AL</v>
      </c>
    </row>
    <row r="15" spans="1:10" ht="18.600000000000001" customHeight="1">
      <c r="A15" s="26" t="s">
        <v>177</v>
      </c>
      <c r="B15" s="27" t="s">
        <v>71</v>
      </c>
      <c r="C15" s="127" t="s">
        <v>31</v>
      </c>
      <c r="D15" s="138">
        <f ca="1">RANK(E15,E$2:E$161)</f>
        <v>14</v>
      </c>
      <c r="E15" s="31">
        <f ca="1">VLOOKUP(A15,Rankings!$B$1:$H$651,6,FALSE)+(RAND()*0.00001)</f>
        <v>476.30412934124365</v>
      </c>
      <c r="F15" s="31">
        <f ca="1">E15-VLOOKUP(Settings!$K$8,D$1:E$161,2,FALSE)</f>
        <v>173.64662787207976</v>
      </c>
      <c r="G15" s="138">
        <f ca="1">RANK(H15,H$2:H$161)</f>
        <v>19</v>
      </c>
      <c r="H15" s="31">
        <f ca="1">VLOOKUP(A15,Rankings!$B$1:$H$651,7,FALSE)+(RAND()*0.00001)</f>
        <v>4.4469893571910433</v>
      </c>
      <c r="I15" s="31">
        <f ca="1">H15-VLOOKUP(Settings!$K$8,G$1:H$161,2,FALSE)</f>
        <v>5.2574902726499788</v>
      </c>
      <c r="J15" s="31" t="str">
        <f>VLOOKUP(A15,Rankings!B:D,3,FALSE)</f>
        <v>AL</v>
      </c>
    </row>
    <row r="16" spans="1:10" ht="18.600000000000001" customHeight="1">
      <c r="A16" s="26" t="s">
        <v>144</v>
      </c>
      <c r="B16" s="27" t="s">
        <v>91</v>
      </c>
      <c r="C16" s="127" t="s">
        <v>31</v>
      </c>
      <c r="D16" s="138">
        <f ca="1">RANK(E16,E$2:E$161)</f>
        <v>15</v>
      </c>
      <c r="E16" s="31">
        <f ca="1">VLOOKUP(A16,Rankings!$B$1:$H$651,6,FALSE)+(RAND()*0.00001)</f>
        <v>472.44778403728998</v>
      </c>
      <c r="F16" s="31">
        <f ca="1">E16-VLOOKUP(Settings!$K$8,D$1:E$161,2,FALSE)</f>
        <v>169.79028256812609</v>
      </c>
      <c r="G16" s="138">
        <f ca="1">RANK(H16,H$2:H$161)</f>
        <v>16</v>
      </c>
      <c r="H16" s="31">
        <f ca="1">VLOOKUP(A16,Rankings!$B$1:$H$651,7,FALSE)+(RAND()*0.00001)</f>
        <v>4.8847146990242472</v>
      </c>
      <c r="I16" s="31">
        <f ca="1">H16-VLOOKUP(Settings!$K$8,G$1:H$161,2,FALSE)</f>
        <v>5.6952156144831827</v>
      </c>
      <c r="J16" s="31" t="str">
        <f>VLOOKUP(A16,Rankings!B:D,3,FALSE)</f>
        <v>NL</v>
      </c>
    </row>
    <row r="17" spans="1:10" ht="18.600000000000001" customHeight="1">
      <c r="A17" s="26" t="s">
        <v>745</v>
      </c>
      <c r="B17" s="27" t="s">
        <v>84</v>
      </c>
      <c r="C17" s="127" t="s">
        <v>31</v>
      </c>
      <c r="D17" s="138">
        <f ca="1">RANK(E17,E$2:E$161)</f>
        <v>16</v>
      </c>
      <c r="E17" s="31">
        <f ca="1">VLOOKUP(A17,Rankings!$B$1:$H$651,6,FALSE)+(RAND()*0.00001)</f>
        <v>469.69500514976414</v>
      </c>
      <c r="F17" s="31">
        <f ca="1">E17-VLOOKUP(Settings!$K$8,D$1:E$161,2,FALSE)</f>
        <v>167.03750368060025</v>
      </c>
      <c r="G17" s="138">
        <f ca="1">RANK(H17,H$2:H$161)</f>
        <v>7</v>
      </c>
      <c r="H17" s="31">
        <f ca="1">VLOOKUP(A17,Rankings!$B$1:$H$651,7,FALSE)+(RAND()*0.00001)</f>
        <v>6.3638135151393724</v>
      </c>
      <c r="I17" s="31">
        <f ca="1">H17-VLOOKUP(Settings!$K$8,G$1:H$161,2,FALSE)</f>
        <v>7.174314430598308</v>
      </c>
      <c r="J17" s="31" t="str">
        <f>VLOOKUP(A17,Rankings!B:D,3,FALSE)</f>
        <v>AL</v>
      </c>
    </row>
    <row r="18" spans="1:10" ht="18.600000000000001" customHeight="1">
      <c r="A18" s="26" t="s">
        <v>143</v>
      </c>
      <c r="B18" s="27" t="s">
        <v>63</v>
      </c>
      <c r="C18" s="127" t="s">
        <v>31</v>
      </c>
      <c r="D18" s="138">
        <f ca="1">RANK(E18,E$2:E$161)</f>
        <v>17</v>
      </c>
      <c r="E18" s="31">
        <f ca="1">VLOOKUP(A18,Rankings!$B$1:$H$651,6,FALSE)+(RAND()*0.00001)</f>
        <v>466.80500613249689</v>
      </c>
      <c r="F18" s="31">
        <f ca="1">E18-VLOOKUP(Settings!$K$8,D$1:E$161,2,FALSE)</f>
        <v>164.147504663333</v>
      </c>
      <c r="G18" s="138">
        <f ca="1">RANK(H18,H$2:H$161)</f>
        <v>22</v>
      </c>
      <c r="H18" s="31">
        <f ca="1">VLOOKUP(A18,Rankings!$B$1:$H$651,7,FALSE)+(RAND()*0.00001)</f>
        <v>4.2428364713028488</v>
      </c>
      <c r="I18" s="31">
        <f ca="1">H18-VLOOKUP(Settings!$K$8,G$1:H$161,2,FALSE)</f>
        <v>5.0533373867617843</v>
      </c>
      <c r="J18" s="31" t="str">
        <f>VLOOKUP(A18,Rankings!B:D,3,FALSE)</f>
        <v>NL</v>
      </c>
    </row>
    <row r="19" spans="1:10" ht="18.600000000000001" customHeight="1">
      <c r="A19" s="26" t="s">
        <v>150</v>
      </c>
      <c r="B19" s="27" t="s">
        <v>81</v>
      </c>
      <c r="C19" s="127" t="s">
        <v>31</v>
      </c>
      <c r="D19" s="138">
        <f ca="1">RANK(E19,E$2:E$161)</f>
        <v>18</v>
      </c>
      <c r="E19" s="31">
        <f ca="1">VLOOKUP(A19,Rankings!$B$1:$H$651,6,FALSE)+(RAND()*0.00001)</f>
        <v>465.7370721095557</v>
      </c>
      <c r="F19" s="31">
        <f ca="1">E19-VLOOKUP(Settings!$K$8,D$1:E$161,2,FALSE)</f>
        <v>163.07957064039181</v>
      </c>
      <c r="G19" s="138">
        <f ca="1">RANK(H19,H$2:H$161)</f>
        <v>17</v>
      </c>
      <c r="H19" s="31">
        <f ca="1">VLOOKUP(A19,Rankings!$B$1:$H$651,7,FALSE)+(RAND()*0.00001)</f>
        <v>4.6839497440925513</v>
      </c>
      <c r="I19" s="31">
        <f ca="1">H19-VLOOKUP(Settings!$K$8,G$1:H$161,2,FALSE)</f>
        <v>5.4944506595514868</v>
      </c>
      <c r="J19" s="31" t="str">
        <f>VLOOKUP(A19,Rankings!B:D,3,FALSE)</f>
        <v>NL</v>
      </c>
    </row>
    <row r="20" spans="1:10" ht="18.600000000000001" customHeight="1">
      <c r="A20" s="26" t="s">
        <v>147</v>
      </c>
      <c r="B20" s="27" t="s">
        <v>94</v>
      </c>
      <c r="C20" s="127" t="s">
        <v>31</v>
      </c>
      <c r="D20" s="138">
        <f ca="1">RANK(E20,E$2:E$161)</f>
        <v>19</v>
      </c>
      <c r="E20" s="31">
        <f ca="1">VLOOKUP(A20,Rankings!$B$1:$H$651,6,FALSE)+(RAND()*0.00001)</f>
        <v>465.13945020289941</v>
      </c>
      <c r="F20" s="31">
        <f ca="1">E20-VLOOKUP(Settings!$K$8,D$1:E$161,2,FALSE)</f>
        <v>162.48194873373552</v>
      </c>
      <c r="G20" s="138">
        <f ca="1">RANK(H20,H$2:H$161)</f>
        <v>15</v>
      </c>
      <c r="H20" s="31">
        <f ca="1">VLOOKUP(A20,Rankings!$B$1:$H$651,7,FALSE)+(RAND()*0.00001)</f>
        <v>4.9284725877170219</v>
      </c>
      <c r="I20" s="31">
        <f ca="1">H20-VLOOKUP(Settings!$K$8,G$1:H$161,2,FALSE)</f>
        <v>5.7389735031759574</v>
      </c>
      <c r="J20" s="31" t="str">
        <f>VLOOKUP(A20,Rankings!B:D,3,FALSE)</f>
        <v>AL</v>
      </c>
    </row>
    <row r="21" spans="1:10" ht="18.600000000000001" customHeight="1">
      <c r="A21" s="26" t="s">
        <v>85</v>
      </c>
      <c r="B21" s="27" t="s">
        <v>86</v>
      </c>
      <c r="C21" s="127" t="s">
        <v>31</v>
      </c>
      <c r="D21" s="138">
        <f ca="1">RANK(E21,E$2:E$161)</f>
        <v>20</v>
      </c>
      <c r="E21" s="31">
        <f ca="1">VLOOKUP(A21,Rankings!$B$1:$H$651,6,FALSE)+(RAND()*0.00001)</f>
        <v>464.11361737264298</v>
      </c>
      <c r="F21" s="31">
        <f ca="1">E21-VLOOKUP(Settings!$K$8,D$1:E$161,2,FALSE)</f>
        <v>161.45611590347909</v>
      </c>
      <c r="G21" s="138">
        <f ca="1">RANK(H21,H$2:H$161)</f>
        <v>1</v>
      </c>
      <c r="H21" s="31">
        <f ca="1">VLOOKUP(A21,Rankings!$B$1:$H$651,7,FALSE)+(RAND()*0.00001)</f>
        <v>8.5895584242792538</v>
      </c>
      <c r="I21" s="31">
        <f ca="1">H21-VLOOKUP(Settings!$K$8,G$1:H$161,2,FALSE)</f>
        <v>9.4000593397381902</v>
      </c>
      <c r="J21" s="31" t="str">
        <f>VLOOKUP(A21,Rankings!B:D,3,FALSE)</f>
        <v>AL</v>
      </c>
    </row>
    <row r="22" spans="1:10" ht="18.600000000000001" customHeight="1">
      <c r="A22" s="26" t="s">
        <v>128</v>
      </c>
      <c r="B22" s="27" t="s">
        <v>97</v>
      </c>
      <c r="C22" s="127" t="s">
        <v>31</v>
      </c>
      <c r="D22" s="138">
        <f ca="1">RANK(E22,E$2:E$161)</f>
        <v>21</v>
      </c>
      <c r="E22" s="31">
        <f ca="1">VLOOKUP(A22,Rankings!$B$1:$H$651,6,FALSE)+(RAND()*0.00001)</f>
        <v>461.63083951045121</v>
      </c>
      <c r="F22" s="31">
        <f ca="1">E22-VLOOKUP(Settings!$K$8,D$1:E$161,2,FALSE)</f>
        <v>158.97333804128732</v>
      </c>
      <c r="G22" s="138">
        <f ca="1">RANK(H22,H$2:H$161)</f>
        <v>12</v>
      </c>
      <c r="H22" s="31">
        <f ca="1">VLOOKUP(A22,Rankings!$B$1:$H$651,7,FALSE)+(RAND()*0.00001)</f>
        <v>5.4020166348889287</v>
      </c>
      <c r="I22" s="31">
        <f ca="1">H22-VLOOKUP(Settings!$K$8,G$1:H$161,2,FALSE)</f>
        <v>6.2125175503478642</v>
      </c>
      <c r="J22" s="31" t="str">
        <f>VLOOKUP(A22,Rankings!B:D,3,FALSE)</f>
        <v>NL</v>
      </c>
    </row>
    <row r="23" spans="1:10" ht="18.600000000000001" customHeight="1">
      <c r="A23" s="26" t="s">
        <v>146</v>
      </c>
      <c r="B23" s="27" t="s">
        <v>114</v>
      </c>
      <c r="C23" s="127" t="s">
        <v>31</v>
      </c>
      <c r="D23" s="138">
        <f ca="1">RANK(E23,E$2:E$161)</f>
        <v>22</v>
      </c>
      <c r="E23" s="31">
        <f ca="1">VLOOKUP(A23,Rankings!$B$1:$H$651,6,FALSE)+(RAND()*0.00001)</f>
        <v>460.36972737454118</v>
      </c>
      <c r="F23" s="31">
        <f ca="1">E23-VLOOKUP(Settings!$K$8,D$1:E$161,2,FALSE)</f>
        <v>157.7122259053773</v>
      </c>
      <c r="G23" s="138">
        <f ca="1">RANK(H23,H$2:H$161)</f>
        <v>21</v>
      </c>
      <c r="H23" s="31">
        <f ca="1">VLOOKUP(A23,Rankings!$B$1:$H$651,7,FALSE)+(RAND()*0.00001)</f>
        <v>4.3347359634317248</v>
      </c>
      <c r="I23" s="31">
        <f ca="1">H23-VLOOKUP(Settings!$K$8,G$1:H$161,2,FALSE)</f>
        <v>5.1452368788906604</v>
      </c>
      <c r="J23" s="31" t="str">
        <f>VLOOKUP(A23,Rankings!B:D,3,FALSE)</f>
        <v>AL</v>
      </c>
    </row>
    <row r="24" spans="1:10" ht="18.600000000000001" customHeight="1">
      <c r="A24" s="26" t="s">
        <v>179</v>
      </c>
      <c r="B24" s="27" t="s">
        <v>76</v>
      </c>
      <c r="C24" s="127" t="s">
        <v>31</v>
      </c>
      <c r="D24" s="138">
        <f ca="1">RANK(E24,E$2:E$161)</f>
        <v>23</v>
      </c>
      <c r="E24" s="31">
        <f ca="1">VLOOKUP(A24,Rankings!$B$1:$H$651,6,FALSE)+(RAND()*0.00001)</f>
        <v>459.58667543732042</v>
      </c>
      <c r="F24" s="31">
        <f ca="1">E24-VLOOKUP(Settings!$K$8,D$1:E$161,2,FALSE)</f>
        <v>156.92917396815653</v>
      </c>
      <c r="G24" s="138">
        <f ca="1">RANK(H24,H$2:H$161)</f>
        <v>28</v>
      </c>
      <c r="H24" s="31">
        <f ca="1">VLOOKUP(A24,Rankings!$B$1:$H$651,7,FALSE)+(RAND()*0.00001)</f>
        <v>3.6880226281351418</v>
      </c>
      <c r="I24" s="31">
        <f ca="1">H24-VLOOKUP(Settings!$K$8,G$1:H$161,2,FALSE)</f>
        <v>4.4985235435940778</v>
      </c>
      <c r="J24" s="31" t="str">
        <f>VLOOKUP(A24,Rankings!B:D,3,FALSE)</f>
        <v>AL</v>
      </c>
    </row>
    <row r="25" spans="1:10" ht="18.600000000000001" customHeight="1">
      <c r="A25" s="26" t="s">
        <v>189</v>
      </c>
      <c r="B25" s="27" t="s">
        <v>71</v>
      </c>
      <c r="C25" s="127" t="s">
        <v>31</v>
      </c>
      <c r="D25" s="138">
        <f ca="1">RANK(E25,E$2:E$161)</f>
        <v>24</v>
      </c>
      <c r="E25" s="31">
        <f ca="1">VLOOKUP(A25,Rankings!$B$1:$H$651,6,FALSE)+(RAND()*0.00001)</f>
        <v>451.87000652648743</v>
      </c>
      <c r="F25" s="31">
        <f ca="1">E25-VLOOKUP(Settings!$K$8,D$1:E$161,2,FALSE)</f>
        <v>149.21250505732354</v>
      </c>
      <c r="G25" s="138">
        <f ca="1">RANK(H25,H$2:H$161)</f>
        <v>30</v>
      </c>
      <c r="H25" s="31">
        <f ca="1">VLOOKUP(A25,Rankings!$B$1:$H$651,7,FALSE)+(RAND()*0.00001)</f>
        <v>3.5668405602477256</v>
      </c>
      <c r="I25" s="31">
        <f ca="1">H25-VLOOKUP(Settings!$K$8,G$1:H$161,2,FALSE)</f>
        <v>4.3773414757066611</v>
      </c>
      <c r="J25" s="31" t="str">
        <f>VLOOKUP(A25,Rankings!B:D,3,FALSE)</f>
        <v>AL</v>
      </c>
    </row>
    <row r="26" spans="1:10" ht="18.600000000000001" customHeight="1">
      <c r="A26" s="26" t="s">
        <v>222</v>
      </c>
      <c r="B26" s="27" t="s">
        <v>223</v>
      </c>
      <c r="C26" s="127" t="s">
        <v>31</v>
      </c>
      <c r="D26" s="138">
        <f ca="1">RANK(E26,E$2:E$161)</f>
        <v>25</v>
      </c>
      <c r="E26" s="31">
        <f ca="1">VLOOKUP(A26,Rankings!$B$1:$H$651,6,FALSE)+(RAND()*0.00001)</f>
        <v>441.52173763037774</v>
      </c>
      <c r="F26" s="31">
        <f ca="1">E26-VLOOKUP(Settings!$K$8,D$1:E$161,2,FALSE)</f>
        <v>138.86423616121385</v>
      </c>
      <c r="G26" s="138">
        <f ca="1">RANK(H26,H$2:H$161)</f>
        <v>29</v>
      </c>
      <c r="H26" s="31">
        <f ca="1">VLOOKUP(A26,Rankings!$B$1:$H$651,7,FALSE)+(RAND()*0.00001)</f>
        <v>3.6363322612743452</v>
      </c>
      <c r="I26" s="31">
        <f ca="1">H26-VLOOKUP(Settings!$K$8,G$1:H$161,2,FALSE)</f>
        <v>4.4468331767332812</v>
      </c>
      <c r="J26" s="31" t="str">
        <f>VLOOKUP(A26,Rankings!B:D,3,FALSE)</f>
        <v>NL</v>
      </c>
    </row>
    <row r="27" spans="1:10" ht="18.600000000000001" customHeight="1">
      <c r="A27" s="26" t="s">
        <v>219</v>
      </c>
      <c r="B27" s="27" t="s">
        <v>217</v>
      </c>
      <c r="C27" s="127" t="s">
        <v>31</v>
      </c>
      <c r="D27" s="138">
        <f ca="1">RANK(E27,E$2:E$161)</f>
        <v>26</v>
      </c>
      <c r="E27" s="31">
        <f ca="1">VLOOKUP(A27,Rankings!$B$1:$H$651,6,FALSE)+(RAND()*0.00001)</f>
        <v>439.76347364574031</v>
      </c>
      <c r="F27" s="31">
        <f ca="1">E27-VLOOKUP(Settings!$K$8,D$1:E$161,2,FALSE)</f>
        <v>137.10597217657642</v>
      </c>
      <c r="G27" s="138">
        <f ca="1">RANK(H27,H$2:H$161)</f>
        <v>37</v>
      </c>
      <c r="H27" s="31">
        <f ca="1">VLOOKUP(A27,Rankings!$B$1:$H$651,7,FALSE)+(RAND()*0.00001)</f>
        <v>2.8206679882919854</v>
      </c>
      <c r="I27" s="31">
        <f ca="1">H27-VLOOKUP(Settings!$K$8,G$1:H$161,2,FALSE)</f>
        <v>3.6311689037509209</v>
      </c>
      <c r="J27" s="31" t="str">
        <f>VLOOKUP(A27,Rankings!B:D,3,FALSE)</f>
        <v>NL</v>
      </c>
    </row>
    <row r="28" spans="1:10" ht="18.600000000000001" customHeight="1">
      <c r="A28" s="26" t="s">
        <v>162</v>
      </c>
      <c r="B28" s="27" t="s">
        <v>120</v>
      </c>
      <c r="C28" s="127" t="s">
        <v>31</v>
      </c>
      <c r="D28" s="138">
        <f ca="1">RANK(E28,E$2:E$161)</f>
        <v>27</v>
      </c>
      <c r="E28" s="31">
        <f ca="1">VLOOKUP(A28,Rankings!$B$1:$H$651,6,FALSE)+(RAND()*0.00001)</f>
        <v>438.32889217378658</v>
      </c>
      <c r="F28" s="31">
        <f ca="1">E28-VLOOKUP(Settings!$K$8,D$1:E$161,2,FALSE)</f>
        <v>135.6713907046227</v>
      </c>
      <c r="G28" s="138">
        <f ca="1">RANK(H28,H$2:H$161)</f>
        <v>27</v>
      </c>
      <c r="H28" s="31">
        <f ca="1">VLOOKUP(A28,Rankings!$B$1:$H$651,7,FALSE)+(RAND()*0.00001)</f>
        <v>3.7103601328209548</v>
      </c>
      <c r="I28" s="31">
        <f ca="1">H28-VLOOKUP(Settings!$K$8,G$1:H$161,2,FALSE)</f>
        <v>4.5208610482798903</v>
      </c>
      <c r="J28" s="31" t="str">
        <f>VLOOKUP(A28,Rankings!B:D,3,FALSE)</f>
        <v>NL</v>
      </c>
    </row>
    <row r="29" spans="1:10" ht="18.600000000000001" customHeight="1">
      <c r="A29" s="26" t="s">
        <v>210</v>
      </c>
      <c r="B29" s="27" t="s">
        <v>71</v>
      </c>
      <c r="C29" s="127" t="s">
        <v>31</v>
      </c>
      <c r="D29" s="138">
        <f ca="1">RANK(E29,E$2:E$161)</f>
        <v>28</v>
      </c>
      <c r="E29" s="31">
        <f ca="1">VLOOKUP(A29,Rankings!$B$1:$H$651,6,FALSE)+(RAND()*0.00001)</f>
        <v>431.84156342664193</v>
      </c>
      <c r="F29" s="31">
        <f ca="1">E29-VLOOKUP(Settings!$K$8,D$1:E$161,2,FALSE)</f>
        <v>129.18406195747804</v>
      </c>
      <c r="G29" s="138">
        <f ca="1">RANK(H29,H$2:H$161)</f>
        <v>25</v>
      </c>
      <c r="H29" s="31">
        <f ca="1">VLOOKUP(A29,Rankings!$B$1:$H$651,7,FALSE)+(RAND()*0.00001)</f>
        <v>3.7768898834788214</v>
      </c>
      <c r="I29" s="31">
        <f ca="1">H29-VLOOKUP(Settings!$K$8,G$1:H$161,2,FALSE)</f>
        <v>4.5873907989377569</v>
      </c>
      <c r="J29" s="31" t="str">
        <f>VLOOKUP(A29,Rankings!B:D,3,FALSE)</f>
        <v>AL</v>
      </c>
    </row>
    <row r="30" spans="1:10" ht="18.600000000000001" customHeight="1">
      <c r="A30" s="26" t="s">
        <v>104</v>
      </c>
      <c r="B30" s="27" t="s">
        <v>68</v>
      </c>
      <c r="C30" s="127" t="s">
        <v>31</v>
      </c>
      <c r="D30" s="138">
        <f ca="1">RANK(E30,E$2:E$161)</f>
        <v>29</v>
      </c>
      <c r="E30" s="31">
        <f ca="1">VLOOKUP(A30,Rankings!$B$1:$H$651,6,FALSE)+(RAND()*0.00001)</f>
        <v>430.50845195796956</v>
      </c>
      <c r="F30" s="31">
        <f ca="1">E30-VLOOKUP(Settings!$K$8,D$1:E$161,2,FALSE)</f>
        <v>127.85095048880567</v>
      </c>
      <c r="G30" s="138">
        <f ca="1">RANK(H30,H$2:H$161)</f>
        <v>8</v>
      </c>
      <c r="H30" s="31">
        <f ca="1">VLOOKUP(A30,Rankings!$B$1:$H$651,7,FALSE)+(RAND()*0.00001)</f>
        <v>6.3254862802791418</v>
      </c>
      <c r="I30" s="31">
        <f ca="1">H30-VLOOKUP(Settings!$K$8,G$1:H$161,2,FALSE)</f>
        <v>7.1359871957380774</v>
      </c>
      <c r="J30" s="31" t="str">
        <f>VLOOKUP(A30,Rankings!B:D,3,FALSE)</f>
        <v>AL</v>
      </c>
    </row>
    <row r="31" spans="1:10" ht="18.600000000000001" customHeight="1">
      <c r="A31" s="26" t="s">
        <v>393</v>
      </c>
      <c r="B31" s="27" t="s">
        <v>99</v>
      </c>
      <c r="C31" s="127" t="s">
        <v>31</v>
      </c>
      <c r="D31" s="138">
        <f ca="1">RANK(E31,E$2:E$161)</f>
        <v>30</v>
      </c>
      <c r="E31" s="31">
        <f ca="1">VLOOKUP(A31,Rankings!$B$1:$H$651,6,FALSE)+(RAND()*0.00001)</f>
        <v>421.44389562354854</v>
      </c>
      <c r="F31" s="31">
        <f ca="1">E31-VLOOKUP(Settings!$K$8,D$1:E$161,2,FALSE)</f>
        <v>118.78639415438465</v>
      </c>
      <c r="G31" s="138">
        <f ca="1">RANK(H31,H$2:H$161)</f>
        <v>24</v>
      </c>
      <c r="H31" s="31">
        <f ca="1">VLOOKUP(A31,Rankings!$B$1:$H$651,7,FALSE)+(RAND()*0.00001)</f>
        <v>3.955501127051551</v>
      </c>
      <c r="I31" s="31">
        <f ca="1">H31-VLOOKUP(Settings!$K$8,G$1:H$161,2,FALSE)</f>
        <v>4.766002042510487</v>
      </c>
      <c r="J31" s="31" t="str">
        <f>VLOOKUP(A31,Rankings!B:D,3,FALSE)</f>
        <v>AL</v>
      </c>
    </row>
    <row r="32" spans="1:10" ht="18.600000000000001" customHeight="1">
      <c r="A32" s="26" t="s">
        <v>170</v>
      </c>
      <c r="B32" s="27" t="s">
        <v>68</v>
      </c>
      <c r="C32" s="127" t="s">
        <v>31</v>
      </c>
      <c r="D32" s="138">
        <f ca="1">RANK(E32,E$2:E$161)</f>
        <v>31</v>
      </c>
      <c r="E32" s="31">
        <f ca="1">VLOOKUP(A32,Rankings!$B$1:$H$651,6,FALSE)+(RAND()*0.00001)</f>
        <v>413.51117306230782</v>
      </c>
      <c r="F32" s="31">
        <f ca="1">E32-VLOOKUP(Settings!$K$8,D$1:E$161,2,FALSE)</f>
        <v>110.85367159314393</v>
      </c>
      <c r="G32" s="138">
        <f ca="1">RANK(H32,H$2:H$161)</f>
        <v>32</v>
      </c>
      <c r="H32" s="31">
        <f ca="1">VLOOKUP(A32,Rankings!$B$1:$H$651,7,FALSE)+(RAND()*0.00001)</f>
        <v>3.261308313835654</v>
      </c>
      <c r="I32" s="31">
        <f ca="1">H32-VLOOKUP(Settings!$K$8,G$1:H$161,2,FALSE)</f>
        <v>4.0718092292945895</v>
      </c>
      <c r="J32" s="31" t="str">
        <f>VLOOKUP(A32,Rankings!B:D,3,FALSE)</f>
        <v>AL</v>
      </c>
    </row>
    <row r="33" spans="1:10" ht="18.600000000000001" customHeight="1">
      <c r="A33" s="26" t="s">
        <v>277</v>
      </c>
      <c r="B33" s="27" t="s">
        <v>114</v>
      </c>
      <c r="C33" s="127" t="s">
        <v>31</v>
      </c>
      <c r="D33" s="138">
        <f ca="1">RANK(E33,E$2:E$161)</f>
        <v>32</v>
      </c>
      <c r="E33" s="31">
        <f ca="1">VLOOKUP(A33,Rankings!$B$1:$H$651,6,FALSE)+(RAND()*0.00001)</f>
        <v>412.66889724943468</v>
      </c>
      <c r="F33" s="31">
        <f ca="1">E33-VLOOKUP(Settings!$K$8,D$1:E$161,2,FALSE)</f>
        <v>110.01139578027079</v>
      </c>
      <c r="G33" s="138">
        <f ca="1">RANK(H33,H$2:H$161)</f>
        <v>42</v>
      </c>
      <c r="H33" s="31">
        <f ca="1">VLOOKUP(A33,Rankings!$B$1:$H$651,7,FALSE)+(RAND()*0.00001)</f>
        <v>2.407211889442622</v>
      </c>
      <c r="I33" s="31">
        <f ca="1">H33-VLOOKUP(Settings!$K$8,G$1:H$161,2,FALSE)</f>
        <v>3.2177128049015575</v>
      </c>
      <c r="J33" s="31" t="str">
        <f>VLOOKUP(A33,Rankings!B:D,3,FALSE)</f>
        <v>AL</v>
      </c>
    </row>
    <row r="34" spans="1:10" ht="18.600000000000001" customHeight="1">
      <c r="A34" s="26" t="s">
        <v>225</v>
      </c>
      <c r="B34" s="27" t="s">
        <v>71</v>
      </c>
      <c r="C34" s="127" t="s">
        <v>31</v>
      </c>
      <c r="D34" s="138">
        <f ca="1">RANK(E34,E$2:E$161)</f>
        <v>33</v>
      </c>
      <c r="E34" s="31">
        <f ca="1">VLOOKUP(A34,Rankings!$B$1:$H$651,6,FALSE)+(RAND()*0.00001)</f>
        <v>412.44923139773903</v>
      </c>
      <c r="F34" s="31">
        <f ca="1">E34-VLOOKUP(Settings!$K$8,D$1:E$161,2,FALSE)</f>
        <v>109.79172992857514</v>
      </c>
      <c r="G34" s="138">
        <f ca="1">RANK(H34,H$2:H$161)</f>
        <v>44</v>
      </c>
      <c r="H34" s="31">
        <f ca="1">VLOOKUP(A34,Rankings!$B$1:$H$651,7,FALSE)+(RAND()*0.00001)</f>
        <v>2.2884465628114388</v>
      </c>
      <c r="I34" s="31">
        <f ca="1">H34-VLOOKUP(Settings!$K$8,G$1:H$161,2,FALSE)</f>
        <v>3.0989474782703743</v>
      </c>
      <c r="J34" s="31" t="str">
        <f>VLOOKUP(A34,Rankings!B:D,3,FALSE)</f>
        <v>AL</v>
      </c>
    </row>
    <row r="35" spans="1:10" ht="18.600000000000001" customHeight="1">
      <c r="A35" s="26" t="s">
        <v>207</v>
      </c>
      <c r="B35" s="27" t="s">
        <v>94</v>
      </c>
      <c r="C35" s="127" t="s">
        <v>31</v>
      </c>
      <c r="D35" s="138">
        <f ca="1">RANK(E35,E$2:E$161)</f>
        <v>34</v>
      </c>
      <c r="E35" s="31">
        <f ca="1">VLOOKUP(A35,Rankings!$B$1:$H$651,6,FALSE)+(RAND()*0.00001)</f>
        <v>412.2959671842404</v>
      </c>
      <c r="F35" s="31">
        <f ca="1">E35-VLOOKUP(Settings!$K$8,D$1:E$161,2,FALSE)</f>
        <v>109.63846571507651</v>
      </c>
      <c r="G35" s="138">
        <f ca="1">RANK(H35,H$2:H$161)</f>
        <v>43</v>
      </c>
      <c r="H35" s="31">
        <f ca="1">VLOOKUP(A35,Rankings!$B$1:$H$651,7,FALSE)+(RAND()*0.00001)</f>
        <v>2.377654678036015</v>
      </c>
      <c r="I35" s="31">
        <f ca="1">H35-VLOOKUP(Settings!$K$8,G$1:H$161,2,FALSE)</f>
        <v>3.188155593494951</v>
      </c>
      <c r="J35" s="31" t="str">
        <f>VLOOKUP(A35,Rankings!B:D,3,FALSE)</f>
        <v>AL</v>
      </c>
    </row>
    <row r="36" spans="1:10" ht="18.600000000000001" customHeight="1">
      <c r="A36" s="26" t="s">
        <v>171</v>
      </c>
      <c r="B36" s="27" t="s">
        <v>63</v>
      </c>
      <c r="C36" s="127" t="s">
        <v>31</v>
      </c>
      <c r="D36" s="138">
        <f ca="1">RANK(E36,E$2:E$161)</f>
        <v>35</v>
      </c>
      <c r="E36" s="31">
        <f ca="1">VLOOKUP(A36,Rankings!$B$1:$H$651,6,FALSE)+(RAND()*0.00001)</f>
        <v>411.52084219925894</v>
      </c>
      <c r="F36" s="31">
        <f ca="1">E36-VLOOKUP(Settings!$K$8,D$1:E$161,2,FALSE)</f>
        <v>108.86334073009505</v>
      </c>
      <c r="G36" s="138">
        <f ca="1">RANK(H36,H$2:H$161)</f>
        <v>31</v>
      </c>
      <c r="H36" s="31">
        <f ca="1">VLOOKUP(A36,Rankings!$B$1:$H$651,7,FALSE)+(RAND()*0.00001)</f>
        <v>3.2878987807971831</v>
      </c>
      <c r="I36" s="31">
        <f ca="1">H36-VLOOKUP(Settings!$K$8,G$1:H$161,2,FALSE)</f>
        <v>4.0983996962561191</v>
      </c>
      <c r="J36" s="31" t="str">
        <f>VLOOKUP(A36,Rankings!B:D,3,FALSE)</f>
        <v>NL</v>
      </c>
    </row>
    <row r="37" spans="1:10" ht="18.600000000000001" customHeight="1">
      <c r="A37" s="26" t="s">
        <v>193</v>
      </c>
      <c r="B37" s="27" t="s">
        <v>101</v>
      </c>
      <c r="C37" s="127" t="s">
        <v>31</v>
      </c>
      <c r="D37" s="138">
        <f ca="1">RANK(E37,E$2:E$161)</f>
        <v>36</v>
      </c>
      <c r="E37" s="31">
        <f ca="1">VLOOKUP(A37,Rankings!$B$1:$H$651,6,FALSE)+(RAND()*0.00001)</f>
        <v>406.80829446407347</v>
      </c>
      <c r="F37" s="31">
        <f ca="1">E37-VLOOKUP(Settings!$K$8,D$1:E$161,2,FALSE)</f>
        <v>104.15079299490958</v>
      </c>
      <c r="G37" s="138">
        <f ca="1">RANK(H37,H$2:H$161)</f>
        <v>33</v>
      </c>
      <c r="H37" s="31">
        <f ca="1">VLOOKUP(A37,Rankings!$B$1:$H$651,7,FALSE)+(RAND()*0.00001)</f>
        <v>3.1989439110894393</v>
      </c>
      <c r="I37" s="31">
        <f ca="1">H37-VLOOKUP(Settings!$K$8,G$1:H$161,2,FALSE)</f>
        <v>4.0094448265483749</v>
      </c>
      <c r="J37" s="31" t="str">
        <f>VLOOKUP(A37,Rankings!B:D,3,FALSE)</f>
        <v>AL</v>
      </c>
    </row>
    <row r="38" spans="1:10" ht="18.600000000000001" customHeight="1">
      <c r="A38" s="26" t="s">
        <v>240</v>
      </c>
      <c r="B38" s="27" t="s">
        <v>73</v>
      </c>
      <c r="C38" s="127" t="s">
        <v>31</v>
      </c>
      <c r="D38" s="138">
        <f ca="1">RANK(E38,E$2:E$161)</f>
        <v>37</v>
      </c>
      <c r="E38" s="31">
        <f ca="1">VLOOKUP(A38,Rankings!$B$1:$H$651,6,FALSE)+(RAND()*0.00001)</f>
        <v>401.6830568028106</v>
      </c>
      <c r="F38" s="31">
        <f ca="1">E38-VLOOKUP(Settings!$K$8,D$1:E$161,2,FALSE)</f>
        <v>99.025555333646707</v>
      </c>
      <c r="G38" s="138">
        <f ca="1">RANK(H38,H$2:H$161)</f>
        <v>45</v>
      </c>
      <c r="H38" s="31">
        <f ca="1">VLOOKUP(A38,Rankings!$B$1:$H$651,7,FALSE)+(RAND()*0.00001)</f>
        <v>2.1840951923259619</v>
      </c>
      <c r="I38" s="31">
        <f ca="1">H38-VLOOKUP(Settings!$K$8,G$1:H$161,2,FALSE)</f>
        <v>2.9945961077848979</v>
      </c>
      <c r="J38" s="31" t="str">
        <f>VLOOKUP(A38,Rankings!B:D,3,FALSE)</f>
        <v>NL</v>
      </c>
    </row>
    <row r="39" spans="1:10" ht="18.600000000000001" customHeight="1">
      <c r="A39" s="26" t="s">
        <v>153</v>
      </c>
      <c r="B39" s="27" t="s">
        <v>68</v>
      </c>
      <c r="C39" s="127" t="s">
        <v>31</v>
      </c>
      <c r="D39" s="138">
        <f ca="1">RANK(E39,E$2:E$161)</f>
        <v>38</v>
      </c>
      <c r="E39" s="31">
        <f ca="1">VLOOKUP(A39,Rankings!$B$1:$H$651,6,FALSE)+(RAND()*0.00001)</f>
        <v>400.52174868064367</v>
      </c>
      <c r="F39" s="31">
        <f ca="1">E39-VLOOKUP(Settings!$K$8,D$1:E$161,2,FALSE)</f>
        <v>97.864247211479778</v>
      </c>
      <c r="G39" s="138">
        <f ca="1">RANK(H39,H$2:H$161)</f>
        <v>35</v>
      </c>
      <c r="H39" s="31">
        <f ca="1">VLOOKUP(A39,Rankings!$B$1:$H$651,7,FALSE)+(RAND()*0.00001)</f>
        <v>2.998471020289204</v>
      </c>
      <c r="I39" s="31">
        <f ca="1">H39-VLOOKUP(Settings!$K$8,G$1:H$161,2,FALSE)</f>
        <v>3.80897193574814</v>
      </c>
      <c r="J39" s="31" t="str">
        <f>VLOOKUP(A39,Rankings!B:D,3,FALSE)</f>
        <v>AL</v>
      </c>
    </row>
    <row r="40" spans="1:10" ht="18.600000000000001" customHeight="1">
      <c r="A40" s="26" t="s">
        <v>201</v>
      </c>
      <c r="B40" s="27" t="s">
        <v>156</v>
      </c>
      <c r="C40" s="127" t="s">
        <v>31</v>
      </c>
      <c r="D40" s="138">
        <f ca="1">RANK(E40,E$2:E$161)</f>
        <v>39</v>
      </c>
      <c r="E40" s="31">
        <f ca="1">VLOOKUP(A40,Rankings!$B$1:$H$651,6,FALSE)+(RAND()*0.00001)</f>
        <v>400.50277778446889</v>
      </c>
      <c r="F40" s="31">
        <f ca="1">E40-VLOOKUP(Settings!$K$8,D$1:E$161,2,FALSE)</f>
        <v>97.845276315305</v>
      </c>
      <c r="G40" s="138">
        <f ca="1">RANK(H40,H$2:H$161)</f>
        <v>34</v>
      </c>
      <c r="H40" s="31">
        <f ca="1">VLOOKUP(A40,Rankings!$B$1:$H$651,7,FALSE)+(RAND()*0.00001)</f>
        <v>3.0510390409119355</v>
      </c>
      <c r="I40" s="31">
        <f ca="1">H40-VLOOKUP(Settings!$K$8,G$1:H$161,2,FALSE)</f>
        <v>3.861539956370871</v>
      </c>
      <c r="J40" s="31" t="str">
        <f>VLOOKUP(A40,Rankings!B:D,3,FALSE)</f>
        <v>AL</v>
      </c>
    </row>
    <row r="41" spans="1:10" ht="18.600000000000001" customHeight="1">
      <c r="A41" s="26" t="s">
        <v>232</v>
      </c>
      <c r="B41" s="27" t="s">
        <v>123</v>
      </c>
      <c r="C41" s="127" t="s">
        <v>31</v>
      </c>
      <c r="D41" s="138">
        <f ca="1">RANK(E41,E$2:E$161)</f>
        <v>40</v>
      </c>
      <c r="E41" s="31">
        <f ca="1">VLOOKUP(A41,Rankings!$B$1:$H$651,6,FALSE)+(RAND()*0.00001)</f>
        <v>399.81513788378805</v>
      </c>
      <c r="F41" s="31">
        <f ca="1">E41-VLOOKUP(Settings!$K$8,D$1:E$161,2,FALSE)</f>
        <v>97.157636414624164</v>
      </c>
      <c r="G41" s="138">
        <f ca="1">RANK(H41,H$2:H$161)</f>
        <v>47</v>
      </c>
      <c r="H41" s="31">
        <f ca="1">VLOOKUP(A41,Rankings!$B$1:$H$651,7,FALSE)+(RAND()*0.00001)</f>
        <v>2.0175987164369245</v>
      </c>
      <c r="I41" s="31">
        <f ca="1">H41-VLOOKUP(Settings!$K$8,G$1:H$161,2,FALSE)</f>
        <v>2.82809963189586</v>
      </c>
      <c r="J41" s="31" t="str">
        <f>VLOOKUP(A41,Rankings!B:D,3,FALSE)</f>
        <v>NL</v>
      </c>
    </row>
    <row r="42" spans="1:10" ht="18.600000000000001" customHeight="1">
      <c r="A42" s="26" t="s">
        <v>261</v>
      </c>
      <c r="B42" s="27" t="s">
        <v>123</v>
      </c>
      <c r="C42" s="127" t="s">
        <v>31</v>
      </c>
      <c r="D42" s="138">
        <f ca="1">RANK(E42,E$2:E$161)</f>
        <v>41</v>
      </c>
      <c r="E42" s="31">
        <f ca="1">VLOOKUP(A42,Rankings!$B$1:$H$651,6,FALSE)+(RAND()*0.00001)</f>
        <v>398.02587011578822</v>
      </c>
      <c r="F42" s="31">
        <f ca="1">E42-VLOOKUP(Settings!$K$8,D$1:E$161,2,FALSE)</f>
        <v>95.368368646624333</v>
      </c>
      <c r="G42" s="138">
        <f ca="1">RANK(H42,H$2:H$161)</f>
        <v>59</v>
      </c>
      <c r="H42" s="31">
        <f ca="1">VLOOKUP(A42,Rankings!$B$1:$H$651,7,FALSE)+(RAND()*0.00001)</f>
        <v>1.1344328309992189</v>
      </c>
      <c r="I42" s="31">
        <f ca="1">H42-VLOOKUP(Settings!$K$8,G$1:H$161,2,FALSE)</f>
        <v>1.9449337464581546</v>
      </c>
      <c r="J42" s="31" t="str">
        <f>VLOOKUP(A42,Rankings!B:D,3,FALSE)</f>
        <v>NL</v>
      </c>
    </row>
    <row r="43" spans="1:10" ht="18.600000000000001" customHeight="1">
      <c r="A43" s="26" t="s">
        <v>236</v>
      </c>
      <c r="B43" s="27" t="s">
        <v>73</v>
      </c>
      <c r="C43" s="127" t="s">
        <v>31</v>
      </c>
      <c r="D43" s="138">
        <f ca="1">RANK(E43,E$2:E$161)</f>
        <v>42</v>
      </c>
      <c r="E43" s="31">
        <f ca="1">VLOOKUP(A43,Rankings!$B$1:$H$651,6,FALSE)+(RAND()*0.00001)</f>
        <v>397.73540438648291</v>
      </c>
      <c r="F43" s="31">
        <f ca="1">E43-VLOOKUP(Settings!$K$8,D$1:E$161,2,FALSE)</f>
        <v>95.077902917319022</v>
      </c>
      <c r="G43" s="138">
        <f ca="1">RANK(H43,H$2:H$161)</f>
        <v>57</v>
      </c>
      <c r="H43" s="31">
        <f ca="1">VLOOKUP(A43,Rankings!$B$1:$H$651,7,FALSE)+(RAND()*0.00001)</f>
        <v>1.2721615176973409</v>
      </c>
      <c r="I43" s="31">
        <f ca="1">H43-VLOOKUP(Settings!$K$8,G$1:H$161,2,FALSE)</f>
        <v>2.0826624331562766</v>
      </c>
      <c r="J43" s="31" t="str">
        <f>VLOOKUP(A43,Rankings!B:D,3,FALSE)</f>
        <v>NL</v>
      </c>
    </row>
    <row r="44" spans="1:10" ht="18.600000000000001" customHeight="1">
      <c r="A44" s="26" t="s">
        <v>353</v>
      </c>
      <c r="B44" s="27" t="s">
        <v>84</v>
      </c>
      <c r="C44" s="127" t="s">
        <v>31</v>
      </c>
      <c r="D44" s="138">
        <f ca="1">RANK(E44,E$2:E$161)</f>
        <v>43</v>
      </c>
      <c r="E44" s="31">
        <f ca="1">VLOOKUP(A44,Rankings!$B$1:$H$651,6,FALSE)+(RAND()*0.00001)</f>
        <v>392.00004109957683</v>
      </c>
      <c r="F44" s="31">
        <f ca="1">E44-VLOOKUP(Settings!$K$8,D$1:E$161,2,FALSE)</f>
        <v>89.342539630412944</v>
      </c>
      <c r="G44" s="138">
        <f ca="1">RANK(H44,H$2:H$161)</f>
        <v>40</v>
      </c>
      <c r="H44" s="31">
        <f ca="1">VLOOKUP(A44,Rankings!$B$1:$H$651,7,FALSE)+(RAND()*0.00001)</f>
        <v>2.6095501868326796</v>
      </c>
      <c r="I44" s="31">
        <f ca="1">H44-VLOOKUP(Settings!$K$8,G$1:H$161,2,FALSE)</f>
        <v>3.4200511022916151</v>
      </c>
      <c r="J44" s="31" t="str">
        <f>VLOOKUP(A44,Rankings!B:D,3,FALSE)</f>
        <v>AL</v>
      </c>
    </row>
    <row r="45" spans="1:10" ht="18.600000000000001" customHeight="1">
      <c r="A45" s="26" t="s">
        <v>244</v>
      </c>
      <c r="B45" s="27" t="s">
        <v>156</v>
      </c>
      <c r="C45" s="127" t="s">
        <v>31</v>
      </c>
      <c r="D45" s="138">
        <f ca="1">RANK(E45,E$2:E$161)</f>
        <v>44</v>
      </c>
      <c r="E45" s="31">
        <f ca="1">VLOOKUP(A45,Rankings!$B$1:$H$651,6,FALSE)+(RAND()*0.00001)</f>
        <v>391.73947615185347</v>
      </c>
      <c r="F45" s="31">
        <f ca="1">E45-VLOOKUP(Settings!$K$8,D$1:E$161,2,FALSE)</f>
        <v>89.081974682689577</v>
      </c>
      <c r="G45" s="138">
        <f ca="1">RANK(H45,H$2:H$161)</f>
        <v>46</v>
      </c>
      <c r="H45" s="31">
        <f ca="1">VLOOKUP(A45,Rankings!$B$1:$H$651,7,FALSE)+(RAND()*0.00001)</f>
        <v>2.1720901168701903</v>
      </c>
      <c r="I45" s="31">
        <f ca="1">H45-VLOOKUP(Settings!$K$8,G$1:H$161,2,FALSE)</f>
        <v>2.9825910323291263</v>
      </c>
      <c r="J45" s="31" t="str">
        <f>VLOOKUP(A45,Rankings!B:D,3,FALSE)</f>
        <v>AL</v>
      </c>
    </row>
    <row r="46" spans="1:10" ht="18.600000000000001" customHeight="1">
      <c r="A46" s="26" t="s">
        <v>214</v>
      </c>
      <c r="B46" s="27" t="s">
        <v>114</v>
      </c>
      <c r="C46" s="127" t="s">
        <v>31</v>
      </c>
      <c r="D46" s="138">
        <f ca="1">RANK(E46,E$2:E$161)</f>
        <v>45</v>
      </c>
      <c r="E46" s="31">
        <f ca="1">VLOOKUP(A46,Rankings!$B$1:$H$651,6,FALSE)+(RAND()*0.00001)</f>
        <v>390.26389705272192</v>
      </c>
      <c r="F46" s="31">
        <f ca="1">E46-VLOOKUP(Settings!$K$8,D$1:E$161,2,FALSE)</f>
        <v>87.606395583558026</v>
      </c>
      <c r="G46" s="138">
        <f ca="1">RANK(H46,H$2:H$161)</f>
        <v>50</v>
      </c>
      <c r="H46" s="31">
        <f ca="1">VLOOKUP(A46,Rankings!$B$1:$H$651,7,FALSE)+(RAND()*0.00001)</f>
        <v>1.8271629283558115</v>
      </c>
      <c r="I46" s="31">
        <f ca="1">H46-VLOOKUP(Settings!$K$8,G$1:H$161,2,FALSE)</f>
        <v>2.6376638438147473</v>
      </c>
      <c r="J46" s="31" t="str">
        <f>VLOOKUP(A46,Rankings!B:D,3,FALSE)</f>
        <v>AL</v>
      </c>
    </row>
    <row r="47" spans="1:10" ht="18.600000000000001" customHeight="1">
      <c r="A47" s="26" t="s">
        <v>268</v>
      </c>
      <c r="B47" s="27" t="s">
        <v>117</v>
      </c>
      <c r="C47" s="127" t="s">
        <v>31</v>
      </c>
      <c r="D47" s="138">
        <f ca="1">RANK(E47,E$2:E$161)</f>
        <v>46</v>
      </c>
      <c r="E47" s="31">
        <f ca="1">VLOOKUP(A47,Rankings!$B$1:$H$651,6,FALSE)+(RAND()*0.00001)</f>
        <v>389.71927003794121</v>
      </c>
      <c r="F47" s="31">
        <f ca="1">E47-VLOOKUP(Settings!$K$8,D$1:E$161,2,FALSE)</f>
        <v>87.061768568777325</v>
      </c>
      <c r="G47" s="138">
        <f ca="1">RANK(H47,H$2:H$161)</f>
        <v>60</v>
      </c>
      <c r="H47" s="31">
        <f ca="1">VLOOKUP(A47,Rankings!$B$1:$H$651,7,FALSE)+(RAND()*0.00001)</f>
        <v>1.0694056459622392</v>
      </c>
      <c r="I47" s="31">
        <f ca="1">H47-VLOOKUP(Settings!$K$8,G$1:H$161,2,FALSE)</f>
        <v>1.879906561421175</v>
      </c>
      <c r="J47" s="31" t="str">
        <f>VLOOKUP(A47,Rankings!B:D,3,FALSE)</f>
        <v>AL</v>
      </c>
    </row>
    <row r="48" spans="1:10" ht="18.600000000000001" customHeight="1">
      <c r="A48" s="26" t="s">
        <v>231</v>
      </c>
      <c r="B48" s="27" t="s">
        <v>223</v>
      </c>
      <c r="C48" s="127" t="s">
        <v>31</v>
      </c>
      <c r="D48" s="138">
        <f ca="1">RANK(E48,E$2:E$161)</f>
        <v>47</v>
      </c>
      <c r="E48" s="31">
        <f ca="1">VLOOKUP(A48,Rankings!$B$1:$H$651,6,FALSE)+(RAND()*0.00001)</f>
        <v>388.58426934055507</v>
      </c>
      <c r="F48" s="31">
        <f ca="1">E48-VLOOKUP(Settings!$K$8,D$1:E$161,2,FALSE)</f>
        <v>85.926767871391178</v>
      </c>
      <c r="G48" s="138">
        <f ca="1">RANK(H48,H$2:H$161)</f>
        <v>52</v>
      </c>
      <c r="H48" s="31">
        <f ca="1">VLOOKUP(A48,Rankings!$B$1:$H$651,7,FALSE)+(RAND()*0.00001)</f>
        <v>1.5968351804235341</v>
      </c>
      <c r="I48" s="31">
        <f ca="1">H48-VLOOKUP(Settings!$K$8,G$1:H$161,2,FALSE)</f>
        <v>2.4073360958824699</v>
      </c>
      <c r="J48" s="31" t="str">
        <f>VLOOKUP(A48,Rankings!B:D,3,FALSE)</f>
        <v>NL</v>
      </c>
    </row>
    <row r="49" spans="1:10" ht="18.600000000000001" customHeight="1">
      <c r="A49" s="26" t="s">
        <v>282</v>
      </c>
      <c r="B49" s="27" t="s">
        <v>120</v>
      </c>
      <c r="C49" s="127" t="s">
        <v>31</v>
      </c>
      <c r="D49" s="138">
        <f ca="1">RANK(E49,E$2:E$161)</f>
        <v>48</v>
      </c>
      <c r="E49" s="31">
        <f ca="1">VLOOKUP(A49,Rankings!$B$1:$H$651,6,FALSE)+(RAND()*0.00001)</f>
        <v>384.3836698696673</v>
      </c>
      <c r="F49" s="31">
        <f ca="1">E49-VLOOKUP(Settings!$K$8,D$1:E$161,2,FALSE)</f>
        <v>81.726168400503411</v>
      </c>
      <c r="G49" s="138">
        <f ca="1">RANK(H49,H$2:H$161)</f>
        <v>72</v>
      </c>
      <c r="H49" s="31">
        <f ca="1">VLOOKUP(A49,Rankings!$B$1:$H$651,7,FALSE)+(RAND()*0.00001)</f>
        <v>0.10782131859790285</v>
      </c>
      <c r="I49" s="31">
        <f ca="1">H49-VLOOKUP(Settings!$K$8,G$1:H$161,2,FALSE)</f>
        <v>0.91832223405683866</v>
      </c>
      <c r="J49" s="31" t="str">
        <f>VLOOKUP(A49,Rankings!B:D,3,FALSE)</f>
        <v>NL</v>
      </c>
    </row>
    <row r="50" spans="1:10" ht="18.600000000000001" customHeight="1">
      <c r="A50" s="26" t="s">
        <v>154</v>
      </c>
      <c r="B50" s="27" t="s">
        <v>81</v>
      </c>
      <c r="C50" s="127" t="s">
        <v>31</v>
      </c>
      <c r="D50" s="138">
        <f ca="1">RANK(E50,E$2:E$161)</f>
        <v>49</v>
      </c>
      <c r="E50" s="31">
        <f ca="1">VLOOKUP(A50,Rankings!$B$1:$H$651,6,FALSE)+(RAND()*0.00001)</f>
        <v>380.04917431263345</v>
      </c>
      <c r="F50" s="31">
        <f ca="1">E50-VLOOKUP(Settings!$K$8,D$1:E$161,2,FALSE)</f>
        <v>77.391672843469564</v>
      </c>
      <c r="G50" s="138">
        <f ca="1">RANK(H50,H$2:H$161)</f>
        <v>26</v>
      </c>
      <c r="H50" s="31">
        <f ca="1">VLOOKUP(A50,Rankings!$B$1:$H$651,7,FALSE)+(RAND()*0.00001)</f>
        <v>3.7199336523038729</v>
      </c>
      <c r="I50" s="31">
        <f ca="1">H50-VLOOKUP(Settings!$K$8,G$1:H$161,2,FALSE)</f>
        <v>4.5304345677628088</v>
      </c>
      <c r="J50" s="31" t="str">
        <f>VLOOKUP(A50,Rankings!B:D,3,FALSE)</f>
        <v>NL</v>
      </c>
    </row>
    <row r="51" spans="1:10" ht="18.600000000000001" customHeight="1">
      <c r="A51" s="26" t="s">
        <v>296</v>
      </c>
      <c r="B51" s="27" t="s">
        <v>95</v>
      </c>
      <c r="C51" s="127" t="s">
        <v>31</v>
      </c>
      <c r="D51" s="138">
        <f ca="1">RANK(E51,E$2:E$161)</f>
        <v>50</v>
      </c>
      <c r="E51" s="31">
        <f ca="1">VLOOKUP(A51,Rankings!$B$1:$H$651,6,FALSE)+(RAND()*0.00001)</f>
        <v>378.15934188385637</v>
      </c>
      <c r="F51" s="31">
        <f ca="1">E51-VLOOKUP(Settings!$K$8,D$1:E$161,2,FALSE)</f>
        <v>75.501840414692481</v>
      </c>
      <c r="G51" s="138">
        <f ca="1">RANK(H51,H$2:H$161)</f>
        <v>56</v>
      </c>
      <c r="H51" s="31">
        <f ca="1">VLOOKUP(A51,Rankings!$B$1:$H$651,7,FALSE)+(RAND()*0.00001)</f>
        <v>1.3272187771833523</v>
      </c>
      <c r="I51" s="31">
        <f ca="1">H51-VLOOKUP(Settings!$K$8,G$1:H$161,2,FALSE)</f>
        <v>2.1377196926422881</v>
      </c>
      <c r="J51" s="31" t="str">
        <f>VLOOKUP(A51,Rankings!B:D,3,FALSE)</f>
        <v>NL</v>
      </c>
    </row>
    <row r="52" spans="1:10" ht="18.600000000000001" customHeight="1">
      <c r="A52" s="26" t="s">
        <v>750</v>
      </c>
      <c r="B52" s="27" t="s">
        <v>78</v>
      </c>
      <c r="C52" s="127" t="s">
        <v>31</v>
      </c>
      <c r="D52" s="138">
        <f ca="1">RANK(E52,E$2:E$161)</f>
        <v>51</v>
      </c>
      <c r="E52" s="31">
        <f ca="1">VLOOKUP(A52,Rankings!$B$1:$H$651,6,FALSE)+(RAND()*0.00001)</f>
        <v>377.54389700414384</v>
      </c>
      <c r="F52" s="31">
        <f ca="1">E52-VLOOKUP(Settings!$K$8,D$1:E$161,2,FALSE)</f>
        <v>74.886395534979954</v>
      </c>
      <c r="G52" s="138">
        <f ca="1">RANK(H52,H$2:H$161)</f>
        <v>48</v>
      </c>
      <c r="H52" s="31">
        <f ca="1">VLOOKUP(A52,Rankings!$B$1:$H$651,7,FALSE)+(RAND()*0.00001)</f>
        <v>1.9520299636168936</v>
      </c>
      <c r="I52" s="31">
        <f ca="1">H52-VLOOKUP(Settings!$K$8,G$1:H$161,2,FALSE)</f>
        <v>2.7625308790758294</v>
      </c>
      <c r="J52" s="31" t="str">
        <f>VLOOKUP(A52,Rankings!B:D,3,FALSE)</f>
        <v>AL</v>
      </c>
    </row>
    <row r="53" spans="1:10" ht="18.600000000000001" customHeight="1">
      <c r="A53" s="26" t="s">
        <v>224</v>
      </c>
      <c r="B53" s="27" t="s">
        <v>63</v>
      </c>
      <c r="C53" s="127" t="s">
        <v>31</v>
      </c>
      <c r="D53" s="138">
        <f ca="1">RANK(E53,E$2:E$161)</f>
        <v>52</v>
      </c>
      <c r="E53" s="31">
        <f ca="1">VLOOKUP(A53,Rankings!$B$1:$H$651,6,FALSE)+(RAND()*0.00001)</f>
        <v>376.55000596326187</v>
      </c>
      <c r="F53" s="31">
        <f ca="1">E53-VLOOKUP(Settings!$K$8,D$1:E$161,2,FALSE)</f>
        <v>73.892504494097977</v>
      </c>
      <c r="G53" s="138">
        <f ca="1">RANK(H53,H$2:H$161)</f>
        <v>39</v>
      </c>
      <c r="H53" s="31">
        <f ca="1">VLOOKUP(A53,Rankings!$B$1:$H$651,7,FALSE)+(RAND()*0.00001)</f>
        <v>2.6950188686044245</v>
      </c>
      <c r="I53" s="31">
        <f ca="1">H53-VLOOKUP(Settings!$K$8,G$1:H$161,2,FALSE)</f>
        <v>3.5055197840633605</v>
      </c>
      <c r="J53" s="31" t="str">
        <f>VLOOKUP(A53,Rankings!B:D,3,FALSE)</f>
        <v>NL</v>
      </c>
    </row>
    <row r="54" spans="1:10" ht="18.600000000000001" customHeight="1">
      <c r="A54" s="26" t="s">
        <v>336</v>
      </c>
      <c r="B54" s="27" t="s">
        <v>94</v>
      </c>
      <c r="C54" s="127" t="s">
        <v>31</v>
      </c>
      <c r="D54" s="138">
        <f ca="1">RANK(E54,E$2:E$161)</f>
        <v>53</v>
      </c>
      <c r="E54" s="31">
        <f ca="1">VLOOKUP(A54,Rankings!$B$1:$H$651,6,FALSE)+(RAND()*0.00001)</f>
        <v>375.78478420515597</v>
      </c>
      <c r="F54" s="31">
        <f ca="1">E54-VLOOKUP(Settings!$K$8,D$1:E$161,2,FALSE)</f>
        <v>73.127282735992083</v>
      </c>
      <c r="G54" s="138">
        <f ca="1">RANK(H54,H$2:H$161)</f>
        <v>65</v>
      </c>
      <c r="H54" s="31">
        <f ca="1">VLOOKUP(A54,Rankings!$B$1:$H$651,7,FALSE)+(RAND()*0.00001)</f>
        <v>0.6104117167198333</v>
      </c>
      <c r="I54" s="31">
        <f ca="1">H54-VLOOKUP(Settings!$K$8,G$1:H$161,2,FALSE)</f>
        <v>1.4209126321787691</v>
      </c>
      <c r="J54" s="31" t="str">
        <f>VLOOKUP(A54,Rankings!B:D,3,FALSE)</f>
        <v>AL</v>
      </c>
    </row>
    <row r="55" spans="1:10" ht="18.600000000000001" customHeight="1">
      <c r="A55" s="26" t="s">
        <v>278</v>
      </c>
      <c r="B55" s="27" t="s">
        <v>101</v>
      </c>
      <c r="C55" s="127" t="s">
        <v>31</v>
      </c>
      <c r="D55" s="138">
        <f ca="1">RANK(E55,E$2:E$161)</f>
        <v>54</v>
      </c>
      <c r="E55" s="31">
        <f ca="1">VLOOKUP(A55,Rankings!$B$1:$H$651,6,FALSE)+(RAND()*0.00001)</f>
        <v>368.65914233086716</v>
      </c>
      <c r="F55" s="31">
        <f ca="1">E55-VLOOKUP(Settings!$K$8,D$1:E$161,2,FALSE)</f>
        <v>66.001640861703265</v>
      </c>
      <c r="G55" s="138">
        <f ca="1">RANK(H55,H$2:H$161)</f>
        <v>49</v>
      </c>
      <c r="H55" s="31">
        <f ca="1">VLOOKUP(A55,Rankings!$B$1:$H$651,7,FALSE)+(RAND()*0.00001)</f>
        <v>1.8515065366865966</v>
      </c>
      <c r="I55" s="31">
        <f ca="1">H55-VLOOKUP(Settings!$K$8,G$1:H$161,2,FALSE)</f>
        <v>2.6620074521455326</v>
      </c>
      <c r="J55" s="31" t="str">
        <f>VLOOKUP(A55,Rankings!B:D,3,FALSE)</f>
        <v>AL</v>
      </c>
    </row>
    <row r="56" spans="1:10" ht="18.600000000000001" customHeight="1">
      <c r="A56" s="26" t="s">
        <v>281</v>
      </c>
      <c r="B56" s="27" t="s">
        <v>84</v>
      </c>
      <c r="C56" s="127" t="s">
        <v>31</v>
      </c>
      <c r="D56" s="138">
        <f ca="1">RANK(E56,E$2:E$161)</f>
        <v>55</v>
      </c>
      <c r="E56" s="31">
        <f ca="1">VLOOKUP(A56,Rankings!$B$1:$H$651,6,FALSE)+(RAND()*0.00001)</f>
        <v>361.77522782296762</v>
      </c>
      <c r="F56" s="31">
        <f ca="1">E56-VLOOKUP(Settings!$K$8,D$1:E$161,2,FALSE)</f>
        <v>59.117726353803732</v>
      </c>
      <c r="G56" s="138">
        <f ca="1">RANK(H56,H$2:H$161)</f>
        <v>74</v>
      </c>
      <c r="H56" s="31">
        <f ca="1">VLOOKUP(A56,Rankings!$B$1:$H$651,7,FALSE)+(RAND()*0.00001)</f>
        <v>-1.5937663876373187E-2</v>
      </c>
      <c r="I56" s="31">
        <f ca="1">H56-VLOOKUP(Settings!$K$8,G$1:H$161,2,FALSE)</f>
        <v>0.79456325158256258</v>
      </c>
      <c r="J56" s="31" t="str">
        <f>VLOOKUP(A56,Rankings!B:D,3,FALSE)</f>
        <v>AL</v>
      </c>
    </row>
    <row r="57" spans="1:10" ht="18.600000000000001" customHeight="1">
      <c r="A57" s="26" t="s">
        <v>254</v>
      </c>
      <c r="B57" s="27" t="s">
        <v>217</v>
      </c>
      <c r="C57" s="127" t="s">
        <v>31</v>
      </c>
      <c r="D57" s="138">
        <f ca="1">RANK(E57,E$2:E$161)</f>
        <v>56</v>
      </c>
      <c r="E57" s="31">
        <f ca="1">VLOOKUP(A57,Rankings!$B$1:$H$651,6,FALSE)+(RAND()*0.00001)</f>
        <v>361.17130853134438</v>
      </c>
      <c r="F57" s="31">
        <f ca="1">E57-VLOOKUP(Settings!$K$8,D$1:E$161,2,FALSE)</f>
        <v>58.51380706218049</v>
      </c>
      <c r="G57" s="138">
        <f ca="1">RANK(H57,H$2:H$161)</f>
        <v>58</v>
      </c>
      <c r="H57" s="31">
        <f ca="1">VLOOKUP(A57,Rankings!$B$1:$H$651,7,FALSE)+(RAND()*0.00001)</f>
        <v>1.1871378004144588</v>
      </c>
      <c r="I57" s="31">
        <f ca="1">H57-VLOOKUP(Settings!$K$8,G$1:H$161,2,FALSE)</f>
        <v>1.9976387158733946</v>
      </c>
      <c r="J57" s="31" t="str">
        <f>VLOOKUP(A57,Rankings!B:D,3,FALSE)</f>
        <v>NL</v>
      </c>
    </row>
    <row r="58" spans="1:10" ht="18.600000000000001" customHeight="1">
      <c r="A58" s="26" t="s">
        <v>298</v>
      </c>
      <c r="B58" s="27" t="s">
        <v>86</v>
      </c>
      <c r="C58" s="127" t="s">
        <v>31</v>
      </c>
      <c r="D58" s="138">
        <f ca="1">RANK(E58,E$2:E$161)</f>
        <v>57</v>
      </c>
      <c r="E58" s="31">
        <f ca="1">VLOOKUP(A58,Rankings!$B$1:$H$651,6,FALSE)+(RAND()*0.00001)</f>
        <v>360.58334310127839</v>
      </c>
      <c r="F58" s="31">
        <f ca="1">E58-VLOOKUP(Settings!$K$8,D$1:E$161,2,FALSE)</f>
        <v>57.925841632114498</v>
      </c>
      <c r="G58" s="138">
        <f ca="1">RANK(H58,H$2:H$161)</f>
        <v>62</v>
      </c>
      <c r="H58" s="31">
        <f ca="1">VLOOKUP(A58,Rankings!$B$1:$H$651,7,FALSE)+(RAND()*0.00001)</f>
        <v>0.72265572448135629</v>
      </c>
      <c r="I58" s="31">
        <f ca="1">H58-VLOOKUP(Settings!$K$8,G$1:H$161,2,FALSE)</f>
        <v>1.5331566399402921</v>
      </c>
      <c r="J58" s="31" t="str">
        <f>VLOOKUP(A58,Rankings!B:D,3,FALSE)</f>
        <v>AL</v>
      </c>
    </row>
    <row r="59" spans="1:10" ht="18.600000000000001" customHeight="1">
      <c r="A59" s="26" t="s">
        <v>313</v>
      </c>
      <c r="B59" s="27" t="s">
        <v>84</v>
      </c>
      <c r="C59" s="127" t="s">
        <v>31</v>
      </c>
      <c r="D59" s="138">
        <f ca="1">RANK(E59,E$2:E$161)</f>
        <v>58</v>
      </c>
      <c r="E59" s="31">
        <f ca="1">VLOOKUP(A59,Rankings!$B$1:$H$651,6,FALSE)+(RAND()*0.00001)</f>
        <v>358.61000616477719</v>
      </c>
      <c r="F59" s="31">
        <f ca="1">E59-VLOOKUP(Settings!$K$8,D$1:E$161,2,FALSE)</f>
        <v>55.9525046956133</v>
      </c>
      <c r="G59" s="138">
        <f ca="1">RANK(H59,H$2:H$161)</f>
        <v>63</v>
      </c>
      <c r="H59" s="31">
        <f ca="1">VLOOKUP(A59,Rankings!$B$1:$H$651,7,FALSE)+(RAND()*0.00001)</f>
        <v>0.68899272118081523</v>
      </c>
      <c r="I59" s="31">
        <f ca="1">H59-VLOOKUP(Settings!$K$8,G$1:H$161,2,FALSE)</f>
        <v>1.4994936366397509</v>
      </c>
      <c r="J59" s="31" t="str">
        <f>VLOOKUP(A59,Rankings!B:D,3,FALSE)</f>
        <v>AL</v>
      </c>
    </row>
    <row r="60" spans="1:10" ht="18.600000000000001" customHeight="1">
      <c r="A60" s="26" t="s">
        <v>316</v>
      </c>
      <c r="B60" s="27" t="s">
        <v>158</v>
      </c>
      <c r="C60" s="127" t="s">
        <v>31</v>
      </c>
      <c r="D60" s="138">
        <f ca="1">RANK(E60,E$2:E$161)</f>
        <v>59</v>
      </c>
      <c r="E60" s="31">
        <f ca="1">VLOOKUP(A60,Rankings!$B$1:$H$651,6,FALSE)+(RAND()*0.00001)</f>
        <v>352.6767861088486</v>
      </c>
      <c r="F60" s="31">
        <f ca="1">E60-VLOOKUP(Settings!$K$8,D$1:E$161,2,FALSE)</f>
        <v>50.019284639684713</v>
      </c>
      <c r="G60" s="138">
        <f ca="1">RANK(H60,H$2:H$161)</f>
        <v>68</v>
      </c>
      <c r="H60" s="31">
        <f ca="1">VLOOKUP(A60,Rankings!$B$1:$H$651,7,FALSE)+(RAND()*0.00001)</f>
        <v>0.28316867718277466</v>
      </c>
      <c r="I60" s="31">
        <f ca="1">H60-VLOOKUP(Settings!$K$8,G$1:H$161,2,FALSE)</f>
        <v>1.0936695926417104</v>
      </c>
      <c r="J60" s="31" t="str">
        <f>VLOOKUP(A60,Rankings!B:D,3,FALSE)</f>
        <v>NL</v>
      </c>
    </row>
    <row r="61" spans="1:10" ht="18.600000000000001" customHeight="1">
      <c r="A61" s="26" t="s">
        <v>388</v>
      </c>
      <c r="B61" s="27" t="s">
        <v>86</v>
      </c>
      <c r="C61" s="127" t="s">
        <v>31</v>
      </c>
      <c r="D61" s="138">
        <f ca="1">RANK(E61,E$2:E$161)</f>
        <v>60</v>
      </c>
      <c r="E61" s="31">
        <f ca="1">VLOOKUP(A61,Rankings!$B$1:$H$651,6,FALSE)+(RAND()*0.00001)</f>
        <v>348.67547148159048</v>
      </c>
      <c r="F61" s="31">
        <f ca="1">E61-VLOOKUP(Settings!$K$8,D$1:E$161,2,FALSE)</f>
        <v>46.017970012426588</v>
      </c>
      <c r="G61" s="138">
        <f ca="1">RANK(H61,H$2:H$161)</f>
        <v>91</v>
      </c>
      <c r="H61" s="31">
        <f ca="1">VLOOKUP(A61,Rankings!$B$1:$H$651,7,FALSE)+(RAND()*0.00001)</f>
        <v>-0.8336046645507228</v>
      </c>
      <c r="I61" s="31">
        <f ca="1">H61-VLOOKUP(Settings!$K$8,G$1:H$161,2,FALSE)</f>
        <v>-2.3103749091787029E-2</v>
      </c>
      <c r="J61" s="31" t="str">
        <f>VLOOKUP(A61,Rankings!B:D,3,FALSE)</f>
        <v>AL</v>
      </c>
    </row>
    <row r="62" spans="1:10" ht="18.600000000000001" customHeight="1">
      <c r="A62" s="26" t="s">
        <v>345</v>
      </c>
      <c r="B62" s="27" t="s">
        <v>158</v>
      </c>
      <c r="C62" s="127" t="s">
        <v>31</v>
      </c>
      <c r="D62" s="138">
        <f ca="1">RANK(E62,E$2:E$161)</f>
        <v>61</v>
      </c>
      <c r="E62" s="31">
        <f ca="1">VLOOKUP(A62,Rankings!$B$1:$H$651,6,FALSE)+(RAND()*0.00001)</f>
        <v>347.25333381509682</v>
      </c>
      <c r="F62" s="31">
        <f ca="1">E62-VLOOKUP(Settings!$K$8,D$1:E$161,2,FALSE)</f>
        <v>44.595832345932934</v>
      </c>
      <c r="G62" s="138">
        <f ca="1">RANK(H62,H$2:H$161)</f>
        <v>76</v>
      </c>
      <c r="H62" s="31">
        <f ca="1">VLOOKUP(A62,Rankings!$B$1:$H$651,7,FALSE)+(RAND()*0.00001)</f>
        <v>-0.13419137160611366</v>
      </c>
      <c r="I62" s="31">
        <f ca="1">H62-VLOOKUP(Settings!$K$8,G$1:H$161,2,FALSE)</f>
        <v>0.67630954385282216</v>
      </c>
      <c r="J62" s="31" t="str">
        <f>VLOOKUP(A62,Rankings!B:D,3,FALSE)</f>
        <v>NL</v>
      </c>
    </row>
    <row r="63" spans="1:10" ht="18.600000000000001" customHeight="1">
      <c r="A63" s="26" t="s">
        <v>549</v>
      </c>
      <c r="B63" s="27" t="s">
        <v>223</v>
      </c>
      <c r="C63" s="127" t="s">
        <v>31</v>
      </c>
      <c r="D63" s="138">
        <f ca="1">RANK(E63,E$2:E$161)</f>
        <v>62</v>
      </c>
      <c r="E63" s="31">
        <f ca="1">VLOOKUP(A63,Rankings!$B$1:$H$651,6,FALSE)+(RAND()*0.00001)</f>
        <v>346.90611496029919</v>
      </c>
      <c r="F63" s="31">
        <f ca="1">E63-VLOOKUP(Settings!$K$8,D$1:E$161,2,FALSE)</f>
        <v>44.248613491135302</v>
      </c>
      <c r="G63" s="138">
        <f ca="1">RANK(H63,H$2:H$161)</f>
        <v>87</v>
      </c>
      <c r="H63" s="31">
        <f ca="1">VLOOKUP(A63,Rankings!$B$1:$H$651,7,FALSE)+(RAND()*0.00001)</f>
        <v>-0.61449644416647431</v>
      </c>
      <c r="I63" s="31">
        <f ca="1">H63-VLOOKUP(Settings!$K$8,G$1:H$161,2,FALSE)</f>
        <v>0.19600447129246146</v>
      </c>
      <c r="J63" s="31" t="str">
        <f>VLOOKUP(A63,Rankings!B:D,3,FALSE)</f>
        <v>NL</v>
      </c>
    </row>
    <row r="64" spans="1:10" ht="18.600000000000001" customHeight="1">
      <c r="A64" s="26" t="s">
        <v>335</v>
      </c>
      <c r="B64" s="27" t="s">
        <v>78</v>
      </c>
      <c r="C64" s="127" t="s">
        <v>31</v>
      </c>
      <c r="D64" s="138">
        <f ca="1">RANK(E64,E$2:E$161)</f>
        <v>63</v>
      </c>
      <c r="E64" s="31">
        <f ca="1">VLOOKUP(A64,Rankings!$B$1:$H$651,6,FALSE)+(RAND()*0.00001)</f>
        <v>345.78816372889327</v>
      </c>
      <c r="F64" s="31">
        <f ca="1">E64-VLOOKUP(Settings!$K$8,D$1:E$161,2,FALSE)</f>
        <v>43.130662259729377</v>
      </c>
      <c r="G64" s="138">
        <f ca="1">RANK(H64,H$2:H$161)</f>
        <v>73</v>
      </c>
      <c r="H64" s="31">
        <f ca="1">VLOOKUP(A64,Rankings!$B$1:$H$651,7,FALSE)+(RAND()*0.00001)</f>
        <v>5.2622000735011998E-2</v>
      </c>
      <c r="I64" s="31">
        <f ca="1">H64-VLOOKUP(Settings!$K$8,G$1:H$161,2,FALSE)</f>
        <v>0.86312291619394776</v>
      </c>
      <c r="J64" s="31" t="str">
        <f>VLOOKUP(A64,Rankings!B:D,3,FALSE)</f>
        <v>AL</v>
      </c>
    </row>
    <row r="65" spans="1:10" ht="18.600000000000001" customHeight="1">
      <c r="A65" s="26" t="s">
        <v>384</v>
      </c>
      <c r="B65" s="27" t="s">
        <v>91</v>
      </c>
      <c r="C65" s="127" t="s">
        <v>31</v>
      </c>
      <c r="D65" s="138">
        <f ca="1">RANK(E65,E$2:E$161)</f>
        <v>64</v>
      </c>
      <c r="E65" s="31">
        <f ca="1">VLOOKUP(A65,Rankings!$B$1:$H$651,6,FALSE)+(RAND()*0.00001)</f>
        <v>345.71715753224436</v>
      </c>
      <c r="F65" s="31">
        <f ca="1">E65-VLOOKUP(Settings!$K$8,D$1:E$161,2,FALSE)</f>
        <v>43.059656063080467</v>
      </c>
      <c r="G65" s="138">
        <f ca="1">RANK(H65,H$2:H$161)</f>
        <v>77</v>
      </c>
      <c r="H65" s="31">
        <f ca="1">VLOOKUP(A65,Rankings!$B$1:$H$651,7,FALSE)+(RAND()*0.00001)</f>
        <v>-0.2007671239182732</v>
      </c>
      <c r="I65" s="31">
        <f ca="1">H65-VLOOKUP(Settings!$K$8,G$1:H$161,2,FALSE)</f>
        <v>0.60973379154066254</v>
      </c>
      <c r="J65" s="31" t="str">
        <f>VLOOKUP(A65,Rankings!B:D,3,FALSE)</f>
        <v>NL</v>
      </c>
    </row>
    <row r="66" spans="1:10" ht="18.600000000000001" customHeight="1">
      <c r="A66" s="26" t="s">
        <v>343</v>
      </c>
      <c r="B66" s="27" t="s">
        <v>156</v>
      </c>
      <c r="C66" s="127" t="s">
        <v>31</v>
      </c>
      <c r="D66" s="138">
        <f ca="1">RANK(E66,E$2:E$161)</f>
        <v>65</v>
      </c>
      <c r="E66" s="31">
        <f ca="1">VLOOKUP(A66,Rankings!$B$1:$H$651,6,FALSE)+(RAND()*0.00001)</f>
        <v>342.20666933733247</v>
      </c>
      <c r="F66" s="31">
        <f ca="1">E66-VLOOKUP(Settings!$K$8,D$1:E$161,2,FALSE)</f>
        <v>39.549167868168581</v>
      </c>
      <c r="G66" s="138">
        <f ca="1">RANK(H66,H$2:H$161)</f>
        <v>69</v>
      </c>
      <c r="H66" s="31">
        <f ca="1">VLOOKUP(A66,Rankings!$B$1:$H$651,7,FALSE)+(RAND()*0.00001)</f>
        <v>0.23421510985226116</v>
      </c>
      <c r="I66" s="31">
        <f ca="1">H66-VLOOKUP(Settings!$K$8,G$1:H$161,2,FALSE)</f>
        <v>1.0447160253111969</v>
      </c>
      <c r="J66" s="31" t="str">
        <f>VLOOKUP(A66,Rankings!B:D,3,FALSE)</f>
        <v>AL</v>
      </c>
    </row>
    <row r="67" spans="1:10" ht="18.600000000000001" customHeight="1">
      <c r="A67" s="26" t="s">
        <v>748</v>
      </c>
      <c r="B67" s="27" t="s">
        <v>120</v>
      </c>
      <c r="C67" s="127" t="s">
        <v>31</v>
      </c>
      <c r="D67" s="138">
        <f ca="1">RANK(E67,E$2:E$161)</f>
        <v>66</v>
      </c>
      <c r="E67" s="31">
        <f ca="1">VLOOKUP(A67,Rankings!$B$1:$H$651,6,FALSE)+(RAND()*0.00001)</f>
        <v>341.93435807621057</v>
      </c>
      <c r="F67" s="31">
        <f ca="1">E67-VLOOKUP(Settings!$K$8,D$1:E$161,2,FALSE)</f>
        <v>39.276856607046682</v>
      </c>
      <c r="G67" s="138">
        <f ca="1">RANK(H67,H$2:H$161)</f>
        <v>36</v>
      </c>
      <c r="H67" s="31">
        <f ca="1">VLOOKUP(A67,Rankings!$B$1:$H$651,7,FALSE)+(RAND()*0.00001)</f>
        <v>2.8678322744542286</v>
      </c>
      <c r="I67" s="31">
        <f ca="1">H67-VLOOKUP(Settings!$K$8,G$1:H$161,2,FALSE)</f>
        <v>3.6783331899131646</v>
      </c>
      <c r="J67" s="31" t="str">
        <f>VLOOKUP(A67,Rankings!B:D,3,FALSE)</f>
        <v>AL</v>
      </c>
    </row>
    <row r="68" spans="1:10" ht="18.600000000000001" customHeight="1">
      <c r="A68" s="26" t="s">
        <v>435</v>
      </c>
      <c r="B68" s="27" t="s">
        <v>176</v>
      </c>
      <c r="C68" s="127" t="s">
        <v>31</v>
      </c>
      <c r="D68" s="138">
        <f ca="1">RANK(E68,E$2:E$161)</f>
        <v>67</v>
      </c>
      <c r="E68" s="31">
        <f ca="1">VLOOKUP(A68,Rankings!$B$1:$H$651,6,FALSE)+(RAND()*0.00001)</f>
        <v>341.05309451698821</v>
      </c>
      <c r="F68" s="31">
        <f ca="1">E68-VLOOKUP(Settings!$K$8,D$1:E$161,2,FALSE)</f>
        <v>38.39559304782432</v>
      </c>
      <c r="G68" s="138">
        <f ca="1">RANK(H68,H$2:H$161)</f>
        <v>111</v>
      </c>
      <c r="H68" s="31">
        <f ca="1">VLOOKUP(A68,Rankings!$B$1:$H$651,7,FALSE)+(RAND()*0.00001)</f>
        <v>-1.9746932416685392</v>
      </c>
      <c r="I68" s="31">
        <f ca="1">H68-VLOOKUP(Settings!$K$8,G$1:H$161,2,FALSE)</f>
        <v>-1.1641923262096034</v>
      </c>
      <c r="J68" s="31" t="str">
        <f>VLOOKUP(A68,Rankings!B:D,3,FALSE)</f>
        <v>NL</v>
      </c>
    </row>
    <row r="69" spans="1:10" ht="18.600000000000001" customHeight="1">
      <c r="A69" s="26" t="s">
        <v>423</v>
      </c>
      <c r="B69" s="27" t="s">
        <v>76</v>
      </c>
      <c r="C69" s="127" t="s">
        <v>31</v>
      </c>
      <c r="D69" s="138">
        <f ca="1">RANK(E69,E$2:E$161)</f>
        <v>68</v>
      </c>
      <c r="E69" s="31">
        <f ca="1">VLOOKUP(A69,Rankings!$B$1:$H$651,6,FALSE)+(RAND()*0.00001)</f>
        <v>339.96998256831858</v>
      </c>
      <c r="F69" s="31">
        <f ca="1">E69-VLOOKUP(Settings!$K$8,D$1:E$161,2,FALSE)</f>
        <v>37.312481099154695</v>
      </c>
      <c r="G69" s="138">
        <f ca="1">RANK(H69,H$2:H$161)</f>
        <v>94</v>
      </c>
      <c r="H69" s="31">
        <f ca="1">VLOOKUP(A69,Rankings!$B$1:$H$651,7,FALSE)+(RAND()*0.00001)</f>
        <v>-1.0071125031687709</v>
      </c>
      <c r="I69" s="31">
        <f ca="1">H69-VLOOKUP(Settings!$K$8,G$1:H$161,2,FALSE)</f>
        <v>-0.19661158770983511</v>
      </c>
      <c r="J69" s="31" t="str">
        <f>VLOOKUP(A69,Rankings!B:D,3,FALSE)</f>
        <v>AL</v>
      </c>
    </row>
    <row r="70" spans="1:10" ht="18.600000000000001" customHeight="1">
      <c r="A70" s="26" t="s">
        <v>293</v>
      </c>
      <c r="B70" s="27" t="s">
        <v>86</v>
      </c>
      <c r="C70" s="127" t="s">
        <v>31</v>
      </c>
      <c r="D70" s="138">
        <f ca="1">RANK(E70,E$2:E$161)</f>
        <v>69</v>
      </c>
      <c r="E70" s="31">
        <f ca="1">VLOOKUP(A70,Rankings!$B$1:$H$651,6,FALSE)+(RAND()*0.00001)</f>
        <v>339.04411168622545</v>
      </c>
      <c r="F70" s="31">
        <f ca="1">E70-VLOOKUP(Settings!$K$8,D$1:E$161,2,FALSE)</f>
        <v>36.386610217061559</v>
      </c>
      <c r="G70" s="138">
        <f ca="1">RANK(H70,H$2:H$161)</f>
        <v>64</v>
      </c>
      <c r="H70" s="31">
        <f ca="1">VLOOKUP(A70,Rankings!$B$1:$H$651,7,FALSE)+(RAND()*0.00001)</f>
        <v>0.63917039571027334</v>
      </c>
      <c r="I70" s="31">
        <f ca="1">H70-VLOOKUP(Settings!$K$8,G$1:H$161,2,FALSE)</f>
        <v>1.449671311169209</v>
      </c>
      <c r="J70" s="31" t="str">
        <f>VLOOKUP(A70,Rankings!B:D,3,FALSE)</f>
        <v>AL</v>
      </c>
    </row>
    <row r="71" spans="1:10" ht="18.600000000000001" customHeight="1">
      <c r="A71" s="26" t="s">
        <v>230</v>
      </c>
      <c r="B71" s="27" t="s">
        <v>81</v>
      </c>
      <c r="C71" s="127" t="s">
        <v>31</v>
      </c>
      <c r="D71" s="138">
        <f ca="1">RANK(E71,E$2:E$161)</f>
        <v>70</v>
      </c>
      <c r="E71" s="31">
        <f ca="1">VLOOKUP(A71,Rankings!$B$1:$H$651,6,FALSE)+(RAND()*0.00001)</f>
        <v>335.04627288599079</v>
      </c>
      <c r="F71" s="31">
        <f ca="1">E71-VLOOKUP(Settings!$K$8,D$1:E$161,2,FALSE)</f>
        <v>32.388771416826899</v>
      </c>
      <c r="G71" s="138">
        <f ca="1">RANK(H71,H$2:H$161)</f>
        <v>61</v>
      </c>
      <c r="H71" s="31">
        <f ca="1">VLOOKUP(A71,Rankings!$B$1:$H$651,7,FALSE)+(RAND()*0.00001)</f>
        <v>1.030218400771113</v>
      </c>
      <c r="I71" s="31">
        <f ca="1">H71-VLOOKUP(Settings!$K$8,G$1:H$161,2,FALSE)</f>
        <v>1.8407193162300488</v>
      </c>
      <c r="J71" s="31" t="str">
        <f>VLOOKUP(A71,Rankings!B:D,3,FALSE)</f>
        <v>NL</v>
      </c>
    </row>
    <row r="72" spans="1:10" ht="18.600000000000001" customHeight="1">
      <c r="A72" s="26" t="s">
        <v>375</v>
      </c>
      <c r="B72" s="27" t="s">
        <v>217</v>
      </c>
      <c r="C72" s="127" t="s">
        <v>31</v>
      </c>
      <c r="D72" s="138">
        <f ca="1">RANK(E72,E$2:E$161)</f>
        <v>71</v>
      </c>
      <c r="E72" s="31">
        <f ca="1">VLOOKUP(A72,Rankings!$B$1:$H$651,6,FALSE)+(RAND()*0.00001)</f>
        <v>332.28325314164806</v>
      </c>
      <c r="F72" s="31">
        <f ca="1">E72-VLOOKUP(Settings!$K$8,D$1:E$161,2,FALSE)</f>
        <v>29.625751672484171</v>
      </c>
      <c r="G72" s="138">
        <f ca="1">RANK(H72,H$2:H$161)</f>
        <v>82</v>
      </c>
      <c r="H72" s="31">
        <f ca="1">VLOOKUP(A72,Rankings!$B$1:$H$651,7,FALSE)+(RAND()*0.00001)</f>
        <v>-0.42107441327248107</v>
      </c>
      <c r="I72" s="31">
        <f ca="1">H72-VLOOKUP(Settings!$K$8,G$1:H$161,2,FALSE)</f>
        <v>0.38942650218645469</v>
      </c>
      <c r="J72" s="31" t="str">
        <f>VLOOKUP(A72,Rankings!B:D,3,FALSE)</f>
        <v>NL</v>
      </c>
    </row>
    <row r="73" spans="1:10" ht="18.600000000000001" customHeight="1">
      <c r="A73" s="26" t="s">
        <v>253</v>
      </c>
      <c r="B73" s="27" t="s">
        <v>81</v>
      </c>
      <c r="C73" s="127" t="s">
        <v>31</v>
      </c>
      <c r="D73" s="138">
        <f ca="1">RANK(E73,E$2:E$161)</f>
        <v>72</v>
      </c>
      <c r="E73" s="31">
        <f ca="1">VLOOKUP(A73,Rankings!$B$1:$H$651,6,FALSE)+(RAND()*0.00001)</f>
        <v>328.56916764592796</v>
      </c>
      <c r="F73" s="31">
        <f ca="1">E73-VLOOKUP(Settings!$K$8,D$1:E$161,2,FALSE)</f>
        <v>25.911666176764072</v>
      </c>
      <c r="G73" s="138">
        <f ca="1">RANK(H73,H$2:H$161)</f>
        <v>38</v>
      </c>
      <c r="H73" s="31">
        <f ca="1">VLOOKUP(A73,Rankings!$B$1:$H$651,7,FALSE)+(RAND()*0.00001)</f>
        <v>2.7089139024463424</v>
      </c>
      <c r="I73" s="31">
        <f ca="1">H73-VLOOKUP(Settings!$K$8,G$1:H$161,2,FALSE)</f>
        <v>3.519414817905278</v>
      </c>
      <c r="J73" s="31" t="str">
        <f>VLOOKUP(A73,Rankings!B:D,3,FALSE)</f>
        <v>NL</v>
      </c>
    </row>
    <row r="74" spans="1:10" ht="18.600000000000001" customHeight="1">
      <c r="A74" s="26" t="s">
        <v>167</v>
      </c>
      <c r="B74" s="27" t="s">
        <v>101</v>
      </c>
      <c r="C74" s="127" t="s">
        <v>31</v>
      </c>
      <c r="D74" s="138">
        <f ca="1">RANK(E74,E$2:E$161)</f>
        <v>73</v>
      </c>
      <c r="E74" s="31">
        <f ca="1">VLOOKUP(A74,Rankings!$B$1:$H$651,6,FALSE)+(RAND()*0.00001)</f>
        <v>328.17667490109568</v>
      </c>
      <c r="F74" s="31">
        <f ca="1">E74-VLOOKUP(Settings!$K$8,D$1:E$161,2,FALSE)</f>
        <v>25.51917343193179</v>
      </c>
      <c r="G74" s="138">
        <f ca="1">RANK(H74,H$2:H$161)</f>
        <v>41</v>
      </c>
      <c r="H74" s="31">
        <f ca="1">VLOOKUP(A74,Rankings!$B$1:$H$651,7,FALSE)+(RAND()*0.00001)</f>
        <v>2.5528598086148668</v>
      </c>
      <c r="I74" s="31">
        <f ca="1">H74-VLOOKUP(Settings!$K$8,G$1:H$161,2,FALSE)</f>
        <v>3.3633607240738028</v>
      </c>
      <c r="J74" s="31" t="str">
        <f>VLOOKUP(A74,Rankings!B:D,3,FALSE)</f>
        <v>AL</v>
      </c>
    </row>
    <row r="75" spans="1:10" ht="18.600000000000001" customHeight="1">
      <c r="A75" s="26" t="s">
        <v>238</v>
      </c>
      <c r="B75" s="27" t="s">
        <v>103</v>
      </c>
      <c r="C75" s="127" t="s">
        <v>31</v>
      </c>
      <c r="D75" s="138">
        <f ca="1">RANK(E75,E$2:E$161)</f>
        <v>74</v>
      </c>
      <c r="E75" s="31">
        <f ca="1">VLOOKUP(A75,Rankings!$B$1:$H$651,6,FALSE)+(RAND()*0.00001)</f>
        <v>327.50722638202598</v>
      </c>
      <c r="F75" s="31">
        <f ca="1">E75-VLOOKUP(Settings!$K$8,D$1:E$161,2,FALSE)</f>
        <v>24.849724912862087</v>
      </c>
      <c r="G75" s="138">
        <f ca="1">RANK(H75,H$2:H$161)</f>
        <v>51</v>
      </c>
      <c r="H75" s="31">
        <f ca="1">VLOOKUP(A75,Rankings!$B$1:$H$651,7,FALSE)+(RAND()*0.00001)</f>
        <v>1.7942364463910125</v>
      </c>
      <c r="I75" s="31">
        <f ca="1">H75-VLOOKUP(Settings!$K$8,G$1:H$161,2,FALSE)</f>
        <v>2.6047373618499483</v>
      </c>
      <c r="J75" s="31" t="str">
        <f>VLOOKUP(A75,Rankings!B:D,3,FALSE)</f>
        <v>AL</v>
      </c>
    </row>
    <row r="76" spans="1:10" ht="18.600000000000001" customHeight="1">
      <c r="A76" s="26" t="s">
        <v>475</v>
      </c>
      <c r="B76" s="27" t="s">
        <v>103</v>
      </c>
      <c r="C76" s="127" t="s">
        <v>31</v>
      </c>
      <c r="D76" s="138">
        <f ca="1">RANK(E76,E$2:E$161)</f>
        <v>75</v>
      </c>
      <c r="E76" s="31">
        <f ca="1">VLOOKUP(A76,Rankings!$B$1:$H$651,6,FALSE)+(RAND()*0.00001)</f>
        <v>326.96889816381406</v>
      </c>
      <c r="F76" s="31">
        <f ca="1">E76-VLOOKUP(Settings!$K$8,D$1:E$161,2,FALSE)</f>
        <v>24.311396694650171</v>
      </c>
      <c r="G76" s="138">
        <f ca="1">RANK(H76,H$2:H$161)</f>
        <v>110</v>
      </c>
      <c r="H76" s="31">
        <f ca="1">VLOOKUP(A76,Rankings!$B$1:$H$651,7,FALSE)+(RAND()*0.00001)</f>
        <v>-1.9659824760515585</v>
      </c>
      <c r="I76" s="31">
        <f ca="1">H76-VLOOKUP(Settings!$K$8,G$1:H$161,2,FALSE)</f>
        <v>-1.1554815605926227</v>
      </c>
      <c r="J76" s="31" t="str">
        <f>VLOOKUP(A76,Rankings!B:D,3,FALSE)</f>
        <v>AL</v>
      </c>
    </row>
    <row r="77" spans="1:10" ht="18.600000000000001" customHeight="1">
      <c r="A77" s="26" t="s">
        <v>378</v>
      </c>
      <c r="B77" s="27" t="s">
        <v>258</v>
      </c>
      <c r="C77" s="127" t="s">
        <v>31</v>
      </c>
      <c r="D77" s="138">
        <f ca="1">RANK(E77,E$2:E$161)</f>
        <v>76</v>
      </c>
      <c r="E77" s="31">
        <f ca="1">VLOOKUP(A77,Rankings!$B$1:$H$651,6,FALSE)+(RAND()*0.00001)</f>
        <v>324.15479465030143</v>
      </c>
      <c r="F77" s="31">
        <f ca="1">E77-VLOOKUP(Settings!$K$8,D$1:E$161,2,FALSE)</f>
        <v>21.497293181137536</v>
      </c>
      <c r="G77" s="138">
        <f ca="1">RANK(H77,H$2:H$161)</f>
        <v>85</v>
      </c>
      <c r="H77" s="31">
        <f ca="1">VLOOKUP(A77,Rankings!$B$1:$H$651,7,FALSE)+(RAND()*0.00001)</f>
        <v>-0.57005622014785184</v>
      </c>
      <c r="I77" s="31">
        <f ca="1">H77-VLOOKUP(Settings!$K$8,G$1:H$161,2,FALSE)</f>
        <v>0.24044469531108392</v>
      </c>
      <c r="J77" s="31" t="str">
        <f>VLOOKUP(A77,Rankings!B:D,3,FALSE)</f>
        <v>AL</v>
      </c>
    </row>
    <row r="78" spans="1:10" ht="18.600000000000001" customHeight="1">
      <c r="A78" s="26" t="s">
        <v>273</v>
      </c>
      <c r="B78" s="27" t="s">
        <v>86</v>
      </c>
      <c r="C78" s="127" t="s">
        <v>31</v>
      </c>
      <c r="D78" s="138">
        <f ca="1">RANK(E78,E$2:E$161)</f>
        <v>77</v>
      </c>
      <c r="E78" s="31">
        <f ca="1">VLOOKUP(A78,Rankings!$B$1:$H$651,6,FALSE)+(RAND()*0.00001)</f>
        <v>322.71000008672337</v>
      </c>
      <c r="F78" s="31">
        <f ca="1">E78-VLOOKUP(Settings!$K$8,D$1:E$161,2,FALSE)</f>
        <v>20.052498617559479</v>
      </c>
      <c r="G78" s="138">
        <f ca="1">RANK(H78,H$2:H$161)</f>
        <v>55</v>
      </c>
      <c r="H78" s="31">
        <f ca="1">VLOOKUP(A78,Rankings!$B$1:$H$651,7,FALSE)+(RAND()*0.00001)</f>
        <v>1.4134030356448324</v>
      </c>
      <c r="I78" s="31">
        <f ca="1">H78-VLOOKUP(Settings!$K$8,G$1:H$161,2,FALSE)</f>
        <v>2.2239039511037682</v>
      </c>
      <c r="J78" s="31" t="str">
        <f>VLOOKUP(A78,Rankings!B:D,3,FALSE)</f>
        <v>AL</v>
      </c>
    </row>
    <row r="79" spans="1:10" ht="18.600000000000001" customHeight="1">
      <c r="A79" s="26" t="s">
        <v>362</v>
      </c>
      <c r="B79" s="27" t="s">
        <v>91</v>
      </c>
      <c r="C79" s="127" t="s">
        <v>31</v>
      </c>
      <c r="D79" s="138">
        <f ca="1">RANK(E79,E$2:E$161)</f>
        <v>78</v>
      </c>
      <c r="E79" s="31">
        <f ca="1">VLOOKUP(A79,Rankings!$B$1:$H$651,6,FALSE)+(RAND()*0.00001)</f>
        <v>320.89015695151431</v>
      </c>
      <c r="F79" s="31">
        <f ca="1">E79-VLOOKUP(Settings!$K$8,D$1:E$161,2,FALSE)</f>
        <v>18.232655482350424</v>
      </c>
      <c r="G79" s="138">
        <f ca="1">RANK(H79,H$2:H$161)</f>
        <v>97</v>
      </c>
      <c r="H79" s="31">
        <f ca="1">VLOOKUP(A79,Rankings!$B$1:$H$651,7,FALSE)+(RAND()*0.00001)</f>
        <v>-1.1402267475869923</v>
      </c>
      <c r="I79" s="31">
        <f ca="1">H79-VLOOKUP(Settings!$K$8,G$1:H$161,2,FALSE)</f>
        <v>-0.32972583212805651</v>
      </c>
      <c r="J79" s="31" t="str">
        <f>VLOOKUP(A79,Rankings!B:D,3,FALSE)</f>
        <v>NL</v>
      </c>
    </row>
    <row r="80" spans="1:10" ht="18.600000000000001" customHeight="1">
      <c r="A80" s="26" t="s">
        <v>389</v>
      </c>
      <c r="B80" s="27" t="s">
        <v>97</v>
      </c>
      <c r="C80" s="127" t="s">
        <v>31</v>
      </c>
      <c r="D80" s="138">
        <f ca="1">RANK(E80,E$2:E$161)</f>
        <v>79</v>
      </c>
      <c r="E80" s="31">
        <f ca="1">VLOOKUP(A80,Rankings!$B$1:$H$651,6,FALSE)+(RAND()*0.00001)</f>
        <v>320.47505031262563</v>
      </c>
      <c r="F80" s="31">
        <f ca="1">E80-VLOOKUP(Settings!$K$8,D$1:E$161,2,FALSE)</f>
        <v>17.817548843461736</v>
      </c>
      <c r="G80" s="138">
        <f ca="1">RANK(H80,H$2:H$161)</f>
        <v>89</v>
      </c>
      <c r="H80" s="31">
        <f ca="1">VLOOKUP(A80,Rankings!$B$1:$H$651,7,FALSE)+(RAND()*0.00001)</f>
        <v>-0.76244130185886871</v>
      </c>
      <c r="I80" s="31">
        <f ca="1">H80-VLOOKUP(Settings!$K$8,G$1:H$161,2,FALSE)</f>
        <v>4.8059613600067053E-2</v>
      </c>
      <c r="J80" s="31" t="str">
        <f>VLOOKUP(A80,Rankings!B:D,3,FALSE)</f>
        <v>NL</v>
      </c>
    </row>
    <row r="81" spans="1:10" ht="18.600000000000001" customHeight="1">
      <c r="A81" s="26" t="s">
        <v>252</v>
      </c>
      <c r="B81" s="27" t="s">
        <v>97</v>
      </c>
      <c r="C81" s="127" t="s">
        <v>31</v>
      </c>
      <c r="D81" s="138">
        <f ca="1">RANK(E81,E$2:E$161)</f>
        <v>80</v>
      </c>
      <c r="E81" s="31">
        <f ca="1">VLOOKUP(A81,Rankings!$B$1:$H$651,6,FALSE)+(RAND()*0.00001)</f>
        <v>320.11833916861491</v>
      </c>
      <c r="F81" s="31">
        <f ca="1">E81-VLOOKUP(Settings!$K$8,D$1:E$161,2,FALSE)</f>
        <v>17.460837699451019</v>
      </c>
      <c r="G81" s="138">
        <f ca="1">RANK(H81,H$2:H$161)</f>
        <v>53</v>
      </c>
      <c r="H81" s="31">
        <f ca="1">VLOOKUP(A81,Rankings!$B$1:$H$651,7,FALSE)+(RAND()*0.00001)</f>
        <v>1.5241563351165497</v>
      </c>
      <c r="I81" s="31">
        <f ca="1">H81-VLOOKUP(Settings!$K$8,G$1:H$161,2,FALSE)</f>
        <v>2.3346572505754857</v>
      </c>
      <c r="J81" s="31" t="str">
        <f>VLOOKUP(A81,Rankings!B:D,3,FALSE)</f>
        <v>NL</v>
      </c>
    </row>
    <row r="82" spans="1:10" ht="18.600000000000001" customHeight="1">
      <c r="A82" s="26" t="s">
        <v>295</v>
      </c>
      <c r="B82" s="27" t="s">
        <v>156</v>
      </c>
      <c r="C82" s="127" t="s">
        <v>31</v>
      </c>
      <c r="D82" s="138">
        <f ca="1">RANK(E82,E$2:E$161)</f>
        <v>81</v>
      </c>
      <c r="E82" s="31">
        <f ca="1">VLOOKUP(A82,Rankings!$B$1:$H$651,6,FALSE)+(RAND()*0.00001)</f>
        <v>319.11778512686925</v>
      </c>
      <c r="F82" s="31">
        <f ca="1">E82-VLOOKUP(Settings!$K$8,D$1:E$161,2,FALSE)</f>
        <v>16.460283657705361</v>
      </c>
      <c r="G82" s="138">
        <f ca="1">RANK(H82,H$2:H$161)</f>
        <v>66</v>
      </c>
      <c r="H82" s="31">
        <f ca="1">VLOOKUP(A82,Rankings!$B$1:$H$651,7,FALSE)+(RAND()*0.00001)</f>
        <v>0.47196287227390693</v>
      </c>
      <c r="I82" s="31">
        <f ca="1">H82-VLOOKUP(Settings!$K$8,G$1:H$161,2,FALSE)</f>
        <v>1.2824637877328426</v>
      </c>
      <c r="J82" s="31" t="str">
        <f>VLOOKUP(A82,Rankings!B:D,3,FALSE)</f>
        <v>AL</v>
      </c>
    </row>
    <row r="83" spans="1:10" ht="18.600000000000001" customHeight="1">
      <c r="A83" s="26" t="s">
        <v>361</v>
      </c>
      <c r="B83" s="27" t="s">
        <v>95</v>
      </c>
      <c r="C83" s="127" t="s">
        <v>31</v>
      </c>
      <c r="D83" s="138">
        <f ca="1">RANK(E83,E$2:E$161)</f>
        <v>82</v>
      </c>
      <c r="E83" s="31">
        <f ca="1">VLOOKUP(A83,Rankings!$B$1:$H$651,6,FALSE)+(RAND()*0.00001)</f>
        <v>317.76637524431732</v>
      </c>
      <c r="F83" s="31">
        <f ca="1">E83-VLOOKUP(Settings!$K$8,D$1:E$161,2,FALSE)</f>
        <v>15.108873775153427</v>
      </c>
      <c r="G83" s="138">
        <f ca="1">RANK(H83,H$2:H$161)</f>
        <v>79</v>
      </c>
      <c r="H83" s="31">
        <f ca="1">VLOOKUP(A83,Rankings!$B$1:$H$651,7,FALSE)+(RAND()*0.00001)</f>
        <v>-0.39338489178246205</v>
      </c>
      <c r="I83" s="31">
        <f ca="1">H83-VLOOKUP(Settings!$K$8,G$1:H$161,2,FALSE)</f>
        <v>0.41711602367647371</v>
      </c>
      <c r="J83" s="31" t="str">
        <f>VLOOKUP(A83,Rankings!B:D,3,FALSE)</f>
        <v>NL</v>
      </c>
    </row>
    <row r="84" spans="1:10" ht="18.600000000000001" customHeight="1">
      <c r="A84" s="26" t="s">
        <v>309</v>
      </c>
      <c r="B84" s="27" t="s">
        <v>134</v>
      </c>
      <c r="C84" s="127" t="s">
        <v>31</v>
      </c>
      <c r="D84" s="138">
        <f ca="1">RANK(E84,E$2:E$161)</f>
        <v>83</v>
      </c>
      <c r="E84" s="31">
        <f ca="1">VLOOKUP(A84,Rankings!$B$1:$H$651,6,FALSE)+(RAND()*0.00001)</f>
        <v>316.56333631763999</v>
      </c>
      <c r="F84" s="31">
        <f ca="1">E84-VLOOKUP(Settings!$K$8,D$1:E$161,2,FALSE)</f>
        <v>13.905834848476104</v>
      </c>
      <c r="G84" s="138">
        <f ca="1">RANK(H84,H$2:H$161)</f>
        <v>70</v>
      </c>
      <c r="H84" s="31">
        <f ca="1">VLOOKUP(A84,Rankings!$B$1:$H$651,7,FALSE)+(RAND()*0.00001)</f>
        <v>0.12727619616974162</v>
      </c>
      <c r="I84" s="31">
        <f ca="1">H84-VLOOKUP(Settings!$K$8,G$1:H$161,2,FALSE)</f>
        <v>0.93777711162867738</v>
      </c>
      <c r="J84" s="31" t="str">
        <f>VLOOKUP(A84,Rankings!B:D,3,FALSE)</f>
        <v>NL</v>
      </c>
    </row>
    <row r="85" spans="1:10" ht="18.600000000000001" customHeight="1">
      <c r="A85" s="26" t="s">
        <v>759</v>
      </c>
      <c r="B85" s="27" t="s">
        <v>73</v>
      </c>
      <c r="C85" s="127" t="s">
        <v>31</v>
      </c>
      <c r="D85" s="138">
        <f ca="1">RANK(E85,E$2:E$161)</f>
        <v>84</v>
      </c>
      <c r="E85" s="31">
        <f ca="1">VLOOKUP(A85,Rankings!$B$1:$H$651,6,FALSE)+(RAND()*0.00001)</f>
        <v>315.10000164289937</v>
      </c>
      <c r="F85" s="31">
        <f ca="1">E85-VLOOKUP(Settings!$K$8,D$1:E$161,2,FALSE)</f>
        <v>12.442500173735482</v>
      </c>
      <c r="G85" s="138">
        <f ca="1">RANK(H85,H$2:H$161)</f>
        <v>54</v>
      </c>
      <c r="H85" s="31">
        <f ca="1">VLOOKUP(A85,Rankings!$B$1:$H$651,7,FALSE)+(RAND()*0.00001)</f>
        <v>1.5062273568208999</v>
      </c>
      <c r="I85" s="31">
        <f ca="1">H85-VLOOKUP(Settings!$K$8,G$1:H$161,2,FALSE)</f>
        <v>2.3167282722798355</v>
      </c>
      <c r="J85" s="31" t="str">
        <f>VLOOKUP(A85,Rankings!B:D,3,FALSE)</f>
        <v>NL</v>
      </c>
    </row>
    <row r="86" spans="1:10" ht="18.600000000000001" customHeight="1">
      <c r="A86" s="26" t="s">
        <v>449</v>
      </c>
      <c r="B86" s="27" t="s">
        <v>99</v>
      </c>
      <c r="C86" s="127" t="s">
        <v>31</v>
      </c>
      <c r="D86" s="138">
        <f ca="1">RANK(E86,E$2:E$161)</f>
        <v>85</v>
      </c>
      <c r="E86" s="31">
        <f ca="1">VLOOKUP(A86,Rankings!$B$1:$H$651,6,FALSE)+(RAND()*0.00001)</f>
        <v>312.74002272478145</v>
      </c>
      <c r="F86" s="31">
        <f ca="1">E86-VLOOKUP(Settings!$K$8,D$1:E$161,2,FALSE)</f>
        <v>10.082521255617564</v>
      </c>
      <c r="G86" s="138">
        <f ca="1">RANK(H86,H$2:H$161)</f>
        <v>113</v>
      </c>
      <c r="H86" s="31">
        <f ca="1">VLOOKUP(A86,Rankings!$B$1:$H$651,7,FALSE)+(RAND()*0.00001)</f>
        <v>-2.053594396594002</v>
      </c>
      <c r="I86" s="31">
        <f ca="1">H86-VLOOKUP(Settings!$K$8,G$1:H$161,2,FALSE)</f>
        <v>-1.2430934811350662</v>
      </c>
      <c r="J86" s="31" t="str">
        <f>VLOOKUP(A86,Rankings!B:D,3,FALSE)</f>
        <v>AL</v>
      </c>
    </row>
    <row r="87" spans="1:10" ht="18.600000000000001" customHeight="1">
      <c r="A87" s="26" t="s">
        <v>464</v>
      </c>
      <c r="B87" s="27" t="s">
        <v>99</v>
      </c>
      <c r="C87" s="127" t="s">
        <v>31</v>
      </c>
      <c r="D87" s="138">
        <f ca="1">RANK(E87,E$2:E$161)</f>
        <v>86</v>
      </c>
      <c r="E87" s="31">
        <f ca="1">VLOOKUP(A87,Rankings!$B$1:$H$651,6,FALSE)+(RAND()*0.00001)</f>
        <v>310.79502671974859</v>
      </c>
      <c r="F87" s="31">
        <f ca="1">E87-VLOOKUP(Settings!$K$8,D$1:E$161,2,FALSE)</f>
        <v>8.1375252505847016</v>
      </c>
      <c r="G87" s="138">
        <f ca="1">RANK(H87,H$2:H$161)</f>
        <v>116</v>
      </c>
      <c r="H87" s="31">
        <f ca="1">VLOOKUP(A87,Rankings!$B$1:$H$651,7,FALSE)+(RAND()*0.00001)</f>
        <v>-2.2054946025953166</v>
      </c>
      <c r="I87" s="31">
        <f ca="1">H87-VLOOKUP(Settings!$K$8,G$1:H$161,2,FALSE)</f>
        <v>-1.3949936871363808</v>
      </c>
      <c r="J87" s="31" t="str">
        <f>VLOOKUP(A87,Rankings!B:D,3,FALSE)</f>
        <v>AL</v>
      </c>
    </row>
    <row r="88" spans="1:10" ht="18.600000000000001" customHeight="1">
      <c r="A88" s="26" t="s">
        <v>430</v>
      </c>
      <c r="B88" s="27" t="s">
        <v>71</v>
      </c>
      <c r="C88" s="127" t="s">
        <v>31</v>
      </c>
      <c r="D88" s="138">
        <f ca="1">RANK(E88,E$2:E$161)</f>
        <v>87</v>
      </c>
      <c r="E88" s="31">
        <f ca="1">VLOOKUP(A88,Rankings!$B$1:$H$651,6,FALSE)+(RAND()*0.00001)</f>
        <v>308.73202501952557</v>
      </c>
      <c r="F88" s="31">
        <f ca="1">E88-VLOOKUP(Settings!$K$8,D$1:E$161,2,FALSE)</f>
        <v>6.0745235503616755</v>
      </c>
      <c r="G88" s="138">
        <f ca="1">RANK(H88,H$2:H$161)</f>
        <v>122</v>
      </c>
      <c r="H88" s="31">
        <f ca="1">VLOOKUP(A88,Rankings!$B$1:$H$651,7,FALSE)+(RAND()*0.00001)</f>
        <v>-2.2769503009986836</v>
      </c>
      <c r="I88" s="31">
        <f ca="1">H88-VLOOKUP(Settings!$K$8,G$1:H$161,2,FALSE)</f>
        <v>-1.4664493855397478</v>
      </c>
      <c r="J88" s="31" t="str">
        <f>VLOOKUP(A88,Rankings!B:D,3,FALSE)</f>
        <v>AL</v>
      </c>
    </row>
    <row r="89" spans="1:10" ht="18.600000000000001" customHeight="1">
      <c r="A89" s="26" t="s">
        <v>319</v>
      </c>
      <c r="B89" s="27" t="s">
        <v>123</v>
      </c>
      <c r="C89" s="127" t="s">
        <v>31</v>
      </c>
      <c r="D89" s="138">
        <f ca="1">RANK(E89,E$2:E$161)</f>
        <v>88</v>
      </c>
      <c r="E89" s="31">
        <f ca="1">VLOOKUP(A89,Rankings!$B$1:$H$651,6,FALSE)+(RAND()*0.00001)</f>
        <v>307.17036810858036</v>
      </c>
      <c r="F89" s="31">
        <f ca="1">E89-VLOOKUP(Settings!$K$8,D$1:E$161,2,FALSE)</f>
        <v>4.5128666394164725</v>
      </c>
      <c r="G89" s="138">
        <f ca="1">RANK(H89,H$2:H$161)</f>
        <v>75</v>
      </c>
      <c r="H89" s="31">
        <f ca="1">VLOOKUP(A89,Rankings!$B$1:$H$651,7,FALSE)+(RAND()*0.00001)</f>
        <v>-5.9656197808031088E-2</v>
      </c>
      <c r="I89" s="31">
        <f ca="1">H89-VLOOKUP(Settings!$K$8,G$1:H$161,2,FALSE)</f>
        <v>0.75084471765090466</v>
      </c>
      <c r="J89" s="31" t="str">
        <f>VLOOKUP(A89,Rankings!B:D,3,FALSE)</f>
        <v>NL</v>
      </c>
    </row>
    <row r="90" spans="1:10" ht="18.600000000000001" customHeight="1">
      <c r="A90" s="26" t="s">
        <v>408</v>
      </c>
      <c r="B90" s="27" t="s">
        <v>101</v>
      </c>
      <c r="C90" s="127" t="s">
        <v>31</v>
      </c>
      <c r="D90" s="138">
        <f ca="1">RANK(E90,E$2:E$161)</f>
        <v>89</v>
      </c>
      <c r="E90" s="31">
        <f ca="1">VLOOKUP(A90,Rankings!$B$1:$H$651,6,FALSE)+(RAND()*0.00001)</f>
        <v>306.6308930015955</v>
      </c>
      <c r="F90" s="31">
        <f ca="1">E90-VLOOKUP(Settings!$K$8,D$1:E$161,2,FALSE)</f>
        <v>3.9733915324316058</v>
      </c>
      <c r="G90" s="138">
        <f ca="1">RANK(H90,H$2:H$161)</f>
        <v>71</v>
      </c>
      <c r="H90" s="31">
        <f ca="1">VLOOKUP(A90,Rankings!$B$1:$H$651,7,FALSE)+(RAND()*0.00001)</f>
        <v>0.11779975024767111</v>
      </c>
      <c r="I90" s="31">
        <f ca="1">H90-VLOOKUP(Settings!$K$8,G$1:H$161,2,FALSE)</f>
        <v>0.92830066570660685</v>
      </c>
      <c r="J90" s="31" t="str">
        <f>VLOOKUP(A90,Rankings!B:D,3,FALSE)</f>
        <v>AL</v>
      </c>
    </row>
    <row r="91" spans="1:10" ht="18.600000000000001" customHeight="1">
      <c r="A91" s="26" t="s">
        <v>441</v>
      </c>
      <c r="B91" s="27" t="s">
        <v>68</v>
      </c>
      <c r="C91" s="127" t="s">
        <v>31</v>
      </c>
      <c r="D91" s="138">
        <f ca="1">RANK(E91,E$2:E$161)</f>
        <v>90</v>
      </c>
      <c r="E91" s="31">
        <f ca="1">VLOOKUP(A91,Rankings!$B$1:$H$651,6,FALSE)+(RAND()*0.00001)</f>
        <v>302.65750146916389</v>
      </c>
      <c r="F91" s="31">
        <f ca="1">E91-VLOOKUP(Settings!$K$8,D$1:E$161,2,FALSE)</f>
        <v>0</v>
      </c>
      <c r="G91" s="138">
        <f ca="1">RANK(H91,H$2:H$161)</f>
        <v>81</v>
      </c>
      <c r="H91" s="31">
        <f ca="1">VLOOKUP(A91,Rankings!$B$1:$H$651,7,FALSE)+(RAND()*0.00001)</f>
        <v>-0.41412373780574824</v>
      </c>
      <c r="I91" s="31">
        <f ca="1">H91-VLOOKUP(Settings!$K$8,G$1:H$161,2,FALSE)</f>
        <v>0.39637717765318753</v>
      </c>
      <c r="J91" s="31" t="str">
        <f>VLOOKUP(A91,Rankings!B:D,3,FALSE)</f>
        <v>AL</v>
      </c>
    </row>
    <row r="92" spans="1:10" ht="18.600000000000001" customHeight="1">
      <c r="A92" s="26" t="s">
        <v>406</v>
      </c>
      <c r="B92" s="27" t="s">
        <v>123</v>
      </c>
      <c r="C92" s="127" t="s">
        <v>31</v>
      </c>
      <c r="D92" s="138">
        <f ca="1">RANK(E92,E$2:E$161)</f>
        <v>91</v>
      </c>
      <c r="E92" s="31">
        <f ca="1">VLOOKUP(A92,Rankings!$B$1:$H$651,6,FALSE)+(RAND()*0.00001)</f>
        <v>301.37125950563103</v>
      </c>
      <c r="F92" s="31">
        <f ca="1">E92-VLOOKUP(Settings!$K$8,D$1:E$161,2,FALSE)</f>
        <v>-1.2862419635328592</v>
      </c>
      <c r="G92" s="138">
        <f ca="1">RANK(H92,H$2:H$161)</f>
        <v>80</v>
      </c>
      <c r="H92" s="31">
        <f ca="1">VLOOKUP(A92,Rankings!$B$1:$H$651,7,FALSE)+(RAND()*0.00001)</f>
        <v>-0.40926177046753182</v>
      </c>
      <c r="I92" s="31">
        <f ca="1">H92-VLOOKUP(Settings!$K$8,G$1:H$161,2,FALSE)</f>
        <v>0.40123914499140395</v>
      </c>
      <c r="J92" s="31" t="str">
        <f>VLOOKUP(A92,Rankings!B:D,3,FALSE)</f>
        <v>NL</v>
      </c>
    </row>
    <row r="93" spans="1:10" ht="18.600000000000001" customHeight="1">
      <c r="A93" s="26" t="s">
        <v>494</v>
      </c>
      <c r="B93" s="27" t="s">
        <v>103</v>
      </c>
      <c r="C93" s="127" t="s">
        <v>31</v>
      </c>
      <c r="D93" s="138">
        <f ca="1">RANK(E93,E$2:E$161)</f>
        <v>92</v>
      </c>
      <c r="E93" s="31">
        <f ca="1">VLOOKUP(A93,Rankings!$B$1:$H$651,6,FALSE)+(RAND()*0.00001)</f>
        <v>297.66462927505631</v>
      </c>
      <c r="F93" s="31">
        <f ca="1">E93-VLOOKUP(Settings!$K$8,D$1:E$161,2,FALSE)</f>
        <v>-4.9928721941075764</v>
      </c>
      <c r="G93" s="138">
        <f ca="1">RANK(H93,H$2:H$161)</f>
        <v>112</v>
      </c>
      <c r="H93" s="31">
        <f ca="1">VLOOKUP(A93,Rankings!$B$1:$H$651,7,FALSE)+(RAND()*0.00001)</f>
        <v>-2.0215891944626039</v>
      </c>
      <c r="I93" s="31">
        <f ca="1">H93-VLOOKUP(Settings!$K$8,G$1:H$161,2,FALSE)</f>
        <v>-1.2110882790036681</v>
      </c>
      <c r="J93" s="31" t="str">
        <f>VLOOKUP(A93,Rankings!B:D,3,FALSE)</f>
        <v>AL</v>
      </c>
    </row>
    <row r="94" spans="1:10" ht="18.600000000000001" customHeight="1">
      <c r="A94" s="26" t="s">
        <v>579</v>
      </c>
      <c r="B94" s="27" t="s">
        <v>306</v>
      </c>
      <c r="C94" s="127" t="s">
        <v>31</v>
      </c>
      <c r="D94" s="138">
        <f ca="1">RANK(E94,E$2:E$161)</f>
        <v>93</v>
      </c>
      <c r="E94" s="31">
        <f ca="1">VLOOKUP(A94,Rankings!$B$1:$H$651,6,FALSE)+(RAND()*0.00001)</f>
        <v>294.1977821607739</v>
      </c>
      <c r="F94" s="31">
        <f ca="1">E94-VLOOKUP(Settings!$K$8,D$1:E$161,2,FALSE)</f>
        <v>-8.4597193083899924</v>
      </c>
      <c r="G94" s="138">
        <f ca="1">RANK(H94,H$2:H$161)</f>
        <v>129</v>
      </c>
      <c r="H94" s="31">
        <f ca="1">VLOOKUP(A94,Rankings!$B$1:$H$651,7,FALSE)+(RAND()*0.00001)</f>
        <v>-2.5103229857568494</v>
      </c>
      <c r="I94" s="31">
        <f ca="1">H94-VLOOKUP(Settings!$K$8,G$1:H$161,2,FALSE)</f>
        <v>-1.6998220702979137</v>
      </c>
      <c r="J94" s="31" t="str">
        <f>VLOOKUP(A94,Rankings!B:D,3,FALSE)</f>
        <v>NL</v>
      </c>
    </row>
    <row r="95" spans="1:10" ht="18.600000000000001" customHeight="1">
      <c r="A95" s="26" t="s">
        <v>463</v>
      </c>
      <c r="B95" s="27" t="s">
        <v>137</v>
      </c>
      <c r="C95" s="127" t="s">
        <v>31</v>
      </c>
      <c r="D95" s="138">
        <f ca="1">RANK(E95,E$2:E$161)</f>
        <v>94</v>
      </c>
      <c r="E95" s="31">
        <f ca="1">VLOOKUP(A95,Rankings!$B$1:$H$651,6,FALSE)+(RAND()*0.00001)</f>
        <v>293.3407079330899</v>
      </c>
      <c r="F95" s="31">
        <f ca="1">E95-VLOOKUP(Settings!$K$8,D$1:E$161,2,FALSE)</f>
        <v>-9.3167935360739875</v>
      </c>
      <c r="G95" s="138">
        <f ca="1">RANK(H95,H$2:H$161)</f>
        <v>115</v>
      </c>
      <c r="H95" s="31">
        <f ca="1">VLOOKUP(A95,Rankings!$B$1:$H$651,7,FALSE)+(RAND()*0.00001)</f>
        <v>-2.1357455903047806</v>
      </c>
      <c r="I95" s="31">
        <f ca="1">H95-VLOOKUP(Settings!$K$8,G$1:H$161,2,FALSE)</f>
        <v>-1.3252446748458448</v>
      </c>
      <c r="J95" s="31" t="str">
        <f>VLOOKUP(A95,Rankings!B:D,3,FALSE)</f>
        <v>NL</v>
      </c>
    </row>
    <row r="96" spans="1:10" ht="18.600000000000001" customHeight="1">
      <c r="A96" s="26" t="s">
        <v>333</v>
      </c>
      <c r="B96" s="27" t="s">
        <v>158</v>
      </c>
      <c r="C96" s="127" t="s">
        <v>31</v>
      </c>
      <c r="D96" s="138">
        <f ca="1">RANK(E96,E$2:E$161)</f>
        <v>95</v>
      </c>
      <c r="E96" s="31">
        <f ca="1">VLOOKUP(A96,Rankings!$B$1:$H$651,6,FALSE)+(RAND()*0.00001)</f>
        <v>293.20657922997862</v>
      </c>
      <c r="F96" s="31">
        <f ca="1">E96-VLOOKUP(Settings!$K$8,D$1:E$161,2,FALSE)</f>
        <v>-9.4509222391852745</v>
      </c>
      <c r="G96" s="138">
        <f ca="1">RANK(H96,H$2:H$161)</f>
        <v>95</v>
      </c>
      <c r="H96" s="31">
        <f ca="1">VLOOKUP(A96,Rankings!$B$1:$H$651,7,FALSE)+(RAND()*0.00001)</f>
        <v>-1.0543688297148133</v>
      </c>
      <c r="I96" s="31">
        <f ca="1">H96-VLOOKUP(Settings!$K$8,G$1:H$161,2,FALSE)</f>
        <v>-0.2438679142558775</v>
      </c>
      <c r="J96" s="31" t="str">
        <f>VLOOKUP(A96,Rankings!B:D,3,FALSE)</f>
        <v>NL</v>
      </c>
    </row>
    <row r="97" spans="1:10" ht="18.600000000000001" customHeight="1">
      <c r="A97" s="26" t="s">
        <v>431</v>
      </c>
      <c r="B97" s="27" t="s">
        <v>81</v>
      </c>
      <c r="C97" s="127" t="s">
        <v>31</v>
      </c>
      <c r="D97" s="138">
        <f ca="1">RANK(E97,E$2:E$161)</f>
        <v>96</v>
      </c>
      <c r="E97" s="31">
        <f ca="1">VLOOKUP(A97,Rankings!$B$1:$H$651,6,FALSE)+(RAND()*0.00001)</f>
        <v>290.54875691958438</v>
      </c>
      <c r="F97" s="31">
        <f ca="1">E97-VLOOKUP(Settings!$K$8,D$1:E$161,2,FALSE)</f>
        <v>-12.108744549579512</v>
      </c>
      <c r="G97" s="138">
        <f ca="1">RANK(H97,H$2:H$161)</f>
        <v>102</v>
      </c>
      <c r="H97" s="31">
        <f ca="1">VLOOKUP(A97,Rankings!$B$1:$H$651,7,FALSE)+(RAND()*0.00001)</f>
        <v>-1.5580090800544288</v>
      </c>
      <c r="I97" s="31">
        <f ca="1">H97-VLOOKUP(Settings!$K$8,G$1:H$161,2,FALSE)</f>
        <v>-0.74750816459549307</v>
      </c>
      <c r="J97" s="31" t="str">
        <f>VLOOKUP(A97,Rankings!B:D,3,FALSE)</f>
        <v>NL</v>
      </c>
    </row>
    <row r="98" spans="1:10" ht="18.600000000000001" customHeight="1">
      <c r="A98" s="26" t="s">
        <v>433</v>
      </c>
      <c r="B98" s="27" t="s">
        <v>137</v>
      </c>
      <c r="C98" s="127" t="s">
        <v>31</v>
      </c>
      <c r="D98" s="138">
        <f ca="1">RANK(E98,E$2:E$161)</f>
        <v>97</v>
      </c>
      <c r="E98" s="31">
        <f ca="1">VLOOKUP(A98,Rankings!$B$1:$H$651,6,FALSE)+(RAND()*0.00001)</f>
        <v>285.03500134923416</v>
      </c>
      <c r="F98" s="31">
        <f ca="1">E98-VLOOKUP(Settings!$K$8,D$1:E$161,2,FALSE)</f>
        <v>-17.622500119929725</v>
      </c>
      <c r="G98" s="138">
        <f ca="1">RANK(H98,H$2:H$161)</f>
        <v>103</v>
      </c>
      <c r="H98" s="31">
        <f ca="1">VLOOKUP(A98,Rankings!$B$1:$H$651,7,FALSE)+(RAND()*0.00001)</f>
        <v>-1.6262994854312578</v>
      </c>
      <c r="I98" s="31">
        <f ca="1">H98-VLOOKUP(Settings!$K$8,G$1:H$161,2,FALSE)</f>
        <v>-0.81579856997232203</v>
      </c>
      <c r="J98" s="31" t="str">
        <f>VLOOKUP(A98,Rankings!B:D,3,FALSE)</f>
        <v>NL</v>
      </c>
    </row>
    <row r="99" spans="1:10" ht="18.600000000000001" customHeight="1">
      <c r="A99" s="26" t="s">
        <v>453</v>
      </c>
      <c r="B99" s="27" t="s">
        <v>137</v>
      </c>
      <c r="C99" s="127" t="s">
        <v>31</v>
      </c>
      <c r="D99" s="138">
        <f ca="1">RANK(E99,E$2:E$161)</f>
        <v>98</v>
      </c>
      <c r="E99" s="31">
        <f ca="1">VLOOKUP(A99,Rankings!$B$1:$H$651,6,FALSE)+(RAND()*0.00001)</f>
        <v>281.63403842777495</v>
      </c>
      <c r="F99" s="31">
        <f ca="1">E99-VLOOKUP(Settings!$K$8,D$1:E$161,2,FALSE)</f>
        <v>-21.023463041388936</v>
      </c>
      <c r="G99" s="138">
        <f ca="1">RANK(H99,H$2:H$161)</f>
        <v>137</v>
      </c>
      <c r="H99" s="31">
        <f ca="1">VLOOKUP(A99,Rankings!$B$1:$H$651,7,FALSE)+(RAND()*0.00001)</f>
        <v>-3.1500978586957382</v>
      </c>
      <c r="I99" s="31">
        <f ca="1">H99-VLOOKUP(Settings!$K$8,G$1:H$161,2,FALSE)</f>
        <v>-2.3395969432368027</v>
      </c>
      <c r="J99" s="31" t="str">
        <f>VLOOKUP(A99,Rankings!B:D,3,FALSE)</f>
        <v>NL</v>
      </c>
    </row>
    <row r="100" spans="1:10" ht="18.600000000000001" customHeight="1">
      <c r="A100" s="26" t="s">
        <v>346</v>
      </c>
      <c r="B100" s="27" t="s">
        <v>217</v>
      </c>
      <c r="C100" s="127" t="s">
        <v>31</v>
      </c>
      <c r="D100" s="138">
        <f ca="1">RANK(E100,E$2:E$161)</f>
        <v>99</v>
      </c>
      <c r="E100" s="31">
        <f ca="1">VLOOKUP(A100,Rankings!$B$1:$H$651,6,FALSE)+(RAND()*0.00001)</f>
        <v>280.82344833652934</v>
      </c>
      <c r="F100" s="31">
        <f ca="1">E100-VLOOKUP(Settings!$K$8,D$1:E$161,2,FALSE)</f>
        <v>-21.834053132634551</v>
      </c>
      <c r="G100" s="138">
        <f ca="1">RANK(H100,H$2:H$161)</f>
        <v>98</v>
      </c>
      <c r="H100" s="31">
        <f ca="1">VLOOKUP(A100,Rankings!$B$1:$H$651,7,FALSE)+(RAND()*0.00001)</f>
        <v>-1.1596597775450479</v>
      </c>
      <c r="I100" s="31">
        <f ca="1">H100-VLOOKUP(Settings!$K$8,G$1:H$161,2,FALSE)</f>
        <v>-0.34915886208611213</v>
      </c>
      <c r="J100" s="31" t="str">
        <f>VLOOKUP(A100,Rankings!B:D,3,FALSE)</f>
        <v>NL</v>
      </c>
    </row>
    <row r="101" spans="1:10" ht="18.600000000000001" customHeight="1">
      <c r="A101" s="26" t="s">
        <v>351</v>
      </c>
      <c r="B101" s="27" t="s">
        <v>76</v>
      </c>
      <c r="C101" s="127" t="s">
        <v>31</v>
      </c>
      <c r="D101" s="138">
        <f ca="1">RANK(E101,E$2:E$161)</f>
        <v>100</v>
      </c>
      <c r="E101" s="31">
        <f ca="1">VLOOKUP(A101,Rankings!$B$1:$H$651,6,FALSE)+(RAND()*0.00001)</f>
        <v>280.40016972063211</v>
      </c>
      <c r="F101" s="31">
        <f ca="1">E101-VLOOKUP(Settings!$K$8,D$1:E$161,2,FALSE)</f>
        <v>-22.257331748531783</v>
      </c>
      <c r="G101" s="138">
        <f ca="1">RANK(H101,H$2:H$161)</f>
        <v>88</v>
      </c>
      <c r="H101" s="31">
        <f ca="1">VLOOKUP(A101,Rankings!$B$1:$H$651,7,FALSE)+(RAND()*0.00001)</f>
        <v>-0.74618023762657026</v>
      </c>
      <c r="I101" s="31">
        <f ca="1">H101-VLOOKUP(Settings!$K$8,G$1:H$161,2,FALSE)</f>
        <v>6.4320677832365503E-2</v>
      </c>
      <c r="J101" s="31" t="str">
        <f>VLOOKUP(A101,Rankings!B:D,3,FALSE)</f>
        <v>AL</v>
      </c>
    </row>
    <row r="102" spans="1:10" ht="18.600000000000001" customHeight="1">
      <c r="A102" s="26" t="s">
        <v>472</v>
      </c>
      <c r="B102" s="27" t="s">
        <v>63</v>
      </c>
      <c r="C102" s="127" t="s">
        <v>31</v>
      </c>
      <c r="D102" s="138">
        <f ca="1">RANK(E102,E$2:E$161)</f>
        <v>101</v>
      </c>
      <c r="E102" s="31">
        <f ca="1">VLOOKUP(A102,Rankings!$B$1:$H$651,6,FALSE)+(RAND()*0.00001)</f>
        <v>277.44297786707904</v>
      </c>
      <c r="F102" s="31">
        <f ca="1">E102-VLOOKUP(Settings!$K$8,D$1:E$161,2,FALSE)</f>
        <v>-25.214523602084853</v>
      </c>
      <c r="G102" s="138">
        <f ca="1">RANK(H102,H$2:H$161)</f>
        <v>114</v>
      </c>
      <c r="H102" s="31">
        <f ca="1">VLOOKUP(A102,Rankings!$B$1:$H$651,7,FALSE)+(RAND()*0.00001)</f>
        <v>-2.0548319026176198</v>
      </c>
      <c r="I102" s="31">
        <f ca="1">H102-VLOOKUP(Settings!$K$8,G$1:H$161,2,FALSE)</f>
        <v>-1.2443309871586841</v>
      </c>
      <c r="J102" s="31" t="str">
        <f>VLOOKUP(A102,Rankings!B:D,3,FALSE)</f>
        <v>NL</v>
      </c>
    </row>
    <row r="103" spans="1:10" ht="18.600000000000001" customHeight="1">
      <c r="A103" s="26" t="s">
        <v>427</v>
      </c>
      <c r="B103" s="27" t="s">
        <v>156</v>
      </c>
      <c r="C103" s="127" t="s">
        <v>31</v>
      </c>
      <c r="D103" s="138">
        <f ca="1">RANK(E103,E$2:E$161)</f>
        <v>102</v>
      </c>
      <c r="E103" s="31">
        <f ca="1">VLOOKUP(A103,Rankings!$B$1:$H$651,6,FALSE)+(RAND()*0.00001)</f>
        <v>276.91027509690815</v>
      </c>
      <c r="F103" s="31">
        <f ca="1">E103-VLOOKUP(Settings!$K$8,D$1:E$161,2,FALSE)</f>
        <v>-25.747226372255739</v>
      </c>
      <c r="G103" s="138">
        <f ca="1">RANK(H103,H$2:H$161)</f>
        <v>90</v>
      </c>
      <c r="H103" s="31">
        <f ca="1">VLOOKUP(A103,Rankings!$B$1:$H$651,7,FALSE)+(RAND()*0.00001)</f>
        <v>-0.81050091545893577</v>
      </c>
      <c r="I103" s="31">
        <f ca="1">H103-VLOOKUP(Settings!$K$8,G$1:H$161,2,FALSE)</f>
        <v>0</v>
      </c>
      <c r="J103" s="31" t="str">
        <f>VLOOKUP(A103,Rankings!B:D,3,FALSE)</f>
        <v>AL</v>
      </c>
    </row>
    <row r="104" spans="1:10" ht="18.600000000000001" customHeight="1">
      <c r="A104" s="26" t="s">
        <v>442</v>
      </c>
      <c r="B104" s="27" t="s">
        <v>140</v>
      </c>
      <c r="C104" s="127" t="s">
        <v>31</v>
      </c>
      <c r="D104" s="138">
        <f ca="1">RANK(E104,E$2:E$161)</f>
        <v>103</v>
      </c>
      <c r="E104" s="31">
        <f ca="1">VLOOKUP(A104,Rankings!$B$1:$H$651,6,FALSE)+(RAND()*0.00001)</f>
        <v>273.7856403471722</v>
      </c>
      <c r="F104" s="31">
        <f ca="1">E104-VLOOKUP(Settings!$K$8,D$1:E$161,2,FALSE)</f>
        <v>-28.871861121991685</v>
      </c>
      <c r="G104" s="138">
        <f ca="1">RANK(H104,H$2:H$161)</f>
        <v>99</v>
      </c>
      <c r="H104" s="31">
        <f ca="1">VLOOKUP(A104,Rankings!$B$1:$H$651,7,FALSE)+(RAND()*0.00001)</f>
        <v>-1.3163587049805354</v>
      </c>
      <c r="I104" s="31">
        <f ca="1">H104-VLOOKUP(Settings!$K$8,G$1:H$161,2,FALSE)</f>
        <v>-0.50585778952159965</v>
      </c>
      <c r="J104" s="31" t="str">
        <f>VLOOKUP(A104,Rankings!B:D,3,FALSE)</f>
        <v>AL</v>
      </c>
    </row>
    <row r="105" spans="1:10" ht="18.600000000000001" customHeight="1">
      <c r="A105" s="26" t="s">
        <v>356</v>
      </c>
      <c r="B105" s="27" t="s">
        <v>78</v>
      </c>
      <c r="C105" s="127" t="s">
        <v>31</v>
      </c>
      <c r="D105" s="138">
        <f ca="1">RANK(E105,E$2:E$161)</f>
        <v>104</v>
      </c>
      <c r="E105" s="31">
        <f ca="1">VLOOKUP(A105,Rankings!$B$1:$H$651,6,FALSE)+(RAND()*0.00001)</f>
        <v>272.73389007828933</v>
      </c>
      <c r="F105" s="31">
        <f ca="1">E105-VLOOKUP(Settings!$K$8,D$1:E$161,2,FALSE)</f>
        <v>-29.923611390874555</v>
      </c>
      <c r="G105" s="138">
        <f ca="1">RANK(H105,H$2:H$161)</f>
        <v>92</v>
      </c>
      <c r="H105" s="31">
        <f ca="1">VLOOKUP(A105,Rankings!$B$1:$H$651,7,FALSE)+(RAND()*0.00001)</f>
        <v>-0.86814043029719146</v>
      </c>
      <c r="I105" s="31">
        <f ca="1">H105-VLOOKUP(Settings!$K$8,G$1:H$161,2,FALSE)</f>
        <v>-5.763951483825569E-2</v>
      </c>
      <c r="J105" s="31" t="str">
        <f>VLOOKUP(A105,Rankings!B:D,3,FALSE)</f>
        <v>AL</v>
      </c>
    </row>
    <row r="106" spans="1:10" ht="18.600000000000001" customHeight="1">
      <c r="A106" s="26" t="s">
        <v>511</v>
      </c>
      <c r="B106" s="27" t="s">
        <v>134</v>
      </c>
      <c r="C106" s="127" t="s">
        <v>31</v>
      </c>
      <c r="D106" s="138">
        <f ca="1">RANK(E106,E$2:E$161)</f>
        <v>105</v>
      </c>
      <c r="E106" s="31">
        <f ca="1">VLOOKUP(A106,Rankings!$B$1:$H$651,6,FALSE)+(RAND()*0.00001)</f>
        <v>271.83191275844956</v>
      </c>
      <c r="F106" s="31">
        <f ca="1">E106-VLOOKUP(Settings!$K$8,D$1:E$161,2,FALSE)</f>
        <v>-30.825588710714328</v>
      </c>
      <c r="G106" s="138">
        <f ca="1">RANK(H106,H$2:H$161)</f>
        <v>135</v>
      </c>
      <c r="H106" s="31">
        <f ca="1">VLOOKUP(A106,Rankings!$B$1:$H$651,7,FALSE)+(RAND()*0.00001)</f>
        <v>-3.0703289728958332</v>
      </c>
      <c r="I106" s="31">
        <f ca="1">H106-VLOOKUP(Settings!$K$8,G$1:H$161,2,FALSE)</f>
        <v>-2.2598280574368976</v>
      </c>
      <c r="J106" s="31" t="str">
        <f>VLOOKUP(A106,Rankings!B:D,3,FALSE)</f>
        <v>NL</v>
      </c>
    </row>
    <row r="107" spans="1:10" ht="18.600000000000001" customHeight="1">
      <c r="A107" s="26" t="s">
        <v>426</v>
      </c>
      <c r="B107" s="27" t="s">
        <v>217</v>
      </c>
      <c r="C107" s="127" t="s">
        <v>31</v>
      </c>
      <c r="D107" s="138">
        <f ca="1">RANK(E107,E$2:E$161)</f>
        <v>106</v>
      </c>
      <c r="E107" s="31">
        <f ca="1">VLOOKUP(A107,Rankings!$B$1:$H$651,6,FALSE)+(RAND()*0.00001)</f>
        <v>269.48250880323991</v>
      </c>
      <c r="F107" s="31">
        <f ca="1">E107-VLOOKUP(Settings!$K$8,D$1:E$161,2,FALSE)</f>
        <v>-33.17499266592398</v>
      </c>
      <c r="G107" s="138">
        <f ca="1">RANK(H107,H$2:H$161)</f>
        <v>78</v>
      </c>
      <c r="H107" s="31">
        <f ca="1">VLOOKUP(A107,Rankings!$B$1:$H$651,7,FALSE)+(RAND()*0.00001)</f>
        <v>-0.22838113002220856</v>
      </c>
      <c r="I107" s="31">
        <f ca="1">H107-VLOOKUP(Settings!$K$8,G$1:H$161,2,FALSE)</f>
        <v>0.58211978543672727</v>
      </c>
      <c r="J107" s="31" t="str">
        <f>VLOOKUP(A107,Rankings!B:D,3,FALSE)</f>
        <v>NL</v>
      </c>
    </row>
    <row r="108" spans="1:10" ht="18.600000000000001" customHeight="1">
      <c r="A108" s="26" t="s">
        <v>496</v>
      </c>
      <c r="B108" s="27" t="s">
        <v>99</v>
      </c>
      <c r="C108" s="127" t="s">
        <v>31</v>
      </c>
      <c r="D108" s="138">
        <f ca="1">RANK(E108,E$2:E$161)</f>
        <v>107</v>
      </c>
      <c r="E108" s="31">
        <f ca="1">VLOOKUP(A108,Rankings!$B$1:$H$651,6,FALSE)+(RAND()*0.00001)</f>
        <v>268.63397321522029</v>
      </c>
      <c r="F108" s="31">
        <f ca="1">E108-VLOOKUP(Settings!$K$8,D$1:E$161,2,FALSE)</f>
        <v>-34.023528253943596</v>
      </c>
      <c r="G108" s="138">
        <f ca="1">RANK(H108,H$2:H$161)</f>
        <v>121</v>
      </c>
      <c r="H108" s="31">
        <f ca="1">VLOOKUP(A108,Rankings!$B$1:$H$651,7,FALSE)+(RAND()*0.00001)</f>
        <v>-2.2604594973317083</v>
      </c>
      <c r="I108" s="31">
        <f ca="1">H108-VLOOKUP(Settings!$K$8,G$1:H$161,2,FALSE)</f>
        <v>-1.4499585818727725</v>
      </c>
      <c r="J108" s="31" t="str">
        <f>VLOOKUP(A108,Rankings!B:D,3,FALSE)</f>
        <v>AL</v>
      </c>
    </row>
    <row r="109" spans="1:10" ht="18.600000000000001" customHeight="1">
      <c r="A109" s="26" t="s">
        <v>572</v>
      </c>
      <c r="B109" s="27" t="s">
        <v>99</v>
      </c>
      <c r="C109" s="127" t="s">
        <v>31</v>
      </c>
      <c r="D109" s="138">
        <f ca="1">RANK(E109,E$2:E$161)</f>
        <v>108</v>
      </c>
      <c r="E109" s="31">
        <f ca="1">VLOOKUP(A109,Rankings!$B$1:$H$651,6,FALSE)+(RAND()*0.00001)</f>
        <v>268.03753781638511</v>
      </c>
      <c r="F109" s="31">
        <f ca="1">E109-VLOOKUP(Settings!$K$8,D$1:E$161,2,FALSE)</f>
        <v>-34.619963652778779</v>
      </c>
      <c r="G109" s="138">
        <f ca="1">RANK(H109,H$2:H$161)</f>
        <v>123</v>
      </c>
      <c r="H109" s="31">
        <f ca="1">VLOOKUP(A109,Rankings!$B$1:$H$651,7,FALSE)+(RAND()*0.00001)</f>
        <v>-2.425338065998655</v>
      </c>
      <c r="I109" s="31">
        <f ca="1">H109-VLOOKUP(Settings!$K$8,G$1:H$161,2,FALSE)</f>
        <v>-1.6148371505397192</v>
      </c>
      <c r="J109" s="31" t="str">
        <f>VLOOKUP(A109,Rankings!B:D,3,FALSE)</f>
        <v>AL</v>
      </c>
    </row>
    <row r="110" spans="1:10" ht="18.600000000000001" customHeight="1">
      <c r="A110" s="26" t="s">
        <v>538</v>
      </c>
      <c r="B110" s="27" t="s">
        <v>114</v>
      </c>
      <c r="C110" s="127" t="s">
        <v>31</v>
      </c>
      <c r="D110" s="138">
        <f ca="1">RANK(E110,E$2:E$161)</f>
        <v>109</v>
      </c>
      <c r="E110" s="31">
        <f ca="1">VLOOKUP(A110,Rankings!$B$1:$H$651,6,FALSE)+(RAND()*0.00001)</f>
        <v>267.54445230914877</v>
      </c>
      <c r="F110" s="31">
        <f ca="1">E110-VLOOKUP(Settings!$K$8,D$1:E$161,2,FALSE)</f>
        <v>-35.113049160015123</v>
      </c>
      <c r="G110" s="138">
        <f ca="1">RANK(H110,H$2:H$161)</f>
        <v>104</v>
      </c>
      <c r="H110" s="31">
        <f ca="1">VLOOKUP(A110,Rankings!$B$1:$H$651,7,FALSE)+(RAND()*0.00001)</f>
        <v>-1.7187667736214378</v>
      </c>
      <c r="I110" s="31">
        <f ca="1">H110-VLOOKUP(Settings!$K$8,G$1:H$161,2,FALSE)</f>
        <v>-0.90826585816250205</v>
      </c>
      <c r="J110" s="31" t="str">
        <f>VLOOKUP(A110,Rankings!B:D,3,FALSE)</f>
        <v>AL</v>
      </c>
    </row>
    <row r="111" spans="1:10" ht="18.600000000000001" customHeight="1">
      <c r="A111" s="26" t="s">
        <v>555</v>
      </c>
      <c r="B111" s="27" t="s">
        <v>84</v>
      </c>
      <c r="C111" s="127" t="s">
        <v>31</v>
      </c>
      <c r="D111" s="138">
        <f ca="1">RANK(E111,E$2:E$161)</f>
        <v>110</v>
      </c>
      <c r="E111" s="31">
        <f ca="1">VLOOKUP(A111,Rankings!$B$1:$H$651,6,FALSE)+(RAND()*0.00001)</f>
        <v>264.57147613177301</v>
      </c>
      <c r="F111" s="31">
        <f ca="1">E111-VLOOKUP(Settings!$K$8,D$1:E$161,2,FALSE)</f>
        <v>-38.086025337390879</v>
      </c>
      <c r="G111" s="138">
        <f ca="1">RANK(H111,H$2:H$161)</f>
        <v>119</v>
      </c>
      <c r="H111" s="31">
        <f ca="1">VLOOKUP(A111,Rankings!$B$1:$H$651,7,FALSE)+(RAND()*0.00001)</f>
        <v>-2.2405410674625665</v>
      </c>
      <c r="I111" s="31">
        <f ca="1">H111-VLOOKUP(Settings!$K$8,G$1:H$161,2,FALSE)</f>
        <v>-1.4300401520036308</v>
      </c>
      <c r="J111" s="31" t="str">
        <f>VLOOKUP(A111,Rankings!B:D,3,FALSE)</f>
        <v>AL</v>
      </c>
    </row>
    <row r="112" spans="1:10" ht="18.600000000000001" customHeight="1">
      <c r="A112" s="26" t="s">
        <v>636</v>
      </c>
      <c r="B112" s="27" t="s">
        <v>117</v>
      </c>
      <c r="C112" s="127" t="s">
        <v>31</v>
      </c>
      <c r="D112" s="138">
        <f ca="1">RANK(E112,E$2:E$161)</f>
        <v>111</v>
      </c>
      <c r="E112" s="31">
        <f ca="1">VLOOKUP(A112,Rankings!$B$1:$H$651,6,FALSE)+(RAND()*0.00001)</f>
        <v>263.54905079662836</v>
      </c>
      <c r="F112" s="31">
        <f ca="1">E112-VLOOKUP(Settings!$K$8,D$1:E$161,2,FALSE)</f>
        <v>-39.108450672535525</v>
      </c>
      <c r="G112" s="138">
        <f ca="1">RANK(H112,H$2:H$161)</f>
        <v>155</v>
      </c>
      <c r="H112" s="31">
        <f ca="1">VLOOKUP(A112,Rankings!$B$1:$H$651,7,FALSE)+(RAND()*0.00001)</f>
        <v>-4.561114893437086</v>
      </c>
      <c r="I112" s="31">
        <f ca="1">H112-VLOOKUP(Settings!$K$8,G$1:H$161,2,FALSE)</f>
        <v>-3.7506139779781504</v>
      </c>
      <c r="J112" s="31" t="str">
        <f>VLOOKUP(A112,Rankings!B:D,3,FALSE)</f>
        <v>AL</v>
      </c>
    </row>
    <row r="113" spans="1:10" ht="18.600000000000001" customHeight="1">
      <c r="A113" s="26" t="s">
        <v>645</v>
      </c>
      <c r="B113" s="27" t="s">
        <v>176</v>
      </c>
      <c r="C113" s="127" t="s">
        <v>31</v>
      </c>
      <c r="D113" s="138">
        <f ca="1">RANK(E113,E$2:E$161)</f>
        <v>112</v>
      </c>
      <c r="E113" s="31">
        <f ca="1">VLOOKUP(A113,Rankings!$B$1:$H$651,6,FALSE)+(RAND()*0.00001)</f>
        <v>261.71031523421283</v>
      </c>
      <c r="F113" s="31">
        <f ca="1">E113-VLOOKUP(Settings!$K$8,D$1:E$161,2,FALSE)</f>
        <v>-40.947186234951062</v>
      </c>
      <c r="G113" s="138">
        <f ca="1">RANK(H113,H$2:H$161)</f>
        <v>159</v>
      </c>
      <c r="H113" s="31">
        <f ca="1">VLOOKUP(A113,Rankings!$B$1:$H$651,7,FALSE)+(RAND()*0.00001)</f>
        <v>-5.2149434215449553</v>
      </c>
      <c r="I113" s="31">
        <f ca="1">H113-VLOOKUP(Settings!$K$8,G$1:H$161,2,FALSE)</f>
        <v>-4.4044425060860197</v>
      </c>
      <c r="J113" s="31" t="str">
        <f>VLOOKUP(A113,Rankings!B:D,3,FALSE)</f>
        <v>NL</v>
      </c>
    </row>
    <row r="114" spans="1:10" ht="20.100000000000001" customHeight="1">
      <c r="A114" s="26" t="s">
        <v>518</v>
      </c>
      <c r="B114" s="27" t="s">
        <v>140</v>
      </c>
      <c r="C114" s="127" t="s">
        <v>31</v>
      </c>
      <c r="D114" s="138">
        <f ca="1">RANK(E114,E$2:E$161)</f>
        <v>113</v>
      </c>
      <c r="E114" s="31">
        <f ca="1">VLOOKUP(A114,Rankings!$B$1:$H$651,6,FALSE)+(RAND()*0.00001)</f>
        <v>261.50563352502627</v>
      </c>
      <c r="F114" s="31">
        <f ca="1">E114-VLOOKUP(Settings!$K$8,D$1:E$161,2,FALSE)</f>
        <v>-41.151867944137621</v>
      </c>
      <c r="G114" s="138">
        <f ca="1">RANK(H114,H$2:H$161)</f>
        <v>136</v>
      </c>
      <c r="H114" s="31">
        <f ca="1">VLOOKUP(A114,Rankings!$B$1:$H$651,7,FALSE)+(RAND()*0.00001)</f>
        <v>-3.1225759589883055</v>
      </c>
      <c r="I114" s="31">
        <f ca="1">H114-VLOOKUP(Settings!$K$8,G$1:H$161,2,FALSE)</f>
        <v>-2.3120750435293695</v>
      </c>
      <c r="J114" s="31" t="str">
        <f>VLOOKUP(A114,Rankings!B:D,3,FALSE)</f>
        <v>AL</v>
      </c>
    </row>
    <row r="115" spans="1:10" ht="18.600000000000001" customHeight="1">
      <c r="A115" s="26" t="s">
        <v>440</v>
      </c>
      <c r="B115" s="27" t="s">
        <v>258</v>
      </c>
      <c r="C115" s="127" t="s">
        <v>31</v>
      </c>
      <c r="D115" s="138">
        <f ca="1">RANK(E115,E$2:E$161)</f>
        <v>114</v>
      </c>
      <c r="E115" s="31">
        <f ca="1">VLOOKUP(A115,Rankings!$B$1:$H$651,6,FALSE)+(RAND()*0.00001)</f>
        <v>260.36540554665748</v>
      </c>
      <c r="F115" s="31">
        <f ca="1">E115-VLOOKUP(Settings!$K$8,D$1:E$161,2,FALSE)</f>
        <v>-42.292095922506405</v>
      </c>
      <c r="G115" s="138">
        <f ca="1">RANK(H115,H$2:H$161)</f>
        <v>109</v>
      </c>
      <c r="H115" s="31">
        <f ca="1">VLOOKUP(A115,Rankings!$B$1:$H$651,7,FALSE)+(RAND()*0.00001)</f>
        <v>-1.9061668921105024</v>
      </c>
      <c r="I115" s="31">
        <f ca="1">H115-VLOOKUP(Settings!$K$8,G$1:H$161,2,FALSE)</f>
        <v>-1.0956659766515666</v>
      </c>
      <c r="J115" s="31" t="str">
        <f>VLOOKUP(A115,Rankings!B:D,3,FALSE)</f>
        <v>AL</v>
      </c>
    </row>
    <row r="116" spans="1:10" ht="18.600000000000001" customHeight="1">
      <c r="A116" s="26" t="s">
        <v>386</v>
      </c>
      <c r="B116" s="27" t="s">
        <v>134</v>
      </c>
      <c r="C116" s="127" t="s">
        <v>31</v>
      </c>
      <c r="D116" s="138">
        <f ca="1">RANK(E116,E$2:E$161)</f>
        <v>115</v>
      </c>
      <c r="E116" s="31">
        <f ca="1">VLOOKUP(A116,Rankings!$B$1:$H$651,6,FALSE)+(RAND()*0.00001)</f>
        <v>260.12167489469476</v>
      </c>
      <c r="F116" s="31">
        <f ca="1">E116-VLOOKUP(Settings!$K$8,D$1:E$161,2,FALSE)</f>
        <v>-42.535826574469127</v>
      </c>
      <c r="G116" s="138">
        <f ca="1">RANK(H116,H$2:H$161)</f>
        <v>100</v>
      </c>
      <c r="H116" s="31">
        <f ca="1">VLOOKUP(A116,Rankings!$B$1:$H$651,7,FALSE)+(RAND()*0.00001)</f>
        <v>-1.5046000862420832</v>
      </c>
      <c r="I116" s="31">
        <f ca="1">H116-VLOOKUP(Settings!$K$8,G$1:H$161,2,FALSE)</f>
        <v>-0.69409917078314742</v>
      </c>
      <c r="J116" s="31" t="str">
        <f>VLOOKUP(A116,Rankings!B:D,3,FALSE)</f>
        <v>NL</v>
      </c>
    </row>
    <row r="117" spans="1:10" ht="18.600000000000001" customHeight="1">
      <c r="A117" s="26" t="s">
        <v>458</v>
      </c>
      <c r="B117" s="27" t="s">
        <v>123</v>
      </c>
      <c r="C117" s="127" t="s">
        <v>31</v>
      </c>
      <c r="D117" s="138">
        <f ca="1">RANK(E117,E$2:E$161)</f>
        <v>116</v>
      </c>
      <c r="E117" s="31">
        <f ca="1">VLOOKUP(A117,Rankings!$B$1:$H$651,6,FALSE)+(RAND()*0.00001)</f>
        <v>255.91282472083256</v>
      </c>
      <c r="F117" s="31">
        <f ca="1">E117-VLOOKUP(Settings!$K$8,D$1:E$161,2,FALSE)</f>
        <v>-46.744676748331329</v>
      </c>
      <c r="G117" s="138">
        <f ca="1">RANK(H117,H$2:H$161)</f>
        <v>93</v>
      </c>
      <c r="H117" s="31">
        <f ca="1">VLOOKUP(A117,Rankings!$B$1:$H$651,7,FALSE)+(RAND()*0.00001)</f>
        <v>-0.88962357931681679</v>
      </c>
      <c r="I117" s="31">
        <f ca="1">H117-VLOOKUP(Settings!$K$8,G$1:H$161,2,FALSE)</f>
        <v>-7.9122663857881026E-2</v>
      </c>
      <c r="J117" s="31" t="str">
        <f>VLOOKUP(A117,Rankings!B:D,3,FALSE)</f>
        <v>NL</v>
      </c>
    </row>
    <row r="118" spans="1:10" ht="18.600000000000001" customHeight="1">
      <c r="A118" s="26" t="s">
        <v>520</v>
      </c>
      <c r="B118" s="27" t="s">
        <v>76</v>
      </c>
      <c r="C118" s="127" t="s">
        <v>31</v>
      </c>
      <c r="D118" s="138">
        <f ca="1">RANK(E118,E$2:E$161)</f>
        <v>117</v>
      </c>
      <c r="E118" s="31">
        <f ca="1">VLOOKUP(A118,Rankings!$B$1:$H$651,6,FALSE)+(RAND()*0.00001)</f>
        <v>255.57236105867682</v>
      </c>
      <c r="F118" s="31">
        <f ca="1">E118-VLOOKUP(Settings!$K$8,D$1:E$161,2,FALSE)</f>
        <v>-47.085140410487071</v>
      </c>
      <c r="G118" s="138">
        <f ca="1">RANK(H118,H$2:H$161)</f>
        <v>127</v>
      </c>
      <c r="H118" s="31">
        <f ca="1">VLOOKUP(A118,Rankings!$B$1:$H$651,7,FALSE)+(RAND()*0.00001)</f>
        <v>-2.4831449415969908</v>
      </c>
      <c r="I118" s="31">
        <f ca="1">H118-VLOOKUP(Settings!$K$8,G$1:H$161,2,FALSE)</f>
        <v>-1.6726440261380551</v>
      </c>
      <c r="J118" s="31" t="str">
        <f>VLOOKUP(A118,Rankings!B:D,3,FALSE)</f>
        <v>AL</v>
      </c>
    </row>
    <row r="119" spans="1:10" ht="18.600000000000001" customHeight="1">
      <c r="A119" s="26" t="s">
        <v>524</v>
      </c>
      <c r="B119" s="27" t="s">
        <v>63</v>
      </c>
      <c r="C119" s="127" t="s">
        <v>31</v>
      </c>
      <c r="D119" s="138">
        <f ca="1">RANK(E119,E$2:E$161)</f>
        <v>118</v>
      </c>
      <c r="E119" s="31">
        <f ca="1">VLOOKUP(A119,Rankings!$B$1:$H$651,6,FALSE)+(RAND()*0.00001)</f>
        <v>255.06666907014568</v>
      </c>
      <c r="F119" s="31">
        <f ca="1">E119-VLOOKUP(Settings!$K$8,D$1:E$161,2,FALSE)</f>
        <v>-47.590832399018211</v>
      </c>
      <c r="G119" s="138">
        <f ca="1">RANK(H119,H$2:H$161)</f>
        <v>83</v>
      </c>
      <c r="H119" s="31">
        <f ca="1">VLOOKUP(A119,Rankings!$B$1:$H$651,7,FALSE)+(RAND()*0.00001)</f>
        <v>-0.48896127159207675</v>
      </c>
      <c r="I119" s="31">
        <f ca="1">H119-VLOOKUP(Settings!$K$8,G$1:H$161,2,FALSE)</f>
        <v>0.32153964386685902</v>
      </c>
      <c r="J119" s="31" t="str">
        <f>VLOOKUP(A119,Rankings!B:D,3,FALSE)</f>
        <v>NL</v>
      </c>
    </row>
    <row r="120" spans="1:10" ht="18.600000000000001" customHeight="1">
      <c r="A120" s="26" t="s">
        <v>359</v>
      </c>
      <c r="B120" s="27" t="s">
        <v>134</v>
      </c>
      <c r="C120" s="127" t="s">
        <v>31</v>
      </c>
      <c r="D120" s="138">
        <f ca="1">RANK(E120,E$2:E$161)</f>
        <v>119</v>
      </c>
      <c r="E120" s="31">
        <f ca="1">VLOOKUP(A120,Rankings!$B$1:$H$651,6,FALSE)+(RAND()*0.00001)</f>
        <v>253.22750437382069</v>
      </c>
      <c r="F120" s="31">
        <f ca="1">E120-VLOOKUP(Settings!$K$8,D$1:E$161,2,FALSE)</f>
        <v>-49.429997095343197</v>
      </c>
      <c r="G120" s="138">
        <f ca="1">RANK(H120,H$2:H$161)</f>
        <v>106</v>
      </c>
      <c r="H120" s="31">
        <f ca="1">VLOOKUP(A120,Rankings!$B$1:$H$651,7,FALSE)+(RAND()*0.00001)</f>
        <v>-1.7337713710952214</v>
      </c>
      <c r="I120" s="31">
        <f ca="1">H120-VLOOKUP(Settings!$K$8,G$1:H$161,2,FALSE)</f>
        <v>-0.92327045563628563</v>
      </c>
      <c r="J120" s="31" t="str">
        <f>VLOOKUP(A120,Rankings!B:D,3,FALSE)</f>
        <v>NL</v>
      </c>
    </row>
    <row r="121" spans="1:10" ht="18.600000000000001" customHeight="1">
      <c r="A121" s="26" t="s">
        <v>757</v>
      </c>
      <c r="B121" s="27" t="s">
        <v>140</v>
      </c>
      <c r="C121" s="127" t="s">
        <v>31</v>
      </c>
      <c r="D121" s="138">
        <f ca="1">RANK(E121,E$2:E$161)</f>
        <v>120</v>
      </c>
      <c r="E121" s="31">
        <f ca="1">VLOOKUP(A121,Rankings!$B$1:$H$651,6,FALSE)+(RAND()*0.00001)</f>
        <v>248.79083893370188</v>
      </c>
      <c r="F121" s="31">
        <f ca="1">E121-VLOOKUP(Settings!$K$8,D$1:E$161,2,FALSE)</f>
        <v>-53.866662535462012</v>
      </c>
      <c r="G121" s="138">
        <f ca="1">RANK(H121,H$2:H$161)</f>
        <v>138</v>
      </c>
      <c r="H121" s="31">
        <f ca="1">VLOOKUP(A121,Rankings!$B$1:$H$651,7,FALSE)+(RAND()*0.00001)</f>
        <v>-3.2034217268345118</v>
      </c>
      <c r="I121" s="31">
        <f ca="1">H121-VLOOKUP(Settings!$K$8,G$1:H$161,2,FALSE)</f>
        <v>-2.3929208113755758</v>
      </c>
      <c r="J121" s="31" t="str">
        <f>VLOOKUP(A121,Rankings!B:D,3,FALSE)</f>
        <v>NL</v>
      </c>
    </row>
    <row r="122" spans="1:10" ht="20.100000000000001" customHeight="1">
      <c r="A122" s="26" t="s">
        <v>391</v>
      </c>
      <c r="B122" s="27" t="s">
        <v>63</v>
      </c>
      <c r="C122" s="127" t="s">
        <v>31</v>
      </c>
      <c r="D122" s="138">
        <f ca="1">RANK(E122,E$2:E$161)</f>
        <v>121</v>
      </c>
      <c r="E122" s="31">
        <f ca="1">VLOOKUP(A122,Rankings!$B$1:$H$651,6,FALSE)+(RAND()*0.00001)</f>
        <v>246.77111955552803</v>
      </c>
      <c r="F122" s="31">
        <f ca="1">E122-VLOOKUP(Settings!$K$8,D$1:E$161,2,FALSE)</f>
        <v>-55.886381913635859</v>
      </c>
      <c r="G122" s="138">
        <f ca="1">RANK(H122,H$2:H$161)</f>
        <v>133</v>
      </c>
      <c r="H122" s="31">
        <f ca="1">VLOOKUP(A122,Rankings!$B$1:$H$651,7,FALSE)+(RAND()*0.00001)</f>
        <v>-2.7196401526612526</v>
      </c>
      <c r="I122" s="31">
        <f ca="1">H122-VLOOKUP(Settings!$K$8,G$1:H$161,2,FALSE)</f>
        <v>-1.9091392372023168</v>
      </c>
      <c r="J122" s="31" t="str">
        <f>VLOOKUP(A122,Rankings!B:D,3,FALSE)</f>
        <v>NL</v>
      </c>
    </row>
    <row r="123" spans="1:10" ht="20.100000000000001" customHeight="1">
      <c r="A123" s="26" t="s">
        <v>634</v>
      </c>
      <c r="B123" s="27" t="s">
        <v>140</v>
      </c>
      <c r="C123" s="127" t="s">
        <v>31</v>
      </c>
      <c r="D123" s="138">
        <f ca="1">RANK(E123,E$2:E$161)</f>
        <v>122</v>
      </c>
      <c r="E123" s="31">
        <f ca="1">VLOOKUP(A123,Rankings!$B$1:$H$651,6,FALSE)+(RAND()*0.00001)</f>
        <v>243.06000571804634</v>
      </c>
      <c r="F123" s="31">
        <f ca="1">E123-VLOOKUP(Settings!$K$8,D$1:E$161,2,FALSE)</f>
        <v>-59.597495751117549</v>
      </c>
      <c r="G123" s="138">
        <f ca="1">RANK(H123,H$2:H$161)</f>
        <v>124</v>
      </c>
      <c r="H123" s="31">
        <f ca="1">VLOOKUP(A123,Rankings!$B$1:$H$651,7,FALSE)+(RAND()*0.00001)</f>
        <v>-2.4313021108464321</v>
      </c>
      <c r="I123" s="31">
        <f ca="1">H123-VLOOKUP(Settings!$K$8,G$1:H$161,2,FALSE)</f>
        <v>-1.6208011953874963</v>
      </c>
      <c r="J123" s="31" t="str">
        <f>VLOOKUP(A123,Rankings!B:D,3,FALSE)</f>
        <v>AL</v>
      </c>
    </row>
    <row r="124" spans="1:10" ht="20.100000000000001" customHeight="1">
      <c r="A124" s="26" t="s">
        <v>274</v>
      </c>
      <c r="B124" s="27" t="s">
        <v>78</v>
      </c>
      <c r="C124" s="127" t="s">
        <v>31</v>
      </c>
      <c r="D124" s="138">
        <f ca="1">RANK(E124,E$2:E$161)</f>
        <v>123</v>
      </c>
      <c r="E124" s="31">
        <f ca="1">VLOOKUP(A124,Rankings!$B$1:$H$651,6,FALSE)+(RAND()*0.00001)</f>
        <v>238.64708420998872</v>
      </c>
      <c r="F124" s="31">
        <f ca="1">E124-VLOOKUP(Settings!$K$8,D$1:E$161,2,FALSE)</f>
        <v>-64.010417259175171</v>
      </c>
      <c r="G124" s="138">
        <f ca="1">RANK(H124,H$2:H$161)</f>
        <v>86</v>
      </c>
      <c r="H124" s="31">
        <f ca="1">VLOOKUP(A124,Rankings!$B$1:$H$651,7,FALSE)+(RAND()*0.00001)</f>
        <v>-0.58743297138948525</v>
      </c>
      <c r="I124" s="31">
        <f ca="1">H124-VLOOKUP(Settings!$K$8,G$1:H$161,2,FALSE)</f>
        <v>0.22306794406945052</v>
      </c>
      <c r="J124" s="31" t="str">
        <f>VLOOKUP(A124,Rankings!B:D,3,FALSE)</f>
        <v>AL</v>
      </c>
    </row>
    <row r="125" spans="1:10" ht="18.600000000000001" customHeight="1">
      <c r="A125" s="26" t="s">
        <v>630</v>
      </c>
      <c r="B125" s="27" t="s">
        <v>258</v>
      </c>
      <c r="C125" s="127" t="s">
        <v>31</v>
      </c>
      <c r="D125" s="138">
        <f ca="1">RANK(E125,E$2:E$161)</f>
        <v>124</v>
      </c>
      <c r="E125" s="31">
        <f ca="1">VLOOKUP(A125,Rankings!$B$1:$H$651,6,FALSE)+(RAND()*0.00001)</f>
        <v>237.01962961984052</v>
      </c>
      <c r="F125" s="31">
        <f ca="1">E125-VLOOKUP(Settings!$K$8,D$1:E$161,2,FALSE)</f>
        <v>-65.637871849323375</v>
      </c>
      <c r="G125" s="138">
        <f ca="1">RANK(H125,H$2:H$161)</f>
        <v>143</v>
      </c>
      <c r="H125" s="31">
        <f ca="1">VLOOKUP(A125,Rankings!$B$1:$H$651,7,FALSE)+(RAND()*0.00001)</f>
        <v>-3.4471462411438769</v>
      </c>
      <c r="I125" s="31">
        <f ca="1">H125-VLOOKUP(Settings!$K$8,G$1:H$161,2,FALSE)</f>
        <v>-2.6366453256849409</v>
      </c>
      <c r="J125" s="31" t="str">
        <f>VLOOKUP(A125,Rankings!B:D,3,FALSE)</f>
        <v>AL</v>
      </c>
    </row>
    <row r="126" spans="1:10" ht="18.600000000000001" customHeight="1">
      <c r="A126" s="26" t="s">
        <v>552</v>
      </c>
      <c r="B126" s="27" t="s">
        <v>103</v>
      </c>
      <c r="C126" s="127" t="s">
        <v>31</v>
      </c>
      <c r="D126" s="138">
        <f ca="1">RANK(E126,E$2:E$161)</f>
        <v>125</v>
      </c>
      <c r="E126" s="31">
        <f ca="1">VLOOKUP(A126,Rankings!$B$1:$H$651,6,FALSE)+(RAND()*0.00001)</f>
        <v>236.6000036054746</v>
      </c>
      <c r="F126" s="31">
        <f ca="1">E126-VLOOKUP(Settings!$K$8,D$1:E$161,2,FALSE)</f>
        <v>-66.057497863689292</v>
      </c>
      <c r="G126" s="138">
        <f ca="1">RANK(H126,H$2:H$161)</f>
        <v>132</v>
      </c>
      <c r="H126" s="31">
        <f ca="1">VLOOKUP(A126,Rankings!$B$1:$H$651,7,FALSE)+(RAND()*0.00001)</f>
        <v>-2.6648961722737226</v>
      </c>
      <c r="I126" s="31">
        <f ca="1">H126-VLOOKUP(Settings!$K$8,G$1:H$161,2,FALSE)</f>
        <v>-1.8543952568147868</v>
      </c>
      <c r="J126" s="31" t="str">
        <f>VLOOKUP(A126,Rankings!B:D,3,FALSE)</f>
        <v>AL</v>
      </c>
    </row>
    <row r="127" spans="1:10" ht="20.100000000000001" customHeight="1">
      <c r="A127" s="26" t="s">
        <v>701</v>
      </c>
      <c r="B127" s="27" t="s">
        <v>306</v>
      </c>
      <c r="C127" s="127" t="s">
        <v>31</v>
      </c>
      <c r="D127" s="138">
        <f ca="1">RANK(E127,E$2:E$161)</f>
        <v>126</v>
      </c>
      <c r="E127" s="31">
        <f ca="1">VLOOKUP(A127,Rankings!$B$1:$H$651,6,FALSE)+(RAND()*0.00001)</f>
        <v>236.53375692225458</v>
      </c>
      <c r="F127" s="31">
        <f ca="1">E127-VLOOKUP(Settings!$K$8,D$1:E$161,2,FALSE)</f>
        <v>-66.123744546909307</v>
      </c>
      <c r="G127" s="138">
        <f ca="1">RANK(H127,H$2:H$161)</f>
        <v>160</v>
      </c>
      <c r="H127" s="31">
        <f ca="1">VLOOKUP(A127,Rankings!$B$1:$H$651,7,FALSE)+(RAND()*0.00001)</f>
        <v>-5.3444335508312637</v>
      </c>
      <c r="I127" s="31">
        <f ca="1">H127-VLOOKUP(Settings!$K$8,G$1:H$161,2,FALSE)</f>
        <v>-4.5339326353723282</v>
      </c>
      <c r="J127" s="31" t="str">
        <f>VLOOKUP(A127,Rankings!B:D,3,FALSE)</f>
        <v>NL</v>
      </c>
    </row>
    <row r="128" spans="1:10" ht="18.600000000000001" customHeight="1">
      <c r="A128" s="26" t="s">
        <v>638</v>
      </c>
      <c r="B128" s="27" t="s">
        <v>140</v>
      </c>
      <c r="C128" s="127" t="s">
        <v>31</v>
      </c>
      <c r="D128" s="138">
        <f ca="1">RANK(E128,E$2:E$161)</f>
        <v>127</v>
      </c>
      <c r="E128" s="31">
        <f ca="1">VLOOKUP(A128,Rankings!$B$1:$H$651,6,FALSE)+(RAND()*0.00001)</f>
        <v>236.39607009904179</v>
      </c>
      <c r="F128" s="31">
        <f ca="1">E128-VLOOKUP(Settings!$K$8,D$1:E$161,2,FALSE)</f>
        <v>-66.261431370122096</v>
      </c>
      <c r="G128" s="138">
        <f ca="1">RANK(H128,H$2:H$161)</f>
        <v>150</v>
      </c>
      <c r="H128" s="31">
        <f ca="1">VLOOKUP(A128,Rankings!$B$1:$H$651,7,FALSE)+(RAND()*0.00001)</f>
        <v>-3.9673188639778356</v>
      </c>
      <c r="I128" s="31">
        <f ca="1">H128-VLOOKUP(Settings!$K$8,G$1:H$161,2,FALSE)</f>
        <v>-3.1568179485189001</v>
      </c>
      <c r="J128" s="31" t="str">
        <f>VLOOKUP(A128,Rankings!B:D,3,FALSE)</f>
        <v>AL</v>
      </c>
    </row>
    <row r="129" spans="1:10" ht="20.100000000000001" customHeight="1">
      <c r="A129" s="26" t="s">
        <v>668</v>
      </c>
      <c r="B129" s="27" t="s">
        <v>120</v>
      </c>
      <c r="C129" s="127" t="s">
        <v>31</v>
      </c>
      <c r="D129" s="138">
        <f ca="1">RANK(E129,E$2:E$161)</f>
        <v>128</v>
      </c>
      <c r="E129" s="31">
        <f ca="1">VLOOKUP(A129,Rankings!$B$1:$H$651,6,FALSE)+(RAND()*0.00001)</f>
        <v>234.93574106884537</v>
      </c>
      <c r="F129" s="31">
        <f ca="1">E129-VLOOKUP(Settings!$K$8,D$1:E$161,2,FALSE)</f>
        <v>-67.721760400318516</v>
      </c>
      <c r="G129" s="138">
        <f ca="1">RANK(H129,H$2:H$161)</f>
        <v>158</v>
      </c>
      <c r="H129" s="31">
        <f ca="1">VLOOKUP(A129,Rankings!$B$1:$H$651,7,FALSE)+(RAND()*0.00001)</f>
        <v>-5.0384077392754065</v>
      </c>
      <c r="I129" s="31">
        <f ca="1">H129-VLOOKUP(Settings!$K$8,G$1:H$161,2,FALSE)</f>
        <v>-4.227906823816471</v>
      </c>
      <c r="J129" s="31" t="str">
        <f>VLOOKUP(A129,Rankings!B:D,3,FALSE)</f>
        <v>NL</v>
      </c>
    </row>
    <row r="130" spans="1:10" ht="18.600000000000001" customHeight="1">
      <c r="A130" s="26" t="s">
        <v>752</v>
      </c>
      <c r="B130" s="27" t="s">
        <v>68</v>
      </c>
      <c r="C130" s="127" t="s">
        <v>31</v>
      </c>
      <c r="D130" s="138">
        <f ca="1">RANK(E130,E$2:E$161)</f>
        <v>129</v>
      </c>
      <c r="E130" s="31">
        <f ca="1">VLOOKUP(A130,Rankings!$B$1:$H$651,6,FALSE)+(RAND()*0.00001)</f>
        <v>230.57347429817747</v>
      </c>
      <c r="F130" s="31">
        <f ca="1">E130-VLOOKUP(Settings!$K$8,D$1:E$161,2,FALSE)</f>
        <v>-72.084027170986417</v>
      </c>
      <c r="G130" s="138">
        <f ca="1">RANK(H130,H$2:H$161)</f>
        <v>96</v>
      </c>
      <c r="H130" s="31">
        <f ca="1">VLOOKUP(A130,Rankings!$B$1:$H$651,7,FALSE)+(RAND()*0.00001)</f>
        <v>-1.0669966943289666</v>
      </c>
      <c r="I130" s="31">
        <f ca="1">H130-VLOOKUP(Settings!$K$8,G$1:H$161,2,FALSE)</f>
        <v>-0.25649577887003083</v>
      </c>
      <c r="J130" s="31" t="str">
        <f>VLOOKUP(A130,Rankings!B:D,3,FALSE)</f>
        <v>AL</v>
      </c>
    </row>
    <row r="131" spans="1:10" ht="18.600000000000001" customHeight="1">
      <c r="A131" s="26" t="s">
        <v>547</v>
      </c>
      <c r="B131" s="27" t="s">
        <v>117</v>
      </c>
      <c r="C131" s="127" t="s">
        <v>31</v>
      </c>
      <c r="D131" s="138">
        <f ca="1">RANK(E131,E$2:E$161)</f>
        <v>130</v>
      </c>
      <c r="E131" s="31">
        <f ca="1">VLOOKUP(A131,Rankings!$B$1:$H$651,6,FALSE)+(RAND()*0.00001)</f>
        <v>229.06213809306135</v>
      </c>
      <c r="F131" s="31">
        <f ca="1">E131-VLOOKUP(Settings!$K$8,D$1:E$161,2,FALSE)</f>
        <v>-73.59536337610254</v>
      </c>
      <c r="G131" s="138">
        <f ca="1">RANK(H131,H$2:H$161)</f>
        <v>149</v>
      </c>
      <c r="H131" s="31">
        <f ca="1">VLOOKUP(A131,Rankings!$B$1:$H$651,7,FALSE)+(RAND()*0.00001)</f>
        <v>-3.8620386628524126</v>
      </c>
      <c r="I131" s="31">
        <f ca="1">H131-VLOOKUP(Settings!$K$8,G$1:H$161,2,FALSE)</f>
        <v>-3.0515377473934766</v>
      </c>
      <c r="J131" s="31" t="str">
        <f>VLOOKUP(A131,Rankings!B:D,3,FALSE)</f>
        <v>AL</v>
      </c>
    </row>
    <row r="132" spans="1:10" ht="18.600000000000001" customHeight="1">
      <c r="A132" s="26" t="s">
        <v>649</v>
      </c>
      <c r="B132" s="27" t="s">
        <v>306</v>
      </c>
      <c r="C132" s="127" t="s">
        <v>31</v>
      </c>
      <c r="D132" s="138">
        <f ca="1">RANK(E132,E$2:E$161)</f>
        <v>131</v>
      </c>
      <c r="E132" s="31">
        <f ca="1">VLOOKUP(A132,Rankings!$B$1:$H$651,6,FALSE)+(RAND()*0.00001)</f>
        <v>224.99913917750291</v>
      </c>
      <c r="F132" s="31">
        <f ca="1">E132-VLOOKUP(Settings!$K$8,D$1:E$161,2,FALSE)</f>
        <v>-77.658362291660978</v>
      </c>
      <c r="G132" s="138">
        <f ca="1">RANK(H132,H$2:H$161)</f>
        <v>148</v>
      </c>
      <c r="H132" s="31">
        <f ca="1">VLOOKUP(A132,Rankings!$B$1:$H$651,7,FALSE)+(RAND()*0.00001)</f>
        <v>-3.7205977892225683</v>
      </c>
      <c r="I132" s="31">
        <f ca="1">H132-VLOOKUP(Settings!$K$8,G$1:H$161,2,FALSE)</f>
        <v>-2.9100968737636324</v>
      </c>
      <c r="J132" s="31" t="str">
        <f>VLOOKUP(A132,Rankings!B:D,3,FALSE)</f>
        <v>NL</v>
      </c>
    </row>
    <row r="133" spans="1:10" ht="18.600000000000001" customHeight="1">
      <c r="A133" s="26" t="s">
        <v>562</v>
      </c>
      <c r="B133" s="27" t="s">
        <v>94</v>
      </c>
      <c r="C133" s="127" t="s">
        <v>31</v>
      </c>
      <c r="D133" s="138">
        <f ca="1">RANK(E133,E$2:E$161)</f>
        <v>132</v>
      </c>
      <c r="E133" s="31">
        <f ca="1">VLOOKUP(A133,Rankings!$B$1:$H$651,6,FALSE)+(RAND()*0.00001)</f>
        <v>219.43666771311106</v>
      </c>
      <c r="F133" s="31">
        <f ca="1">E133-VLOOKUP(Settings!$K$8,D$1:E$161,2,FALSE)</f>
        <v>-83.220833756052826</v>
      </c>
      <c r="G133" s="138">
        <f ca="1">RANK(H133,H$2:H$161)</f>
        <v>139</v>
      </c>
      <c r="H133" s="31">
        <f ca="1">VLOOKUP(A133,Rankings!$B$1:$H$651,7,FALSE)+(RAND()*0.00001)</f>
        <v>-3.2289525906420415</v>
      </c>
      <c r="I133" s="31">
        <f ca="1">H133-VLOOKUP(Settings!$K$8,G$1:H$161,2,FALSE)</f>
        <v>-2.418451675183106</v>
      </c>
      <c r="J133" s="31" t="str">
        <f>VLOOKUP(A133,Rankings!B:D,3,FALSE)</f>
        <v>AL</v>
      </c>
    </row>
    <row r="134" spans="1:10" ht="20.100000000000001" customHeight="1">
      <c r="A134" s="26" t="s">
        <v>437</v>
      </c>
      <c r="B134" s="27" t="s">
        <v>114</v>
      </c>
      <c r="C134" s="127" t="s">
        <v>31</v>
      </c>
      <c r="D134" s="138">
        <f ca="1">RANK(E134,E$2:E$161)</f>
        <v>133</v>
      </c>
      <c r="E134" s="31">
        <f ca="1">VLOOKUP(A134,Rankings!$B$1:$H$651,6,FALSE)+(RAND()*0.00001)</f>
        <v>219.19818646347829</v>
      </c>
      <c r="F134" s="31">
        <f ca="1">E134-VLOOKUP(Settings!$K$8,D$1:E$161,2,FALSE)</f>
        <v>-83.459315005685596</v>
      </c>
      <c r="G134" s="138">
        <f ca="1">RANK(H134,H$2:H$161)</f>
        <v>142</v>
      </c>
      <c r="H134" s="31">
        <f ca="1">VLOOKUP(A134,Rankings!$B$1:$H$651,7,FALSE)+(RAND()*0.00001)</f>
        <v>-3.4431311851927902</v>
      </c>
      <c r="I134" s="31">
        <f ca="1">H134-VLOOKUP(Settings!$K$8,G$1:H$161,2,FALSE)</f>
        <v>-2.6326302697338546</v>
      </c>
      <c r="J134" s="31" t="str">
        <f>VLOOKUP(A134,Rankings!B:D,3,FALSE)</f>
        <v>AL</v>
      </c>
    </row>
    <row r="135" spans="1:10" ht="20.100000000000001" customHeight="1">
      <c r="A135" s="26" t="s">
        <v>607</v>
      </c>
      <c r="B135" s="27" t="s">
        <v>258</v>
      </c>
      <c r="C135" s="127" t="s">
        <v>31</v>
      </c>
      <c r="D135" s="138">
        <f ca="1">RANK(E135,E$2:E$161)</f>
        <v>134</v>
      </c>
      <c r="E135" s="31">
        <f ca="1">VLOOKUP(A135,Rankings!$B$1:$H$651,6,FALSE)+(RAND()*0.00001)</f>
        <v>218.74767241280279</v>
      </c>
      <c r="F135" s="31">
        <f ca="1">E135-VLOOKUP(Settings!$K$8,D$1:E$161,2,FALSE)</f>
        <v>-83.909829056361104</v>
      </c>
      <c r="G135" s="138">
        <f ca="1">RANK(H135,H$2:H$161)</f>
        <v>128</v>
      </c>
      <c r="H135" s="31">
        <f ca="1">VLOOKUP(A135,Rankings!$B$1:$H$651,7,FALSE)+(RAND()*0.00001)</f>
        <v>-2.5023814041089416</v>
      </c>
      <c r="I135" s="31">
        <f ca="1">H135-VLOOKUP(Settings!$K$8,G$1:H$161,2,FALSE)</f>
        <v>-1.6918804886500058</v>
      </c>
      <c r="J135" s="31" t="str">
        <f>VLOOKUP(A135,Rankings!B:D,3,FALSE)</f>
        <v>AL</v>
      </c>
    </row>
    <row r="136" spans="1:10" ht="18.600000000000001" customHeight="1">
      <c r="A136" s="26" t="s">
        <v>540</v>
      </c>
      <c r="B136" s="27" t="s">
        <v>91</v>
      </c>
      <c r="C136" s="127" t="s">
        <v>31</v>
      </c>
      <c r="D136" s="138">
        <f ca="1">RANK(E136,E$2:E$161)</f>
        <v>135</v>
      </c>
      <c r="E136" s="31">
        <f ca="1">VLOOKUP(A136,Rankings!$B$1:$H$651,6,FALSE)+(RAND()*0.00001)</f>
        <v>217.18644445516728</v>
      </c>
      <c r="F136" s="31">
        <f ca="1">E136-VLOOKUP(Settings!$K$8,D$1:E$161,2,FALSE)</f>
        <v>-85.471057013996614</v>
      </c>
      <c r="G136" s="138">
        <f ca="1">RANK(H136,H$2:H$161)</f>
        <v>105</v>
      </c>
      <c r="H136" s="31">
        <f ca="1">VLOOKUP(A136,Rankings!$B$1:$H$651,7,FALSE)+(RAND()*0.00001)</f>
        <v>-1.733269707541778</v>
      </c>
      <c r="I136" s="31">
        <f ca="1">H136-VLOOKUP(Settings!$K$8,G$1:H$161,2,FALSE)</f>
        <v>-0.92276879208284224</v>
      </c>
      <c r="J136" s="31" t="str">
        <f>VLOOKUP(A136,Rankings!B:D,3,FALSE)</f>
        <v>NL</v>
      </c>
    </row>
    <row r="137" spans="1:10" ht="18.600000000000001" customHeight="1">
      <c r="A137" s="26" t="s">
        <v>525</v>
      </c>
      <c r="B137" s="27" t="s">
        <v>158</v>
      </c>
      <c r="C137" s="127" t="s">
        <v>31</v>
      </c>
      <c r="D137" s="138">
        <f ca="1">RANK(E137,E$2:E$161)</f>
        <v>136</v>
      </c>
      <c r="E137" s="31">
        <f ca="1">VLOOKUP(A137,Rankings!$B$1:$H$651,6,FALSE)+(RAND()*0.00001)</f>
        <v>216.42958523119952</v>
      </c>
      <c r="F137" s="31">
        <f ca="1">E137-VLOOKUP(Settings!$K$8,D$1:E$161,2,FALSE)</f>
        <v>-86.227916237964365</v>
      </c>
      <c r="G137" s="138">
        <f ca="1">RANK(H137,H$2:H$161)</f>
        <v>140</v>
      </c>
      <c r="H137" s="31">
        <f ca="1">VLOOKUP(A137,Rankings!$B$1:$H$651,7,FALSE)+(RAND()*0.00001)</f>
        <v>-3.2330585431770138</v>
      </c>
      <c r="I137" s="31">
        <f ca="1">H137-VLOOKUP(Settings!$K$8,G$1:H$161,2,FALSE)</f>
        <v>-2.4225576277180778</v>
      </c>
      <c r="J137" s="31" t="str">
        <f>VLOOKUP(A137,Rankings!B:D,3,FALSE)</f>
        <v>NL</v>
      </c>
    </row>
    <row r="138" spans="1:10" ht="20.100000000000001" customHeight="1">
      <c r="A138" s="26" t="s">
        <v>484</v>
      </c>
      <c r="B138" s="27" t="s">
        <v>103</v>
      </c>
      <c r="C138" s="127" t="s">
        <v>31</v>
      </c>
      <c r="D138" s="138">
        <f ca="1">RANK(E138,E$2:E$161)</f>
        <v>137</v>
      </c>
      <c r="E138" s="31">
        <f ca="1">VLOOKUP(A138,Rankings!$B$1:$H$651,6,FALSE)+(RAND()*0.00001)</f>
        <v>215.49040433861865</v>
      </c>
      <c r="F138" s="31">
        <f ca="1">E138-VLOOKUP(Settings!$K$8,D$1:E$161,2,FALSE)</f>
        <v>-87.167097130545244</v>
      </c>
      <c r="G138" s="138">
        <f ca="1">RANK(H138,H$2:H$161)</f>
        <v>125</v>
      </c>
      <c r="H138" s="31">
        <f ca="1">VLOOKUP(A138,Rankings!$B$1:$H$651,7,FALSE)+(RAND()*0.00001)</f>
        <v>-2.4425587130804103</v>
      </c>
      <c r="I138" s="31">
        <f ca="1">H138-VLOOKUP(Settings!$K$8,G$1:H$161,2,FALSE)</f>
        <v>-1.6320577976214745</v>
      </c>
      <c r="J138" s="31" t="str">
        <f>VLOOKUP(A138,Rankings!B:D,3,FALSE)</f>
        <v>AL</v>
      </c>
    </row>
    <row r="139" spans="1:10" ht="18.600000000000001" customHeight="1">
      <c r="A139" s="26" t="s">
        <v>350</v>
      </c>
      <c r="B139" s="27" t="s">
        <v>95</v>
      </c>
      <c r="C139" s="127" t="s">
        <v>31</v>
      </c>
      <c r="D139" s="138">
        <f ca="1">RANK(E139,E$2:E$161)</f>
        <v>138</v>
      </c>
      <c r="E139" s="31">
        <f ca="1">VLOOKUP(A139,Rankings!$B$1:$H$651,6,FALSE)+(RAND()*0.00001)</f>
        <v>214.13054257618401</v>
      </c>
      <c r="F139" s="31">
        <f ca="1">E139-VLOOKUP(Settings!$K$8,D$1:E$161,2,FALSE)</f>
        <v>-88.526958892979877</v>
      </c>
      <c r="G139" s="138">
        <f ca="1">RANK(H139,H$2:H$161)</f>
        <v>130</v>
      </c>
      <c r="H139" s="31">
        <f ca="1">VLOOKUP(A139,Rankings!$B$1:$H$651,7,FALSE)+(RAND()*0.00001)</f>
        <v>-2.5211469449398169</v>
      </c>
      <c r="I139" s="31">
        <f ca="1">H139-VLOOKUP(Settings!$K$8,G$1:H$161,2,FALSE)</f>
        <v>-1.7106460294808812</v>
      </c>
      <c r="J139" s="31" t="str">
        <f>VLOOKUP(A139,Rankings!B:D,3,FALSE)</f>
        <v>NL</v>
      </c>
    </row>
    <row r="140" spans="1:10" ht="20.100000000000001" customHeight="1">
      <c r="A140" s="26" t="s">
        <v>410</v>
      </c>
      <c r="B140" s="27" t="s">
        <v>95</v>
      </c>
      <c r="C140" s="127" t="s">
        <v>31</v>
      </c>
      <c r="D140" s="138">
        <f ca="1">RANK(E140,E$2:E$161)</f>
        <v>139</v>
      </c>
      <c r="E140" s="31">
        <f ca="1">VLOOKUP(A140,Rankings!$B$1:$H$651,6,FALSE)+(RAND()*0.00001)</f>
        <v>208.10056196624157</v>
      </c>
      <c r="F140" s="31">
        <f ca="1">E140-VLOOKUP(Settings!$K$8,D$1:E$161,2,FALSE)</f>
        <v>-94.556939502922319</v>
      </c>
      <c r="G140" s="138">
        <f ca="1">RANK(H140,H$2:H$161)</f>
        <v>84</v>
      </c>
      <c r="H140" s="31">
        <f ca="1">VLOOKUP(A140,Rankings!$B$1:$H$651,7,FALSE)+(RAND()*0.00001)</f>
        <v>-0.49534038246919188</v>
      </c>
      <c r="I140" s="31">
        <f ca="1">H140-VLOOKUP(Settings!$K$8,G$1:H$161,2,FALSE)</f>
        <v>0.31516053298974389</v>
      </c>
      <c r="J140" s="31" t="str">
        <f>VLOOKUP(A140,Rankings!B:D,3,FALSE)</f>
        <v>NL</v>
      </c>
    </row>
    <row r="141" spans="1:10" ht="18.600000000000001" customHeight="1">
      <c r="A141" s="26" t="s">
        <v>337</v>
      </c>
      <c r="B141" s="27" t="s">
        <v>120</v>
      </c>
      <c r="C141" s="127" t="s">
        <v>31</v>
      </c>
      <c r="D141" s="138">
        <f ca="1">RANK(E141,E$2:E$161)</f>
        <v>140</v>
      </c>
      <c r="E141" s="31">
        <f ca="1">VLOOKUP(A141,Rankings!$B$1:$H$651,6,FALSE)+(RAND()*0.00001)</f>
        <v>199.20837559627256</v>
      </c>
      <c r="F141" s="31">
        <f ca="1">E141-VLOOKUP(Settings!$K$8,D$1:E$161,2,FALSE)</f>
        <v>-103.44912587289133</v>
      </c>
      <c r="G141" s="138">
        <f ca="1">RANK(H141,H$2:H$161)</f>
        <v>151</v>
      </c>
      <c r="H141" s="31">
        <f ca="1">VLOOKUP(A141,Rankings!$B$1:$H$651,7,FALSE)+(RAND()*0.00001)</f>
        <v>-4.0120978493051691</v>
      </c>
      <c r="I141" s="31">
        <f ca="1">H141-VLOOKUP(Settings!$K$8,G$1:H$161,2,FALSE)</f>
        <v>-3.2015969338462336</v>
      </c>
      <c r="J141" s="31" t="str">
        <f>VLOOKUP(A141,Rankings!B:D,3,FALSE)</f>
        <v>NL</v>
      </c>
    </row>
    <row r="142" spans="1:10" ht="18.600000000000001" customHeight="1">
      <c r="A142" s="26" t="s">
        <v>554</v>
      </c>
      <c r="B142" s="27" t="s">
        <v>134</v>
      </c>
      <c r="C142" s="127" t="s">
        <v>31</v>
      </c>
      <c r="D142" s="138">
        <f ca="1">RANK(E142,E$2:E$161)</f>
        <v>141</v>
      </c>
      <c r="E142" s="31">
        <f ca="1">VLOOKUP(A142,Rankings!$B$1:$H$651,6,FALSE)+(RAND()*0.00001)</f>
        <v>195.95798565771557</v>
      </c>
      <c r="F142" s="31">
        <f ca="1">E142-VLOOKUP(Settings!$K$8,D$1:E$161,2,FALSE)</f>
        <v>-106.69951581144832</v>
      </c>
      <c r="G142" s="138">
        <f ca="1">RANK(H142,H$2:H$161)</f>
        <v>141</v>
      </c>
      <c r="H142" s="31">
        <f ca="1">VLOOKUP(A142,Rankings!$B$1:$H$651,7,FALSE)+(RAND()*0.00001)</f>
        <v>-3.3773935615321409</v>
      </c>
      <c r="I142" s="31">
        <f ca="1">H142-VLOOKUP(Settings!$K$8,G$1:H$161,2,FALSE)</f>
        <v>-2.5668926460732049</v>
      </c>
      <c r="J142" s="31" t="str">
        <f>VLOOKUP(A142,Rankings!B:D,3,FALSE)</f>
        <v>NL</v>
      </c>
    </row>
    <row r="143" spans="1:10" ht="20.100000000000001" customHeight="1">
      <c r="A143" s="26" t="s">
        <v>553</v>
      </c>
      <c r="B143" s="27" t="s">
        <v>137</v>
      </c>
      <c r="C143" s="127" t="s">
        <v>31</v>
      </c>
      <c r="D143" s="138">
        <f ca="1">RANK(E143,E$2:E$161)</f>
        <v>142</v>
      </c>
      <c r="E143" s="31">
        <f ca="1">VLOOKUP(A143,Rankings!$B$1:$H$651,6,FALSE)+(RAND()*0.00001)</f>
        <v>195.23158551493142</v>
      </c>
      <c r="F143" s="31">
        <f ca="1">E143-VLOOKUP(Settings!$K$8,D$1:E$161,2,FALSE)</f>
        <v>-107.42591595423247</v>
      </c>
      <c r="G143" s="138">
        <f ca="1">RANK(H143,H$2:H$161)</f>
        <v>152</v>
      </c>
      <c r="H143" s="31">
        <f ca="1">VLOOKUP(A143,Rankings!$B$1:$H$651,7,FALSE)+(RAND()*0.00001)</f>
        <v>-4.1073474414125446</v>
      </c>
      <c r="I143" s="31">
        <f ca="1">H143-VLOOKUP(Settings!$K$8,G$1:H$161,2,FALSE)</f>
        <v>-3.2968465259536091</v>
      </c>
      <c r="J143" s="31" t="str">
        <f>VLOOKUP(A143,Rankings!B:D,3,FALSE)</f>
        <v>NL</v>
      </c>
    </row>
    <row r="144" spans="1:10" ht="20.100000000000001" customHeight="1">
      <c r="A144" s="26" t="s">
        <v>400</v>
      </c>
      <c r="B144" s="27" t="s">
        <v>156</v>
      </c>
      <c r="C144" s="127" t="s">
        <v>31</v>
      </c>
      <c r="D144" s="138">
        <f ca="1">RANK(E144,E$2:E$161)</f>
        <v>143</v>
      </c>
      <c r="E144" s="31">
        <f ca="1">VLOOKUP(A144,Rankings!$B$1:$H$651,6,FALSE)+(RAND()*0.00001)</f>
        <v>194.8173475136679</v>
      </c>
      <c r="F144" s="31">
        <f ca="1">E144-VLOOKUP(Settings!$K$8,D$1:E$161,2,FALSE)</f>
        <v>-107.84015395549599</v>
      </c>
      <c r="G144" s="138">
        <f ca="1">RANK(H144,H$2:H$161)</f>
        <v>101</v>
      </c>
      <c r="H144" s="31">
        <f ca="1">VLOOKUP(A144,Rankings!$B$1:$H$651,7,FALSE)+(RAND()*0.00001)</f>
        <v>-1.5449415038906222</v>
      </c>
      <c r="I144" s="31">
        <f ca="1">H144-VLOOKUP(Settings!$K$8,G$1:H$161,2,FALSE)</f>
        <v>-0.73444058843168647</v>
      </c>
      <c r="J144" s="31" t="str">
        <f>VLOOKUP(A144,Rankings!B:D,3,FALSE)</f>
        <v>AL</v>
      </c>
    </row>
    <row r="145" spans="1:10" ht="20.100000000000001" customHeight="1">
      <c r="A145" s="26" t="s">
        <v>609</v>
      </c>
      <c r="B145" s="27" t="s">
        <v>140</v>
      </c>
      <c r="C145" s="127" t="s">
        <v>31</v>
      </c>
      <c r="D145" s="138">
        <f ca="1">RANK(E145,E$2:E$161)</f>
        <v>144</v>
      </c>
      <c r="E145" s="31">
        <f ca="1">VLOOKUP(A145,Rankings!$B$1:$H$651,6,FALSE)+(RAND()*0.00001)</f>
        <v>191.47696818375761</v>
      </c>
      <c r="F145" s="31">
        <f ca="1">E145-VLOOKUP(Settings!$K$8,D$1:E$161,2,FALSE)</f>
        <v>-111.18053328540628</v>
      </c>
      <c r="G145" s="138">
        <f ca="1">RANK(H145,H$2:H$161)</f>
        <v>144</v>
      </c>
      <c r="H145" s="31">
        <f ca="1">VLOOKUP(A145,Rankings!$B$1:$H$651,7,FALSE)+(RAND()*0.00001)</f>
        <v>-3.4508653151145161</v>
      </c>
      <c r="I145" s="31">
        <f ca="1">H145-VLOOKUP(Settings!$K$8,G$1:H$161,2,FALSE)</f>
        <v>-2.6403643996555806</v>
      </c>
      <c r="J145" s="31" t="str">
        <f>VLOOKUP(A145,Rankings!B:D,3,FALSE)</f>
        <v>AL</v>
      </c>
    </row>
    <row r="146" spans="1:10" ht="18.600000000000001" customHeight="1">
      <c r="A146" s="26" t="s">
        <v>606</v>
      </c>
      <c r="B146" s="27" t="s">
        <v>158</v>
      </c>
      <c r="C146" s="127" t="s">
        <v>31</v>
      </c>
      <c r="D146" s="138">
        <f ca="1">RANK(E146,E$2:E$161)</f>
        <v>145</v>
      </c>
      <c r="E146" s="31">
        <f ca="1">VLOOKUP(A146,Rankings!$B$1:$H$651,6,FALSE)+(RAND()*0.00001)</f>
        <v>186.98578628631358</v>
      </c>
      <c r="F146" s="31">
        <f ca="1">E146-VLOOKUP(Settings!$K$8,D$1:E$161,2,FALSE)</f>
        <v>-115.67171518285031</v>
      </c>
      <c r="G146" s="138">
        <f ca="1">RANK(H146,H$2:H$161)</f>
        <v>157</v>
      </c>
      <c r="H146" s="31">
        <f ca="1">VLOOKUP(A146,Rankings!$B$1:$H$651,7,FALSE)+(RAND()*0.00001)</f>
        <v>-5.0363415017579261</v>
      </c>
      <c r="I146" s="31">
        <f ca="1">H146-VLOOKUP(Settings!$K$8,G$1:H$161,2,FALSE)</f>
        <v>-4.2258405862989905</v>
      </c>
      <c r="J146" s="31" t="str">
        <f>VLOOKUP(A146,Rankings!B:D,3,FALSE)</f>
        <v>NL</v>
      </c>
    </row>
    <row r="147" spans="1:10" ht="18.600000000000001" customHeight="1">
      <c r="A147" s="26" t="s">
        <v>481</v>
      </c>
      <c r="B147" s="27" t="s">
        <v>99</v>
      </c>
      <c r="C147" s="127" t="s">
        <v>31</v>
      </c>
      <c r="D147" s="138">
        <f ca="1">RANK(E147,E$2:E$161)</f>
        <v>146</v>
      </c>
      <c r="E147" s="31">
        <f ca="1">VLOOKUP(A147,Rankings!$B$1:$H$651,6,FALSE)+(RAND()*0.00001)</f>
        <v>185.28656255397468</v>
      </c>
      <c r="F147" s="31">
        <f ca="1">E147-VLOOKUP(Settings!$K$8,D$1:E$161,2,FALSE)</f>
        <v>-117.37093891518921</v>
      </c>
      <c r="G147" s="138">
        <f ca="1">RANK(H147,H$2:H$161)</f>
        <v>134</v>
      </c>
      <c r="H147" s="31">
        <f ca="1">VLOOKUP(A147,Rankings!$B$1:$H$651,7,FALSE)+(RAND()*0.00001)</f>
        <v>-2.9308860846571649</v>
      </c>
      <c r="I147" s="31">
        <f ca="1">H147-VLOOKUP(Settings!$K$8,G$1:H$161,2,FALSE)</f>
        <v>-2.1203851691982294</v>
      </c>
      <c r="J147" s="31" t="str">
        <f>VLOOKUP(A147,Rankings!B:D,3,FALSE)</f>
        <v>AL</v>
      </c>
    </row>
    <row r="148" spans="1:10" ht="20.100000000000001" customHeight="1">
      <c r="A148" s="26" t="s">
        <v>534</v>
      </c>
      <c r="B148" s="27" t="s">
        <v>140</v>
      </c>
      <c r="C148" s="127" t="s">
        <v>31</v>
      </c>
      <c r="D148" s="138">
        <f ca="1">RANK(E148,E$2:E$161)</f>
        <v>147</v>
      </c>
      <c r="E148" s="31">
        <f ca="1">VLOOKUP(A148,Rankings!$B$1:$H$651,6,FALSE)+(RAND()*0.00001)</f>
        <v>183.57526852433389</v>
      </c>
      <c r="F148" s="31">
        <f ca="1">E148-VLOOKUP(Settings!$K$8,D$1:E$161,2,FALSE)</f>
        <v>-119.08223294483</v>
      </c>
      <c r="G148" s="138">
        <f ca="1">RANK(H148,H$2:H$161)</f>
        <v>126</v>
      </c>
      <c r="H148" s="31">
        <f ca="1">VLOOKUP(A148,Rankings!$B$1:$H$651,7,FALSE)+(RAND()*0.00001)</f>
        <v>-2.4460994715885946</v>
      </c>
      <c r="I148" s="31">
        <f ca="1">H148-VLOOKUP(Settings!$K$8,G$1:H$161,2,FALSE)</f>
        <v>-1.6355985561296589</v>
      </c>
      <c r="J148" s="31" t="str">
        <f>VLOOKUP(A148,Rankings!B:D,3,FALSE)</f>
        <v>AL</v>
      </c>
    </row>
    <row r="149" spans="1:10" ht="18.600000000000001" customHeight="1">
      <c r="A149" s="26" t="s">
        <v>585</v>
      </c>
      <c r="B149" s="27" t="s">
        <v>71</v>
      </c>
      <c r="C149" s="127" t="s">
        <v>31</v>
      </c>
      <c r="D149" s="138">
        <f ca="1">RANK(E149,E$2:E$161)</f>
        <v>148</v>
      </c>
      <c r="E149" s="31">
        <f ca="1">VLOOKUP(A149,Rankings!$B$1:$H$651,6,FALSE)+(RAND()*0.00001)</f>
        <v>169.96971136033841</v>
      </c>
      <c r="F149" s="31">
        <f ca="1">E149-VLOOKUP(Settings!$K$8,D$1:E$161,2,FALSE)</f>
        <v>-132.68779010882548</v>
      </c>
      <c r="G149" s="138">
        <f ca="1">RANK(H149,H$2:H$161)</f>
        <v>145</v>
      </c>
      <c r="H149" s="31">
        <f ca="1">VLOOKUP(A149,Rankings!$B$1:$H$651,7,FALSE)+(RAND()*0.00001)</f>
        <v>-3.4754431614712078</v>
      </c>
      <c r="I149" s="31">
        <f ca="1">H149-VLOOKUP(Settings!$K$8,G$1:H$161,2,FALSE)</f>
        <v>-2.6649422460122718</v>
      </c>
      <c r="J149" s="31" t="str">
        <f>VLOOKUP(A149,Rankings!B:D,3,FALSE)</f>
        <v>AL</v>
      </c>
    </row>
    <row r="150" spans="1:10" ht="18.600000000000001" customHeight="1">
      <c r="A150" s="26" t="s">
        <v>467</v>
      </c>
      <c r="B150" s="27" t="s">
        <v>97</v>
      </c>
      <c r="C150" s="127" t="s">
        <v>31</v>
      </c>
      <c r="D150" s="138">
        <f ca="1">RANK(E150,E$2:E$161)</f>
        <v>149</v>
      </c>
      <c r="E150" s="31">
        <f ca="1">VLOOKUP(A150,Rankings!$B$1:$H$651,6,FALSE)+(RAND()*0.00001)</f>
        <v>164.1643072852934</v>
      </c>
      <c r="F150" s="31">
        <f ca="1">E150-VLOOKUP(Settings!$K$8,D$1:E$161,2,FALSE)</f>
        <v>-138.49319418387049</v>
      </c>
      <c r="G150" s="138">
        <f ca="1">RANK(H150,H$2:H$161)</f>
        <v>108</v>
      </c>
      <c r="H150" s="31">
        <f ca="1">VLOOKUP(A150,Rankings!$B$1:$H$651,7,FALSE)+(RAND()*0.00001)</f>
        <v>-1.8788502451543505</v>
      </c>
      <c r="I150" s="31">
        <f ca="1">H150-VLOOKUP(Settings!$K$8,G$1:H$161,2,FALSE)</f>
        <v>-1.0683493296954147</v>
      </c>
      <c r="J150" s="31" t="str">
        <f>VLOOKUP(A150,Rankings!B:D,3,FALSE)</f>
        <v>NL</v>
      </c>
    </row>
    <row r="151" spans="1:10" ht="20.100000000000001" customHeight="1">
      <c r="A151" s="26" t="s">
        <v>541</v>
      </c>
      <c r="B151" s="27" t="s">
        <v>95</v>
      </c>
      <c r="C151" s="127" t="s">
        <v>31</v>
      </c>
      <c r="D151" s="138">
        <f ca="1">RANK(E151,E$2:E$161)</f>
        <v>150</v>
      </c>
      <c r="E151" s="31">
        <f ca="1">VLOOKUP(A151,Rankings!$B$1:$H$651,6,FALSE)+(RAND()*0.00001)</f>
        <v>162.24945086612854</v>
      </c>
      <c r="F151" s="31">
        <f ca="1">E151-VLOOKUP(Settings!$K$8,D$1:E$161,2,FALSE)</f>
        <v>-140.40805060303535</v>
      </c>
      <c r="G151" s="138">
        <f ca="1">RANK(H151,H$2:H$161)</f>
        <v>117</v>
      </c>
      <c r="H151" s="31">
        <f ca="1">VLOOKUP(A151,Rankings!$B$1:$H$651,7,FALSE)+(RAND()*0.00001)</f>
        <v>-2.228755434177657</v>
      </c>
      <c r="I151" s="31">
        <f ca="1">H151-VLOOKUP(Settings!$K$8,G$1:H$161,2,FALSE)</f>
        <v>-1.4182545187187212</v>
      </c>
      <c r="J151" s="31" t="str">
        <f>VLOOKUP(A151,Rankings!B:D,3,FALSE)</f>
        <v>NL</v>
      </c>
    </row>
    <row r="152" spans="1:10" ht="20.100000000000001" customHeight="1">
      <c r="A152" s="26" t="s">
        <v>592</v>
      </c>
      <c r="B152" s="27" t="s">
        <v>91</v>
      </c>
      <c r="C152" s="127" t="s">
        <v>31</v>
      </c>
      <c r="D152" s="138">
        <f ca="1">RANK(E152,E$2:E$161)</f>
        <v>151</v>
      </c>
      <c r="E152" s="31">
        <f ca="1">VLOOKUP(A152,Rankings!$B$1:$H$651,6,FALSE)+(RAND()*0.00001)</f>
        <v>158.37917114011458</v>
      </c>
      <c r="F152" s="31">
        <f ca="1">E152-VLOOKUP(Settings!$K$8,D$1:E$161,2,FALSE)</f>
        <v>-144.27833032904931</v>
      </c>
      <c r="G152" s="138">
        <f ca="1">RANK(H152,H$2:H$161)</f>
        <v>67</v>
      </c>
      <c r="H152" s="31">
        <f ca="1">VLOOKUP(A152,Rankings!$B$1:$H$651,7,FALSE)+(RAND()*0.00001)</f>
        <v>0.34301249704243231</v>
      </c>
      <c r="I152" s="31">
        <f ca="1">H152-VLOOKUP(Settings!$K$8,G$1:H$161,2,FALSE)</f>
        <v>1.153513412501368</v>
      </c>
      <c r="J152" s="31" t="str">
        <f>VLOOKUP(A152,Rankings!B:D,3,FALSE)</f>
        <v>NL</v>
      </c>
    </row>
    <row r="153" spans="1:10" ht="20.100000000000001" customHeight="1">
      <c r="A153" s="26" t="s">
        <v>454</v>
      </c>
      <c r="B153" s="27" t="s">
        <v>258</v>
      </c>
      <c r="C153" s="127" t="s">
        <v>31</v>
      </c>
      <c r="D153" s="138">
        <f ca="1">RANK(E153,E$2:E$161)</f>
        <v>152</v>
      </c>
      <c r="E153" s="31">
        <f ca="1">VLOOKUP(A153,Rankings!$B$1:$H$651,6,FALSE)+(RAND()*0.00001)</f>
        <v>155.10389662535579</v>
      </c>
      <c r="F153" s="31">
        <f ca="1">E153-VLOOKUP(Settings!$K$8,D$1:E$161,2,FALSE)</f>
        <v>-147.5536048438081</v>
      </c>
      <c r="G153" s="138">
        <f ca="1">RANK(H153,H$2:H$161)</f>
        <v>120</v>
      </c>
      <c r="H153" s="31">
        <f ca="1">VLOOKUP(A153,Rankings!$B$1:$H$651,7,FALSE)+(RAND()*0.00001)</f>
        <v>-2.2420848052787581</v>
      </c>
      <c r="I153" s="31">
        <f ca="1">H153-VLOOKUP(Settings!$K$8,G$1:H$161,2,FALSE)</f>
        <v>-1.4315838898198223</v>
      </c>
      <c r="J153" s="31" t="str">
        <f>VLOOKUP(A153,Rankings!B:D,3,FALSE)</f>
        <v>AL</v>
      </c>
    </row>
    <row r="154" spans="1:10" ht="20.100000000000001" customHeight="1">
      <c r="A154" s="26" t="s">
        <v>584</v>
      </c>
      <c r="B154" s="27" t="s">
        <v>94</v>
      </c>
      <c r="C154" s="127" t="s">
        <v>31</v>
      </c>
      <c r="D154" s="138">
        <f ca="1">RANK(E154,E$2:E$161)</f>
        <v>153</v>
      </c>
      <c r="E154" s="31">
        <f ca="1">VLOOKUP(A154,Rankings!$B$1:$H$651,6,FALSE)+(RAND()*0.00001)</f>
        <v>154.56333802468473</v>
      </c>
      <c r="F154" s="31">
        <f ca="1">E154-VLOOKUP(Settings!$K$8,D$1:E$161,2,FALSE)</f>
        <v>-148.09416344447916</v>
      </c>
      <c r="G154" s="138">
        <f ca="1">RANK(H154,H$2:H$161)</f>
        <v>147</v>
      </c>
      <c r="H154" s="31">
        <f ca="1">VLOOKUP(A154,Rankings!$B$1:$H$651,7,FALSE)+(RAND()*0.00001)</f>
        <v>-3.4927282911340169</v>
      </c>
      <c r="I154" s="31">
        <f ca="1">H154-VLOOKUP(Settings!$K$8,G$1:H$161,2,FALSE)</f>
        <v>-2.6822273756750814</v>
      </c>
      <c r="J154" s="31" t="str">
        <f>VLOOKUP(A154,Rankings!B:D,3,FALSE)</f>
        <v>AL</v>
      </c>
    </row>
    <row r="155" spans="1:10" ht="18.600000000000001" customHeight="1">
      <c r="A155" s="26" t="s">
        <v>470</v>
      </c>
      <c r="B155" s="27" t="s">
        <v>63</v>
      </c>
      <c r="C155" s="127" t="s">
        <v>31</v>
      </c>
      <c r="D155" s="138">
        <f ca="1">RANK(E155,E$2:E$161)</f>
        <v>154</v>
      </c>
      <c r="E155" s="31">
        <f ca="1">VLOOKUP(A155,Rankings!$B$1:$H$651,6,FALSE)+(RAND()*0.00001)</f>
        <v>144.92715519019816</v>
      </c>
      <c r="F155" s="31">
        <f ca="1">E155-VLOOKUP(Settings!$K$8,D$1:E$161,2,FALSE)</f>
        <v>-157.73034627896573</v>
      </c>
      <c r="G155" s="138">
        <f ca="1">RANK(H155,H$2:H$161)</f>
        <v>118</v>
      </c>
      <c r="H155" s="31">
        <f ca="1">VLOOKUP(A155,Rankings!$B$1:$H$651,7,FALSE)+(RAND()*0.00001)</f>
        <v>-2.2368680128038561</v>
      </c>
      <c r="I155" s="31">
        <f ca="1">H155-VLOOKUP(Settings!$K$8,G$1:H$161,2,FALSE)</f>
        <v>-1.4263670973449203</v>
      </c>
      <c r="J155" s="31" t="str">
        <f>VLOOKUP(A155,Rankings!B:D,3,FALSE)</f>
        <v>NL</v>
      </c>
    </row>
    <row r="156" spans="1:10" ht="20.100000000000001" customHeight="1">
      <c r="A156" s="26" t="s">
        <v>497</v>
      </c>
      <c r="B156" s="27" t="s">
        <v>76</v>
      </c>
      <c r="C156" s="127" t="s">
        <v>31</v>
      </c>
      <c r="D156" s="138">
        <f ca="1">RANK(E156,E$2:E$161)</f>
        <v>155</v>
      </c>
      <c r="E156" s="31">
        <f ca="1">VLOOKUP(A156,Rankings!$B$1:$H$651,6,FALSE)+(RAND()*0.00001)</f>
        <v>143.74888960539135</v>
      </c>
      <c r="F156" s="31">
        <f ca="1">E156-VLOOKUP(Settings!$K$8,D$1:E$161,2,FALSE)</f>
        <v>-158.90861186377253</v>
      </c>
      <c r="G156" s="138">
        <f ca="1">RANK(H156,H$2:H$161)</f>
        <v>107</v>
      </c>
      <c r="H156" s="31">
        <f ca="1">VLOOKUP(A156,Rankings!$B$1:$H$651,7,FALSE)+(RAND()*0.00001)</f>
        <v>-1.857393195764951</v>
      </c>
      <c r="I156" s="31">
        <f ca="1">H156-VLOOKUP(Settings!$K$8,G$1:H$161,2,FALSE)</f>
        <v>-1.0468922803060152</v>
      </c>
      <c r="J156" s="31" t="str">
        <f>VLOOKUP(A156,Rankings!B:D,3,FALSE)</f>
        <v>AL</v>
      </c>
    </row>
    <row r="157" spans="1:10" ht="20.100000000000001" customHeight="1">
      <c r="A157" s="26" t="s">
        <v>616</v>
      </c>
      <c r="B157" s="27" t="s">
        <v>86</v>
      </c>
      <c r="C157" s="127" t="s">
        <v>31</v>
      </c>
      <c r="D157" s="138">
        <f ca="1">RANK(E157,E$2:E$161)</f>
        <v>156</v>
      </c>
      <c r="E157" s="31">
        <f ca="1">VLOOKUP(A157,Rankings!$B$1:$H$651,6,FALSE)+(RAND()*0.00001)</f>
        <v>138.66253573452241</v>
      </c>
      <c r="F157" s="31">
        <f ca="1">E157-VLOOKUP(Settings!$K$8,D$1:E$161,2,FALSE)</f>
        <v>-163.99496573464148</v>
      </c>
      <c r="G157" s="138">
        <f ca="1">RANK(H157,H$2:H$161)</f>
        <v>153</v>
      </c>
      <c r="H157" s="31">
        <f ca="1">VLOOKUP(A157,Rankings!$B$1:$H$651,7,FALSE)+(RAND()*0.00001)</f>
        <v>-4.2211322231809483</v>
      </c>
      <c r="I157" s="31">
        <f ca="1">H157-VLOOKUP(Settings!$K$8,G$1:H$161,2,FALSE)</f>
        <v>-3.4106313077220127</v>
      </c>
      <c r="J157" s="31" t="str">
        <f>VLOOKUP(A157,Rankings!B:D,3,FALSE)</f>
        <v>AL</v>
      </c>
    </row>
    <row r="158" spans="1:10" ht="20.100000000000001" customHeight="1">
      <c r="A158" s="26" t="s">
        <v>490</v>
      </c>
      <c r="B158" s="27" t="s">
        <v>76</v>
      </c>
      <c r="C158" s="127" t="s">
        <v>31</v>
      </c>
      <c r="D158" s="138">
        <f ca="1">RANK(E158,E$2:E$161)</f>
        <v>157</v>
      </c>
      <c r="E158" s="31">
        <f ca="1">VLOOKUP(A158,Rankings!$B$1:$H$651,6,FALSE)+(RAND()*0.00001)</f>
        <v>130.94222228165376</v>
      </c>
      <c r="F158" s="31">
        <f ca="1">E158-VLOOKUP(Settings!$K$8,D$1:E$161,2,FALSE)</f>
        <v>-171.71527918751013</v>
      </c>
      <c r="G158" s="138">
        <f ca="1">RANK(H158,H$2:H$161)</f>
        <v>131</v>
      </c>
      <c r="H158" s="31">
        <f ca="1">VLOOKUP(A158,Rankings!$B$1:$H$651,7,FALSE)+(RAND()*0.00001)</f>
        <v>-2.5615798609026803</v>
      </c>
      <c r="I158" s="31">
        <f ca="1">H158-VLOOKUP(Settings!$K$8,G$1:H$161,2,FALSE)</f>
        <v>-1.7510789454437445</v>
      </c>
      <c r="J158" s="31" t="str">
        <f>VLOOKUP(A158,Rankings!B:D,3,FALSE)</f>
        <v>AL</v>
      </c>
    </row>
    <row r="159" spans="1:10" ht="18.600000000000001" customHeight="1">
      <c r="A159" s="26" t="s">
        <v>652</v>
      </c>
      <c r="B159" s="27" t="s">
        <v>86</v>
      </c>
      <c r="C159" s="127" t="s">
        <v>31</v>
      </c>
      <c r="D159" s="138">
        <f ca="1">RANK(E159,E$2:E$161)</f>
        <v>158</v>
      </c>
      <c r="E159" s="31">
        <f ca="1">VLOOKUP(A159,Rankings!$B$1:$H$651,6,FALSE)+(RAND()*0.00001)</f>
        <v>130.64364692015849</v>
      </c>
      <c r="F159" s="31">
        <f ca="1">E159-VLOOKUP(Settings!$K$8,D$1:E$161,2,FALSE)</f>
        <v>-172.0138545490054</v>
      </c>
      <c r="G159" s="138">
        <f ca="1">RANK(H159,H$2:H$161)</f>
        <v>156</v>
      </c>
      <c r="H159" s="31">
        <f ca="1">VLOOKUP(A159,Rankings!$B$1:$H$651,7,FALSE)+(RAND()*0.00001)</f>
        <v>-4.734905709418471</v>
      </c>
      <c r="I159" s="31">
        <f ca="1">H159-VLOOKUP(Settings!$K$8,G$1:H$161,2,FALSE)</f>
        <v>-3.9244047939595355</v>
      </c>
      <c r="J159" s="31" t="str">
        <f>VLOOKUP(A159,Rankings!B:D,3,FALSE)</f>
        <v>AL</v>
      </c>
    </row>
    <row r="160" spans="1:10" ht="18.600000000000001" customHeight="1">
      <c r="A160" s="26" t="s">
        <v>753</v>
      </c>
      <c r="B160" s="27" t="s">
        <v>217</v>
      </c>
      <c r="C160" s="127" t="s">
        <v>31</v>
      </c>
      <c r="D160" s="138">
        <f ca="1">RANK(E160,E$2:E$161)</f>
        <v>159</v>
      </c>
      <c r="E160" s="31">
        <f ca="1">VLOOKUP(A160,Rankings!$B$1:$H$651,6,FALSE)+(RAND()*0.00001)</f>
        <v>106.23666959474949</v>
      </c>
      <c r="F160" s="31">
        <f ca="1">E160-VLOOKUP(Settings!$K$8,D$1:E$161,2,FALSE)</f>
        <v>-196.4208318744144</v>
      </c>
      <c r="G160" s="138">
        <f ca="1">RANK(H160,H$2:H$161)</f>
        <v>154</v>
      </c>
      <c r="H160" s="31">
        <f ca="1">VLOOKUP(A160,Rankings!$B$1:$H$651,7,FALSE)+(RAND()*0.00001)</f>
        <v>-4.3904256071446337</v>
      </c>
      <c r="I160" s="31">
        <f ca="1">H160-VLOOKUP(Settings!$K$8,G$1:H$161,2,FALSE)</f>
        <v>-3.5799246916856982</v>
      </c>
      <c r="J160" s="31" t="str">
        <f>VLOOKUP(A160,Rankings!B:D,3,FALSE)</f>
        <v>NL</v>
      </c>
    </row>
    <row r="161" spans="1:10" ht="18.600000000000001" customHeight="1">
      <c r="A161" s="26" t="s">
        <v>537</v>
      </c>
      <c r="B161" s="27" t="s">
        <v>86</v>
      </c>
      <c r="C161" s="127" t="s">
        <v>31</v>
      </c>
      <c r="D161" s="138">
        <f ca="1">RANK(E161,E$2:E$161)</f>
        <v>160</v>
      </c>
      <c r="E161" s="31">
        <f ca="1">VLOOKUP(A161,Rankings!$B$1:$H$651,6,FALSE)+(RAND()*0.00001)</f>
        <v>77.732919683350289</v>
      </c>
      <c r="F161" s="31">
        <f ca="1">E161-VLOOKUP(Settings!$K$8,D$1:E$161,2,FALSE)</f>
        <v>-224.92458178581359</v>
      </c>
      <c r="G161" s="138">
        <f ca="1">RANK(H161,H$2:H$161)</f>
        <v>146</v>
      </c>
      <c r="H161" s="31">
        <f ca="1">VLOOKUP(A161,Rankings!$B$1:$H$651,7,FALSE)+(RAND()*0.00001)</f>
        <v>-3.4907907607533235</v>
      </c>
      <c r="I161" s="31">
        <f ca="1">H161-VLOOKUP(Settings!$K$8,G$1:H$161,2,FALSE)</f>
        <v>-2.6802898452943875</v>
      </c>
      <c r="J161" s="31" t="str">
        <f>VLOOKUP(A161,Rankings!B:D,3,FALSE)</f>
        <v>AL</v>
      </c>
    </row>
    <row r="162" spans="1:10" ht="20.100000000000001" customHeight="1">
      <c r="J162" s="31"/>
    </row>
    <row r="163" spans="1:10" ht="20.100000000000001" customHeight="1">
      <c r="J163" s="31"/>
    </row>
    <row r="164" spans="1:10" ht="20.100000000000001" customHeight="1">
      <c r="J164" s="31"/>
    </row>
    <row r="165" spans="1:10" ht="20.100000000000001" customHeight="1">
      <c r="J165" s="31"/>
    </row>
    <row r="166" spans="1:10" ht="20.100000000000001" customHeight="1">
      <c r="J166" s="31"/>
    </row>
    <row r="167" spans="1:10" ht="20.100000000000001" customHeight="1">
      <c r="J167" s="31"/>
    </row>
    <row r="168" spans="1:10" ht="20.100000000000001" customHeight="1">
      <c r="J168" s="31"/>
    </row>
    <row r="169" spans="1:10" ht="20.100000000000001" customHeight="1">
      <c r="J169" s="31"/>
    </row>
    <row r="170" spans="1:10" ht="20.100000000000001" customHeight="1">
      <c r="J170" s="31"/>
    </row>
    <row r="171" spans="1:10" ht="20.100000000000001" customHeight="1">
      <c r="J171" s="31"/>
    </row>
    <row r="172" spans="1:10" ht="20.100000000000001" customHeight="1">
      <c r="J172" s="31"/>
    </row>
    <row r="173" spans="1:10" ht="20.100000000000001" customHeight="1">
      <c r="J173" s="31"/>
    </row>
    <row r="174" spans="1:10" ht="20.100000000000001" customHeight="1">
      <c r="J174" s="31"/>
    </row>
    <row r="175" spans="1:10" ht="20.100000000000001" customHeight="1">
      <c r="J175" s="31"/>
    </row>
    <row r="176" spans="1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161" xr:uid="{00000000-0001-0000-0E00-000000000000}">
    <sortState xmlns:xlrd2="http://schemas.microsoft.com/office/spreadsheetml/2017/richdata2" ref="A2:I161">
      <sortCondition descending="1" ref="E1:E16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5.1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109</v>
      </c>
      <c r="B2" s="27" t="s">
        <v>76</v>
      </c>
      <c r="C2" s="128" t="s">
        <v>34</v>
      </c>
      <c r="D2" s="138">
        <f t="shared" ref="D2:D33" ca="1" si="0">RANK(E2,E$2:E$91)</f>
        <v>1</v>
      </c>
      <c r="E2" s="31">
        <f ca="1">VLOOKUP(A2,Rankings!$B$1:$H$651,6,FALSE)+(RAND()*0.00001)</f>
        <v>411.45305955044699</v>
      </c>
      <c r="F2" s="31">
        <f ca="1">E2-VLOOKUP(Settings!$K$9,D$2:E$91,2,FALSE)</f>
        <v>242.50250338043583</v>
      </c>
      <c r="G2" s="138">
        <f t="shared" ref="G2:G33" ca="1" si="1">RANK(H2,H$2:H$91)</f>
        <v>1</v>
      </c>
      <c r="H2" s="31">
        <f ca="1">VLOOKUP(A2,Rankings!$B$1:$H$651,7,FALSE)+(RAND()*0.00001)</f>
        <v>7.9587382516362357</v>
      </c>
      <c r="I2" s="31">
        <f ca="1">H2-VLOOKUP(Settings!$K$9,G$2:H$91,2,FALSE)</f>
        <v>8.8296418302698143</v>
      </c>
      <c r="J2" s="31" t="str">
        <f>VLOOKUP(A2,Rankings!B:D,3,FALSE)</f>
        <v>AL</v>
      </c>
    </row>
    <row r="3" spans="1:10" ht="18.600000000000001" customHeight="1">
      <c r="A3" s="26" t="s">
        <v>172</v>
      </c>
      <c r="B3" s="27" t="s">
        <v>63</v>
      </c>
      <c r="C3" s="128" t="s">
        <v>34</v>
      </c>
      <c r="D3" s="138">
        <f t="shared" ca="1" si="0"/>
        <v>2</v>
      </c>
      <c r="E3" s="31">
        <f ca="1">VLOOKUP(A3,Rankings!$B$1:$H$651,6,FALSE)+(RAND()*0.00001)</f>
        <v>381.32166854314698</v>
      </c>
      <c r="F3" s="31">
        <f ca="1">E3-VLOOKUP(Settings!$K$9,D$2:E$91,2,FALSE)</f>
        <v>212.37111237313582</v>
      </c>
      <c r="G3" s="138">
        <f t="shared" ca="1" si="1"/>
        <v>2</v>
      </c>
      <c r="H3" s="31">
        <f ca="1">VLOOKUP(A3,Rankings!$B$1:$H$651,7,FALSE)+(RAND()*0.00001)</f>
        <v>5.7431657235044318</v>
      </c>
      <c r="I3" s="31">
        <f ca="1">H3-VLOOKUP(Settings!$K$9,G$2:H$91,2,FALSE)</f>
        <v>6.6140693021380113</v>
      </c>
      <c r="J3" s="31" t="str">
        <f>VLOOKUP(A3,Rankings!B:D,3,FALSE)</f>
        <v>NL</v>
      </c>
    </row>
    <row r="4" spans="1:10" ht="18.600000000000001" customHeight="1">
      <c r="A4" s="26" t="s">
        <v>161</v>
      </c>
      <c r="B4" s="27" t="s">
        <v>94</v>
      </c>
      <c r="C4" s="128" t="s">
        <v>34</v>
      </c>
      <c r="D4" s="138">
        <f t="shared" ca="1" si="0"/>
        <v>3</v>
      </c>
      <c r="E4" s="31">
        <f ca="1">VLOOKUP(A4,Rankings!$B$1:$H$651,6,FALSE)+(RAND()*0.00001)</f>
        <v>377.06916780709105</v>
      </c>
      <c r="F4" s="31">
        <f ca="1">E4-VLOOKUP(Settings!$K$9,D$2:E$91,2,FALSE)</f>
        <v>208.11861163707988</v>
      </c>
      <c r="G4" s="138">
        <f t="shared" ca="1" si="1"/>
        <v>10</v>
      </c>
      <c r="H4" s="31">
        <f ca="1">VLOOKUP(A4,Rankings!$B$1:$H$651,7,FALSE)+(RAND()*0.00001)</f>
        <v>4.2338881226530178</v>
      </c>
      <c r="I4" s="31">
        <f ca="1">H4-VLOOKUP(Settings!$K$9,G$2:H$91,2,FALSE)</f>
        <v>5.1047917012865973</v>
      </c>
      <c r="J4" s="31" t="str">
        <f>VLOOKUP(A4,Rankings!B:D,3,FALSE)</f>
        <v>AL</v>
      </c>
    </row>
    <row r="5" spans="1:10" ht="18.600000000000001" customHeight="1">
      <c r="A5" s="26" t="s">
        <v>188</v>
      </c>
      <c r="B5" s="27" t="s">
        <v>73</v>
      </c>
      <c r="C5" s="128" t="s">
        <v>34</v>
      </c>
      <c r="D5" s="138">
        <f t="shared" ca="1" si="0"/>
        <v>9</v>
      </c>
      <c r="E5" s="31">
        <f ca="1">VLOOKUP(A5,Rankings!$B$1:$H$651,6,FALSE)+(RAND()*0.00001)</f>
        <v>337.16611558631848</v>
      </c>
      <c r="F5" s="31">
        <f ca="1">E5-VLOOKUP(Settings!$K$9,D$2:E$91,2,FALSE)</f>
        <v>168.21555941630731</v>
      </c>
      <c r="G5" s="138">
        <f t="shared" ca="1" si="1"/>
        <v>5</v>
      </c>
      <c r="H5" s="31">
        <f ca="1">VLOOKUP(A5,Rankings!$B$1:$H$651,7,FALSE)+(RAND()*0.00001)</f>
        <v>4.5484179690832907</v>
      </c>
      <c r="I5" s="31">
        <f ca="1">H5-VLOOKUP(Settings!$K$9,G$2:H$91,2,FALSE)</f>
        <v>5.4193215477168701</v>
      </c>
      <c r="J5" s="31" t="str">
        <f>VLOOKUP(A5,Rankings!B:D,3,FALSE)</f>
        <v>NL</v>
      </c>
    </row>
    <row r="6" spans="1:10" ht="18.600000000000001" customHeight="1">
      <c r="A6" s="26" t="s">
        <v>181</v>
      </c>
      <c r="B6" s="27" t="s">
        <v>78</v>
      </c>
      <c r="C6" s="128" t="s">
        <v>34</v>
      </c>
      <c r="D6" s="138">
        <f t="shared" ca="1" si="0"/>
        <v>4</v>
      </c>
      <c r="E6" s="31">
        <f ca="1">VLOOKUP(A6,Rankings!$B$1:$H$651,6,FALSE)+(RAND()*0.00001)</f>
        <v>355.56611912627261</v>
      </c>
      <c r="F6" s="31">
        <f ca="1">E6-VLOOKUP(Settings!$K$9,D$2:E$91,2,FALSE)</f>
        <v>186.61556295626144</v>
      </c>
      <c r="G6" s="138">
        <f t="shared" ca="1" si="1"/>
        <v>3</v>
      </c>
      <c r="H6" s="31">
        <f ca="1">VLOOKUP(A6,Rankings!$B$1:$H$651,7,FALSE)+(RAND()*0.00001)</f>
        <v>4.9379896048234322</v>
      </c>
      <c r="I6" s="31">
        <f ca="1">H6-VLOOKUP(Settings!$K$9,G$2:H$91,2,FALSE)</f>
        <v>5.8088931834570117</v>
      </c>
      <c r="J6" s="31" t="str">
        <f>VLOOKUP(A6,Rankings!B:D,3,FALSE)</f>
        <v>AL</v>
      </c>
    </row>
    <row r="7" spans="1:10" ht="18.600000000000001" customHeight="1">
      <c r="A7" s="26" t="s">
        <v>174</v>
      </c>
      <c r="B7" s="27" t="s">
        <v>97</v>
      </c>
      <c r="C7" s="128" t="s">
        <v>34</v>
      </c>
      <c r="D7" s="138">
        <f t="shared" ca="1" si="0"/>
        <v>5</v>
      </c>
      <c r="E7" s="31">
        <f ca="1">VLOOKUP(A7,Rankings!$B$1:$H$651,6,FALSE)+(RAND()*0.00001)</f>
        <v>353.69000508440081</v>
      </c>
      <c r="F7" s="31">
        <f ca="1">E7-VLOOKUP(Settings!$K$9,D$2:E$91,2,FALSE)</f>
        <v>184.73944891438964</v>
      </c>
      <c r="G7" s="138">
        <f t="shared" ca="1" si="1"/>
        <v>6</v>
      </c>
      <c r="H7" s="31">
        <f ca="1">VLOOKUP(A7,Rankings!$B$1:$H$651,7,FALSE)+(RAND()*0.00001)</f>
        <v>4.4624444756709334</v>
      </c>
      <c r="I7" s="31">
        <f ca="1">H7-VLOOKUP(Settings!$K$9,G$2:H$91,2,FALSE)</f>
        <v>5.3333480543045129</v>
      </c>
      <c r="J7" s="31" t="str">
        <f>VLOOKUP(A7,Rankings!B:D,3,FALSE)</f>
        <v>NL</v>
      </c>
    </row>
    <row r="8" spans="1:10" ht="18.600000000000001" customHeight="1">
      <c r="A8" s="26" t="s">
        <v>182</v>
      </c>
      <c r="B8" s="27" t="s">
        <v>123</v>
      </c>
      <c r="C8" s="128" t="s">
        <v>34</v>
      </c>
      <c r="D8" s="138">
        <f t="shared" ca="1" si="0"/>
        <v>6</v>
      </c>
      <c r="E8" s="31">
        <f ca="1">VLOOKUP(A8,Rankings!$B$1:$H$651,6,FALSE)+(RAND()*0.00001)</f>
        <v>348.44611412426121</v>
      </c>
      <c r="F8" s="31">
        <f ca="1">E8-VLOOKUP(Settings!$K$9,D$2:E$91,2,FALSE)</f>
        <v>179.49555795425005</v>
      </c>
      <c r="G8" s="138">
        <f t="shared" ca="1" si="1"/>
        <v>4</v>
      </c>
      <c r="H8" s="31">
        <f ca="1">VLOOKUP(A8,Rankings!$B$1:$H$651,7,FALSE)+(RAND()*0.00001)</f>
        <v>4.6530800355923532</v>
      </c>
      <c r="I8" s="31">
        <f ca="1">H8-VLOOKUP(Settings!$K$9,G$2:H$91,2,FALSE)</f>
        <v>5.5239836142259326</v>
      </c>
      <c r="J8" s="31" t="str">
        <f>VLOOKUP(A8,Rankings!B:D,3,FALSE)</f>
        <v>NL</v>
      </c>
    </row>
    <row r="9" spans="1:10" ht="18.600000000000001" customHeight="1">
      <c r="A9" s="26" t="s">
        <v>220</v>
      </c>
      <c r="B9" s="27" t="s">
        <v>156</v>
      </c>
      <c r="C9" s="128" t="s">
        <v>34</v>
      </c>
      <c r="D9" s="138">
        <f t="shared" ca="1" si="0"/>
        <v>15</v>
      </c>
      <c r="E9" s="31">
        <f ca="1">VLOOKUP(A9,Rankings!$B$1:$H$651,6,FALSE)+(RAND()*0.00001)</f>
        <v>298.37445239960761</v>
      </c>
      <c r="F9" s="31">
        <f ca="1">E9-VLOOKUP(Settings!$K$9,D$2:E$91,2,FALSE)</f>
        <v>129.42389622959644</v>
      </c>
      <c r="G9" s="138">
        <f t="shared" ca="1" si="1"/>
        <v>9</v>
      </c>
      <c r="H9" s="31">
        <f ca="1">VLOOKUP(A9,Rankings!$B$1:$H$651,7,FALSE)+(RAND()*0.00001)</f>
        <v>4.2627305978076269</v>
      </c>
      <c r="I9" s="31">
        <f ca="1">H9-VLOOKUP(Settings!$K$9,G$2:H$91,2,FALSE)</f>
        <v>5.1336341764412063</v>
      </c>
      <c r="J9" s="31" t="str">
        <f>VLOOKUP(A9,Rankings!B:D,3,FALSE)</f>
        <v>AL</v>
      </c>
    </row>
    <row r="10" spans="1:10" ht="18.600000000000001" customHeight="1">
      <c r="A10" s="26" t="s">
        <v>286</v>
      </c>
      <c r="B10" s="27" t="s">
        <v>217</v>
      </c>
      <c r="C10" s="128" t="s">
        <v>34</v>
      </c>
      <c r="D10" s="138">
        <f t="shared" ca="1" si="0"/>
        <v>7</v>
      </c>
      <c r="E10" s="31">
        <f ca="1">VLOOKUP(A10,Rankings!$B$1:$H$651,6,FALSE)+(RAND()*0.00001)</f>
        <v>340.38333849786318</v>
      </c>
      <c r="F10" s="31">
        <f ca="1">E10-VLOOKUP(Settings!$K$9,D$2:E$91,2,FALSE)</f>
        <v>171.43278232785201</v>
      </c>
      <c r="G10" s="138">
        <f t="shared" ca="1" si="1"/>
        <v>14</v>
      </c>
      <c r="H10" s="31">
        <f ca="1">VLOOKUP(A10,Rankings!$B$1:$H$651,7,FALSE)+(RAND()*0.00001)</f>
        <v>2.1640811341212309</v>
      </c>
      <c r="I10" s="31">
        <f ca="1">H10-VLOOKUP(Settings!$K$9,G$2:H$91,2,FALSE)</f>
        <v>3.0349847127548104</v>
      </c>
      <c r="J10" s="31" t="str">
        <f>VLOOKUP(A10,Rankings!B:D,3,FALSE)</f>
        <v>NL</v>
      </c>
    </row>
    <row r="11" spans="1:10" ht="18.600000000000001" customHeight="1">
      <c r="A11" s="26" t="s">
        <v>197</v>
      </c>
      <c r="B11" s="27" t="s">
        <v>99</v>
      </c>
      <c r="C11" s="128" t="s">
        <v>34</v>
      </c>
      <c r="D11" s="138">
        <f t="shared" ca="1" si="0"/>
        <v>8</v>
      </c>
      <c r="E11" s="31">
        <f ca="1">VLOOKUP(A11,Rankings!$B$1:$H$651,6,FALSE)+(RAND()*0.00001)</f>
        <v>337.22833939124365</v>
      </c>
      <c r="F11" s="31">
        <f ca="1">E11-VLOOKUP(Settings!$K$9,D$2:E$91,2,FALSE)</f>
        <v>168.27778322123248</v>
      </c>
      <c r="G11" s="138">
        <f t="shared" ca="1" si="1"/>
        <v>8</v>
      </c>
      <c r="H11" s="31">
        <f ca="1">VLOOKUP(A11,Rankings!$B$1:$H$651,7,FALSE)+(RAND()*0.00001)</f>
        <v>4.3488491293997873</v>
      </c>
      <c r="I11" s="31">
        <f ca="1">H11-VLOOKUP(Settings!$K$9,G$2:H$91,2,FALSE)</f>
        <v>5.2197527080333668</v>
      </c>
      <c r="J11" s="31" t="str">
        <f>VLOOKUP(A11,Rankings!B:D,3,FALSE)</f>
        <v>AL</v>
      </c>
    </row>
    <row r="12" spans="1:10" ht="18.600000000000001" customHeight="1">
      <c r="A12" s="26" t="s">
        <v>256</v>
      </c>
      <c r="B12" s="27" t="s">
        <v>103</v>
      </c>
      <c r="C12" s="128" t="s">
        <v>34</v>
      </c>
      <c r="D12" s="138">
        <f t="shared" ca="1" si="0"/>
        <v>10</v>
      </c>
      <c r="E12" s="31">
        <f ca="1">VLOOKUP(A12,Rankings!$B$1:$H$651,6,FALSE)+(RAND()*0.00001)</f>
        <v>333.71444757520482</v>
      </c>
      <c r="F12" s="31">
        <f ca="1">E12-VLOOKUP(Settings!$K$9,D$2:E$91,2,FALSE)</f>
        <v>164.76389140519365</v>
      </c>
      <c r="G12" s="138">
        <f t="shared" ca="1" si="1"/>
        <v>15</v>
      </c>
      <c r="H12" s="31">
        <f ca="1">VLOOKUP(A12,Rankings!$B$1:$H$651,7,FALSE)+(RAND()*0.00001)</f>
        <v>1.9970471762968023</v>
      </c>
      <c r="I12" s="31">
        <f ca="1">H12-VLOOKUP(Settings!$K$9,G$2:H$91,2,FALSE)</f>
        <v>2.8679507549303818</v>
      </c>
      <c r="J12" s="31" t="str">
        <f>VLOOKUP(A12,Rankings!B:D,3,FALSE)</f>
        <v>AL</v>
      </c>
    </row>
    <row r="13" spans="1:10" ht="18.600000000000001" customHeight="1">
      <c r="A13" s="26" t="s">
        <v>289</v>
      </c>
      <c r="B13" s="27" t="s">
        <v>137</v>
      </c>
      <c r="C13" s="128" t="s">
        <v>34</v>
      </c>
      <c r="D13" s="138">
        <f t="shared" ca="1" si="0"/>
        <v>11</v>
      </c>
      <c r="E13" s="31">
        <f ca="1">VLOOKUP(A13,Rankings!$B$1:$H$651,6,FALSE)+(RAND()*0.00001)</f>
        <v>323.35778389109794</v>
      </c>
      <c r="F13" s="31">
        <f ca="1">E13-VLOOKUP(Settings!$K$9,D$2:E$91,2,FALSE)</f>
        <v>154.40722772108677</v>
      </c>
      <c r="G13" s="138">
        <f t="shared" ca="1" si="1"/>
        <v>12</v>
      </c>
      <c r="H13" s="31">
        <f ca="1">VLOOKUP(A13,Rankings!$B$1:$H$651,7,FALSE)+(RAND()*0.00001)</f>
        <v>2.9712068800360889</v>
      </c>
      <c r="I13" s="31">
        <f ca="1">H13-VLOOKUP(Settings!$K$9,G$2:H$91,2,FALSE)</f>
        <v>3.8421104586696684</v>
      </c>
      <c r="J13" s="31" t="str">
        <f>VLOOKUP(A13,Rankings!B:D,3,FALSE)</f>
        <v>NL</v>
      </c>
    </row>
    <row r="14" spans="1:10" ht="18.600000000000001" customHeight="1">
      <c r="A14" s="26" t="s">
        <v>288</v>
      </c>
      <c r="B14" s="27" t="s">
        <v>68</v>
      </c>
      <c r="C14" s="128" t="s">
        <v>34</v>
      </c>
      <c r="D14" s="138">
        <f t="shared" ca="1" si="0"/>
        <v>12</v>
      </c>
      <c r="E14" s="31">
        <f ca="1">VLOOKUP(A14,Rankings!$B$1:$H$651,6,FALSE)+(RAND()*0.00001)</f>
        <v>308.71444596509679</v>
      </c>
      <c r="F14" s="31">
        <f ca="1">E14-VLOOKUP(Settings!$K$9,D$2:E$91,2,FALSE)</f>
        <v>139.76388979508562</v>
      </c>
      <c r="G14" s="138">
        <f t="shared" ca="1" si="1"/>
        <v>18</v>
      </c>
      <c r="H14" s="31">
        <f ca="1">VLOOKUP(A14,Rankings!$B$1:$H$651,7,FALSE)+(RAND()*0.00001)</f>
        <v>1.7904341345318204</v>
      </c>
      <c r="I14" s="31">
        <f ca="1">H14-VLOOKUP(Settings!$K$9,G$2:H$91,2,FALSE)</f>
        <v>2.6613377131654001</v>
      </c>
      <c r="J14" s="31" t="str">
        <f>VLOOKUP(A14,Rankings!B:D,3,FALSE)</f>
        <v>AL</v>
      </c>
    </row>
    <row r="15" spans="1:10" ht="18.600000000000001" customHeight="1">
      <c r="A15" s="26" t="s">
        <v>382</v>
      </c>
      <c r="B15" s="27" t="s">
        <v>176</v>
      </c>
      <c r="C15" s="128" t="s">
        <v>34</v>
      </c>
      <c r="D15" s="138">
        <f t="shared" ca="1" si="0"/>
        <v>13</v>
      </c>
      <c r="E15" s="31">
        <f ca="1">VLOOKUP(A15,Rankings!$B$1:$H$651,6,FALSE)+(RAND()*0.00001)</f>
        <v>304.00389803639911</v>
      </c>
      <c r="F15" s="31">
        <f ca="1">E15-VLOOKUP(Settings!$K$9,D$2:E$91,2,FALSE)</f>
        <v>135.05334186638794</v>
      </c>
      <c r="G15" s="138">
        <f t="shared" ca="1" si="1"/>
        <v>40</v>
      </c>
      <c r="H15" s="31">
        <f ca="1">VLOOKUP(A15,Rankings!$B$1:$H$651,7,FALSE)+(RAND()*0.00001)</f>
        <v>-0.78052746294482167</v>
      </c>
      <c r="I15" s="31">
        <f ca="1">H15-VLOOKUP(Settings!$K$9,G$2:H$91,2,FALSE)</f>
        <v>9.0376115688757808E-2</v>
      </c>
      <c r="J15" s="31" t="str">
        <f>VLOOKUP(A15,Rankings!B:D,3,FALSE)</f>
        <v>NL</v>
      </c>
    </row>
    <row r="16" spans="1:10" ht="18.600000000000001" customHeight="1">
      <c r="A16" s="26" t="s">
        <v>269</v>
      </c>
      <c r="B16" s="27" t="s">
        <v>101</v>
      </c>
      <c r="C16" s="128" t="s">
        <v>34</v>
      </c>
      <c r="D16" s="138">
        <f t="shared" ca="1" si="0"/>
        <v>19</v>
      </c>
      <c r="E16" s="31">
        <f ca="1">VLOOKUP(A16,Rankings!$B$1:$H$651,6,FALSE)+(RAND()*0.00001)</f>
        <v>266.58889667030257</v>
      </c>
      <c r="F16" s="31">
        <f ca="1">E16-VLOOKUP(Settings!$K$9,D$2:E$91,2,FALSE)</f>
        <v>97.638340500291406</v>
      </c>
      <c r="G16" s="138">
        <f t="shared" ca="1" si="1"/>
        <v>11</v>
      </c>
      <c r="H16" s="31">
        <f ca="1">VLOOKUP(A16,Rankings!$B$1:$H$651,7,FALSE)+(RAND()*0.00001)</f>
        <v>3.0725013922376698</v>
      </c>
      <c r="I16" s="31">
        <f ca="1">H16-VLOOKUP(Settings!$K$9,G$2:H$91,2,FALSE)</f>
        <v>3.9434049708712493</v>
      </c>
      <c r="J16" s="31" t="str">
        <f>VLOOKUP(A16,Rankings!B:D,3,FALSE)</f>
        <v>AL</v>
      </c>
    </row>
    <row r="17" spans="1:10" ht="18.600000000000001" customHeight="1">
      <c r="A17" s="26" t="s">
        <v>411</v>
      </c>
      <c r="B17" s="27" t="s">
        <v>103</v>
      </c>
      <c r="C17" s="128" t="s">
        <v>34</v>
      </c>
      <c r="D17" s="138">
        <f t="shared" ca="1" si="0"/>
        <v>17</v>
      </c>
      <c r="E17" s="31">
        <f ca="1">VLOOKUP(A17,Rankings!$B$1:$H$651,6,FALSE)+(RAND()*0.00001)</f>
        <v>283.79110529943745</v>
      </c>
      <c r="F17" s="31">
        <f ca="1">E17-VLOOKUP(Settings!$K$9,D$2:E$91,2,FALSE)</f>
        <v>114.84054912942628</v>
      </c>
      <c r="G17" s="138">
        <f t="shared" ca="1" si="1"/>
        <v>24</v>
      </c>
      <c r="H17" s="31">
        <f ca="1">VLOOKUP(A17,Rankings!$B$1:$H$651,7,FALSE)+(RAND()*0.00001)</f>
        <v>0.17958299758919677</v>
      </c>
      <c r="I17" s="31">
        <f ca="1">H17-VLOOKUP(Settings!$K$9,G$2:H$91,2,FALSE)</f>
        <v>1.0504865762227762</v>
      </c>
      <c r="J17" s="31" t="str">
        <f>VLOOKUP(A17,Rankings!B:D,3,FALSE)</f>
        <v>AL</v>
      </c>
    </row>
    <row r="18" spans="1:10" ht="18.600000000000001" customHeight="1">
      <c r="A18" s="26" t="s">
        <v>301</v>
      </c>
      <c r="B18" s="27" t="s">
        <v>117</v>
      </c>
      <c r="C18" s="128" t="s">
        <v>34</v>
      </c>
      <c r="D18" s="138">
        <f t="shared" ca="1" si="0"/>
        <v>16</v>
      </c>
      <c r="E18" s="31">
        <f ca="1">VLOOKUP(A18,Rankings!$B$1:$H$651,6,FALSE)+(RAND()*0.00001)</f>
        <v>286.89334192556692</v>
      </c>
      <c r="F18" s="31">
        <f ca="1">E18-VLOOKUP(Settings!$K$9,D$2:E$91,2,FALSE)</f>
        <v>117.94278575555575</v>
      </c>
      <c r="G18" s="138">
        <f t="shared" ca="1" si="1"/>
        <v>23</v>
      </c>
      <c r="H18" s="31">
        <f ca="1">VLOOKUP(A18,Rankings!$B$1:$H$651,7,FALSE)+(RAND()*0.00001)</f>
        <v>0.97939684636425361</v>
      </c>
      <c r="I18" s="31">
        <f ca="1">H18-VLOOKUP(Settings!$K$9,G$2:H$91,2,FALSE)</f>
        <v>1.8503004249978332</v>
      </c>
      <c r="J18" s="31" t="str">
        <f>VLOOKUP(A18,Rankings!B:D,3,FALSE)</f>
        <v>AL</v>
      </c>
    </row>
    <row r="19" spans="1:10" ht="18.600000000000001" customHeight="1">
      <c r="A19" s="26" t="s">
        <v>347</v>
      </c>
      <c r="B19" s="27" t="s">
        <v>223</v>
      </c>
      <c r="C19" s="128" t="s">
        <v>34</v>
      </c>
      <c r="D19" s="138">
        <f t="shared" ca="1" si="0"/>
        <v>14</v>
      </c>
      <c r="E19" s="31">
        <f ca="1">VLOOKUP(A19,Rankings!$B$1:$H$651,6,FALSE)+(RAND()*0.00001)</f>
        <v>301.11777859338378</v>
      </c>
      <c r="F19" s="31">
        <f ca="1">E19-VLOOKUP(Settings!$K$9,D$2:E$91,2,FALSE)</f>
        <v>132.16722242337261</v>
      </c>
      <c r="G19" s="138">
        <f t="shared" ca="1" si="1"/>
        <v>19</v>
      </c>
      <c r="H19" s="31">
        <f ca="1">VLOOKUP(A19,Rankings!$B$1:$H$651,7,FALSE)+(RAND()*0.00001)</f>
        <v>1.7315733132264572</v>
      </c>
      <c r="I19" s="31">
        <f ca="1">H19-VLOOKUP(Settings!$K$9,G$2:H$91,2,FALSE)</f>
        <v>2.6024768918600367</v>
      </c>
      <c r="J19" s="31" t="str">
        <f>VLOOKUP(A19,Rankings!B:D,3,FALSE)</f>
        <v>NL</v>
      </c>
    </row>
    <row r="20" spans="1:10" ht="18.600000000000001" customHeight="1">
      <c r="A20" s="26" t="s">
        <v>255</v>
      </c>
      <c r="B20" s="27" t="s">
        <v>71</v>
      </c>
      <c r="C20" s="128" t="s">
        <v>34</v>
      </c>
      <c r="D20" s="138">
        <f t="shared" ca="1" si="0"/>
        <v>18</v>
      </c>
      <c r="E20" s="31">
        <f ca="1">VLOOKUP(A20,Rankings!$B$1:$H$651,6,FALSE)+(RAND()*0.00001)</f>
        <v>282.31833770230344</v>
      </c>
      <c r="F20" s="31">
        <f ca="1">E20-VLOOKUP(Settings!$K$9,D$2:E$91,2,FALSE)</f>
        <v>113.36778153229227</v>
      </c>
      <c r="G20" s="138">
        <f t="shared" ca="1" si="1"/>
        <v>13</v>
      </c>
      <c r="H20" s="31">
        <f ca="1">VLOOKUP(A20,Rankings!$B$1:$H$651,7,FALSE)+(RAND()*0.00001)</f>
        <v>2.7811669252255302</v>
      </c>
      <c r="I20" s="31">
        <f ca="1">H20-VLOOKUP(Settings!$K$9,G$2:H$91,2,FALSE)</f>
        <v>3.6520705038591097</v>
      </c>
      <c r="J20" s="31" t="str">
        <f>VLOOKUP(A20,Rankings!B:D,3,FALSE)</f>
        <v>AL</v>
      </c>
    </row>
    <row r="21" spans="1:10" ht="20.100000000000001" customHeight="1">
      <c r="A21" s="26" t="s">
        <v>557</v>
      </c>
      <c r="B21" s="27" t="s">
        <v>258</v>
      </c>
      <c r="C21" s="128" t="s">
        <v>34</v>
      </c>
      <c r="D21" s="138">
        <f t="shared" ca="1" si="0"/>
        <v>21</v>
      </c>
      <c r="E21" s="31">
        <f ca="1">VLOOKUP(A21,Rankings!$B$1:$H$651,6,FALSE)+(RAND()*0.00001)</f>
        <v>256.95500171089583</v>
      </c>
      <c r="F21" s="31">
        <f ca="1">E21-VLOOKUP(Settings!$K$9,D$2:E$91,2,FALSE)</f>
        <v>88.00444554088466</v>
      </c>
      <c r="G21" s="138">
        <f t="shared" ca="1" si="1"/>
        <v>34</v>
      </c>
      <c r="H21" s="31">
        <f ca="1">VLOOKUP(A21,Rankings!$B$1:$H$651,7,FALSE)+(RAND()*0.00001)</f>
        <v>-0.58872116024253895</v>
      </c>
      <c r="I21" s="31">
        <f ca="1">H21-VLOOKUP(Settings!$K$9,G$2:H$91,2,FALSE)</f>
        <v>0.28218241839104052</v>
      </c>
      <c r="J21" s="31" t="str">
        <f>VLOOKUP(A21,Rankings!B:D,3,FALSE)</f>
        <v>AL</v>
      </c>
    </row>
    <row r="22" spans="1:10" ht="18.600000000000001" customHeight="1">
      <c r="A22" s="26" t="s">
        <v>529</v>
      </c>
      <c r="B22" s="27" t="s">
        <v>95</v>
      </c>
      <c r="C22" s="128" t="s">
        <v>34</v>
      </c>
      <c r="D22" s="138">
        <f t="shared" ca="1" si="0"/>
        <v>23</v>
      </c>
      <c r="E22" s="31">
        <f ca="1">VLOOKUP(A22,Rankings!$B$1:$H$651,6,FALSE)+(RAND()*0.00001)</f>
        <v>242.50667529143089</v>
      </c>
      <c r="F22" s="31">
        <f ca="1">E22-VLOOKUP(Settings!$K$9,D$2:E$91,2,FALSE)</f>
        <v>73.556119121419727</v>
      </c>
      <c r="G22" s="138">
        <f t="shared" ca="1" si="1"/>
        <v>27</v>
      </c>
      <c r="H22" s="31">
        <f ca="1">VLOOKUP(A22,Rankings!$B$1:$H$651,7,FALSE)+(RAND()*0.00001)</f>
        <v>-0.12304808968580719</v>
      </c>
      <c r="I22" s="31">
        <f ca="1">H22-VLOOKUP(Settings!$K$9,G$2:H$91,2,FALSE)</f>
        <v>0.74785548894777232</v>
      </c>
      <c r="J22" s="31" t="str">
        <f>VLOOKUP(A22,Rankings!B:D,3,FALSE)</f>
        <v>NL</v>
      </c>
    </row>
    <row r="23" spans="1:10" ht="18.600000000000001" customHeight="1">
      <c r="A23" s="26" t="s">
        <v>462</v>
      </c>
      <c r="B23" s="27" t="s">
        <v>156</v>
      </c>
      <c r="C23" s="128" t="s">
        <v>34</v>
      </c>
      <c r="D23" s="138">
        <f t="shared" ca="1" si="0"/>
        <v>22</v>
      </c>
      <c r="E23" s="31">
        <f ca="1">VLOOKUP(A23,Rankings!$B$1:$H$651,6,FALSE)+(RAND()*0.00001)</f>
        <v>244.88666776379287</v>
      </c>
      <c r="F23" s="31">
        <f ca="1">E23-VLOOKUP(Settings!$K$9,D$2:E$91,2,FALSE)</f>
        <v>75.936111593781703</v>
      </c>
      <c r="G23" s="138">
        <f t="shared" ca="1" si="1"/>
        <v>57</v>
      </c>
      <c r="H23" s="31">
        <f ca="1">VLOOKUP(A23,Rankings!$B$1:$H$651,7,FALSE)+(RAND()*0.00001)</f>
        <v>-1.6988341258817083</v>
      </c>
      <c r="I23" s="31">
        <f ca="1">H23-VLOOKUP(Settings!$K$9,G$2:H$91,2,FALSE)</f>
        <v>-0.82793054724812887</v>
      </c>
      <c r="J23" s="31" t="str">
        <f>VLOOKUP(A23,Rankings!B:D,3,FALSE)</f>
        <v>AL</v>
      </c>
    </row>
    <row r="24" spans="1:10" ht="18.600000000000001" customHeight="1">
      <c r="A24" s="26" t="s">
        <v>556</v>
      </c>
      <c r="B24" s="27" t="s">
        <v>306</v>
      </c>
      <c r="C24" s="128" t="s">
        <v>34</v>
      </c>
      <c r="D24" s="138">
        <f t="shared" ca="1" si="0"/>
        <v>20</v>
      </c>
      <c r="E24" s="31">
        <f ca="1">VLOOKUP(A24,Rankings!$B$1:$H$651,6,FALSE)+(RAND()*0.00001)</f>
        <v>260.43111177053828</v>
      </c>
      <c r="F24" s="31">
        <f ca="1">E24-VLOOKUP(Settings!$K$9,D$2:E$91,2,FALSE)</f>
        <v>91.480555600527111</v>
      </c>
      <c r="G24" s="138">
        <f t="shared" ca="1" si="1"/>
        <v>49</v>
      </c>
      <c r="H24" s="31">
        <f ca="1">VLOOKUP(A24,Rankings!$B$1:$H$651,7,FALSE)+(RAND()*0.00001)</f>
        <v>-1.220267402503117</v>
      </c>
      <c r="I24" s="31">
        <f ca="1">H24-VLOOKUP(Settings!$K$9,G$2:H$91,2,FALSE)</f>
        <v>-0.34936382386953757</v>
      </c>
      <c r="J24" s="31" t="str">
        <f>VLOOKUP(A24,Rankings!B:D,3,FALSE)</f>
        <v>NL</v>
      </c>
    </row>
    <row r="25" spans="1:10" ht="18.600000000000001" customHeight="1">
      <c r="A25" s="26" t="s">
        <v>500</v>
      </c>
      <c r="B25" s="27" t="s">
        <v>86</v>
      </c>
      <c r="C25" s="128" t="s">
        <v>34</v>
      </c>
      <c r="D25" s="138">
        <f t="shared" ca="1" si="0"/>
        <v>24</v>
      </c>
      <c r="E25" s="31">
        <f ca="1">VLOOKUP(A25,Rankings!$B$1:$H$651,6,FALSE)+(RAND()*0.00001)</f>
        <v>236.98889162638912</v>
      </c>
      <c r="F25" s="31">
        <f ca="1">E25-VLOOKUP(Settings!$K$9,D$2:E$91,2,FALSE)</f>
        <v>68.038335456377951</v>
      </c>
      <c r="G25" s="138">
        <f t="shared" ca="1" si="1"/>
        <v>48</v>
      </c>
      <c r="H25" s="31">
        <f ca="1">VLOOKUP(A25,Rankings!$B$1:$H$651,7,FALSE)+(RAND()*0.00001)</f>
        <v>-1.1716214207814775</v>
      </c>
      <c r="I25" s="31">
        <f ca="1">H25-VLOOKUP(Settings!$K$9,G$2:H$91,2,FALSE)</f>
        <v>-0.30071784214789798</v>
      </c>
      <c r="J25" s="31" t="str">
        <f>VLOOKUP(A25,Rankings!B:D,3,FALSE)</f>
        <v>AL</v>
      </c>
    </row>
    <row r="26" spans="1:10" ht="18.600000000000001" customHeight="1">
      <c r="A26" s="26" t="s">
        <v>237</v>
      </c>
      <c r="B26" s="27" t="s">
        <v>71</v>
      </c>
      <c r="C26" s="128" t="s">
        <v>34</v>
      </c>
      <c r="D26" s="138">
        <f t="shared" ca="1" si="0"/>
        <v>25</v>
      </c>
      <c r="E26" s="31">
        <f ca="1">VLOOKUP(A26,Rankings!$B$1:$H$651,6,FALSE)+(RAND()*0.00001)</f>
        <v>230.43833516601964</v>
      </c>
      <c r="F26" s="31">
        <f ca="1">E26-VLOOKUP(Settings!$K$9,D$2:E$91,2,FALSE)</f>
        <v>61.487778996008473</v>
      </c>
      <c r="G26" s="138">
        <f t="shared" ca="1" si="1"/>
        <v>7</v>
      </c>
      <c r="H26" s="31">
        <f ca="1">VLOOKUP(A26,Rankings!$B$1:$H$651,7,FALSE)+(RAND()*0.00001)</f>
        <v>4.4421942498820961</v>
      </c>
      <c r="I26" s="31">
        <f ca="1">H26-VLOOKUP(Settings!$K$9,G$2:H$91,2,FALSE)</f>
        <v>5.3130978285156756</v>
      </c>
      <c r="J26" s="31" t="str">
        <f>VLOOKUP(A26,Rankings!B:D,3,FALSE)</f>
        <v>AL</v>
      </c>
    </row>
    <row r="27" spans="1:10" ht="18.600000000000001" customHeight="1">
      <c r="A27" s="26" t="s">
        <v>450</v>
      </c>
      <c r="B27" s="27" t="s">
        <v>158</v>
      </c>
      <c r="C27" s="128" t="s">
        <v>34</v>
      </c>
      <c r="D27" s="138">
        <f t="shared" ca="1" si="0"/>
        <v>31</v>
      </c>
      <c r="E27" s="31">
        <f ca="1">VLOOKUP(A27,Rankings!$B$1:$H$651,6,FALSE)+(RAND()*0.00001)</f>
        <v>209.45556243200275</v>
      </c>
      <c r="F27" s="31">
        <f ca="1">E27-VLOOKUP(Settings!$K$9,D$2:E$91,2,FALSE)</f>
        <v>40.505006261991582</v>
      </c>
      <c r="G27" s="138">
        <f t="shared" ca="1" si="1"/>
        <v>44</v>
      </c>
      <c r="H27" s="31">
        <f ca="1">VLOOKUP(A27,Rankings!$B$1:$H$651,7,FALSE)+(RAND()*0.00001)</f>
        <v>-0.86757551941714628</v>
      </c>
      <c r="I27" s="31">
        <f ca="1">H27-VLOOKUP(Settings!$K$9,G$2:H$91,2,FALSE)</f>
        <v>3.328059216433199E-3</v>
      </c>
      <c r="J27" s="31" t="str">
        <f>VLOOKUP(A27,Rankings!B:D,3,FALSE)</f>
        <v>NL</v>
      </c>
    </row>
    <row r="28" spans="1:10" ht="18.600000000000001" customHeight="1">
      <c r="A28" s="26" t="s">
        <v>443</v>
      </c>
      <c r="B28" s="27" t="s">
        <v>91</v>
      </c>
      <c r="C28" s="128" t="s">
        <v>34</v>
      </c>
      <c r="D28" s="138">
        <f t="shared" ca="1" si="0"/>
        <v>26</v>
      </c>
      <c r="E28" s="31">
        <f ca="1">VLOOKUP(A28,Rankings!$B$1:$H$651,6,FALSE)+(RAND()*0.00001)</f>
        <v>218.68166872040931</v>
      </c>
      <c r="F28" s="31">
        <f ca="1">E28-VLOOKUP(Settings!$K$9,D$2:E$91,2,FALSE)</f>
        <v>49.731112550398137</v>
      </c>
      <c r="G28" s="138">
        <f t="shared" ca="1" si="1"/>
        <v>37</v>
      </c>
      <c r="H28" s="31">
        <f ca="1">VLOOKUP(A28,Rankings!$B$1:$H$651,7,FALSE)+(RAND()*0.00001)</f>
        <v>-0.70276236048364582</v>
      </c>
      <c r="I28" s="31">
        <f ca="1">H28-VLOOKUP(Settings!$K$9,G$2:H$91,2,FALSE)</f>
        <v>0.16814121814993366</v>
      </c>
      <c r="J28" s="31" t="str">
        <f>VLOOKUP(A28,Rankings!B:D,3,FALSE)</f>
        <v>NL</v>
      </c>
    </row>
    <row r="29" spans="1:10" ht="18.600000000000001" customHeight="1">
      <c r="A29" s="26" t="s">
        <v>512</v>
      </c>
      <c r="B29" s="27" t="s">
        <v>114</v>
      </c>
      <c r="C29" s="128" t="s">
        <v>34</v>
      </c>
      <c r="D29" s="138">
        <f t="shared" ca="1" si="0"/>
        <v>33</v>
      </c>
      <c r="E29" s="31">
        <f ca="1">VLOOKUP(A29,Rankings!$B$1:$H$651,6,FALSE)+(RAND()*0.00001)</f>
        <v>204.34056333668147</v>
      </c>
      <c r="F29" s="31">
        <f ca="1">E29-VLOOKUP(Settings!$K$9,D$2:E$91,2,FALSE)</f>
        <v>35.390007166670301</v>
      </c>
      <c r="G29" s="138">
        <f t="shared" ca="1" si="1"/>
        <v>63</v>
      </c>
      <c r="H29" s="31">
        <f ca="1">VLOOKUP(A29,Rankings!$B$1:$H$651,7,FALSE)+(RAND()*0.00001)</f>
        <v>-1.928260947906139</v>
      </c>
      <c r="I29" s="31">
        <f ca="1">H29-VLOOKUP(Settings!$K$9,G$2:H$91,2,FALSE)</f>
        <v>-1.0573573692725595</v>
      </c>
      <c r="J29" s="31" t="str">
        <f>VLOOKUP(A29,Rankings!B:D,3,FALSE)</f>
        <v>AL</v>
      </c>
    </row>
    <row r="30" spans="1:10" ht="20.100000000000001" customHeight="1">
      <c r="A30" s="26" t="s">
        <v>674</v>
      </c>
      <c r="B30" s="27" t="s">
        <v>84</v>
      </c>
      <c r="C30" s="128" t="s">
        <v>34</v>
      </c>
      <c r="D30" s="138">
        <f t="shared" ca="1" si="0"/>
        <v>28</v>
      </c>
      <c r="E30" s="31">
        <f ca="1">VLOOKUP(A30,Rankings!$B$1:$H$651,6,FALSE)+(RAND()*0.00001)</f>
        <v>211.74167515097255</v>
      </c>
      <c r="F30" s="31">
        <f ca="1">E30-VLOOKUP(Settings!$K$9,D$2:E$91,2,FALSE)</f>
        <v>42.791118980961386</v>
      </c>
      <c r="G30" s="138">
        <f t="shared" ca="1" si="1"/>
        <v>69</v>
      </c>
      <c r="H30" s="31">
        <f ca="1">VLOOKUP(A30,Rankings!$B$1:$H$651,7,FALSE)+(RAND()*0.00001)</f>
        <v>-2.156524039049732</v>
      </c>
      <c r="I30" s="31">
        <f ca="1">H30-VLOOKUP(Settings!$K$9,G$2:H$91,2,FALSE)</f>
        <v>-1.2856204604161525</v>
      </c>
      <c r="J30" s="31" t="str">
        <f>VLOOKUP(A30,Rankings!B:D,3,FALSE)</f>
        <v>AL</v>
      </c>
    </row>
    <row r="31" spans="1:10" ht="18.600000000000001" customHeight="1">
      <c r="A31" s="26" t="s">
        <v>539</v>
      </c>
      <c r="B31" s="27" t="s">
        <v>134</v>
      </c>
      <c r="C31" s="128" t="s">
        <v>34</v>
      </c>
      <c r="D31" s="138">
        <f t="shared" ca="1" si="0"/>
        <v>35</v>
      </c>
      <c r="E31" s="31">
        <f ca="1">VLOOKUP(A31,Rankings!$B$1:$H$651,6,FALSE)+(RAND()*0.00001)</f>
        <v>202.47862651285084</v>
      </c>
      <c r="F31" s="31">
        <f ca="1">E31-VLOOKUP(Settings!$K$9,D$2:E$91,2,FALSE)</f>
        <v>33.528070342839669</v>
      </c>
      <c r="G31" s="138">
        <f t="shared" ca="1" si="1"/>
        <v>56</v>
      </c>
      <c r="H31" s="31">
        <f ca="1">VLOOKUP(A31,Rankings!$B$1:$H$651,7,FALSE)+(RAND()*0.00001)</f>
        <v>-1.6069709542237343</v>
      </c>
      <c r="I31" s="31">
        <f ca="1">H31-VLOOKUP(Settings!$K$9,G$2:H$91,2,FALSE)</f>
        <v>-0.73606737559015478</v>
      </c>
      <c r="J31" s="31" t="str">
        <f>VLOOKUP(A31,Rankings!B:D,3,FALSE)</f>
        <v>NL</v>
      </c>
    </row>
    <row r="32" spans="1:10" ht="18.600000000000001" customHeight="1">
      <c r="A32" s="26" t="s">
        <v>527</v>
      </c>
      <c r="B32" s="27" t="s">
        <v>91</v>
      </c>
      <c r="C32" s="128" t="s">
        <v>34</v>
      </c>
      <c r="D32" s="138">
        <f t="shared" ca="1" si="0"/>
        <v>29</v>
      </c>
      <c r="E32" s="31">
        <f ca="1">VLOOKUP(A32,Rankings!$B$1:$H$651,6,FALSE)+(RAND()*0.00001)</f>
        <v>211.73111554927911</v>
      </c>
      <c r="F32" s="31">
        <f ca="1">E32-VLOOKUP(Settings!$K$9,D$2:E$91,2,FALSE)</f>
        <v>42.780559379267942</v>
      </c>
      <c r="G32" s="138">
        <f t="shared" ca="1" si="1"/>
        <v>35</v>
      </c>
      <c r="H32" s="31">
        <f ca="1">VLOOKUP(A32,Rankings!$B$1:$H$651,7,FALSE)+(RAND()*0.00001)</f>
        <v>-0.62480422104596667</v>
      </c>
      <c r="I32" s="31">
        <f ca="1">H32-VLOOKUP(Settings!$K$9,G$2:H$91,2,FALSE)</f>
        <v>0.24609935758761281</v>
      </c>
      <c r="J32" s="31" t="str">
        <f>VLOOKUP(A32,Rankings!B:D,3,FALSE)</f>
        <v>NL</v>
      </c>
    </row>
    <row r="33" spans="1:10" ht="18.600000000000001" customHeight="1">
      <c r="A33" s="26" t="s">
        <v>358</v>
      </c>
      <c r="B33" s="27" t="s">
        <v>81</v>
      </c>
      <c r="C33" s="128" t="s">
        <v>34</v>
      </c>
      <c r="D33" s="138">
        <f t="shared" ca="1" si="0"/>
        <v>30</v>
      </c>
      <c r="E33" s="31">
        <f ca="1">VLOOKUP(A33,Rankings!$B$1:$H$651,6,FALSE)+(RAND()*0.00001)</f>
        <v>211.24055916282228</v>
      </c>
      <c r="F33" s="31">
        <f ca="1">E33-VLOOKUP(Settings!$K$9,D$2:E$91,2,FALSE)</f>
        <v>42.290002992811111</v>
      </c>
      <c r="G33" s="138">
        <f t="shared" ca="1" si="1"/>
        <v>21</v>
      </c>
      <c r="H33" s="31">
        <f ca="1">VLOOKUP(A33,Rankings!$B$1:$H$651,7,FALSE)+(RAND()*0.00001)</f>
        <v>1.2857508259482322</v>
      </c>
      <c r="I33" s="31">
        <f ca="1">H33-VLOOKUP(Settings!$K$9,G$2:H$91,2,FALSE)</f>
        <v>2.1566544045818117</v>
      </c>
      <c r="J33" s="31" t="str">
        <f>VLOOKUP(A33,Rankings!B:D,3,FALSE)</f>
        <v>NL</v>
      </c>
    </row>
    <row r="34" spans="1:10" ht="18.600000000000001" customHeight="1">
      <c r="A34" s="26" t="s">
        <v>417</v>
      </c>
      <c r="B34" s="27" t="s">
        <v>81</v>
      </c>
      <c r="C34" s="128" t="s">
        <v>34</v>
      </c>
      <c r="D34" s="138">
        <f t="shared" ref="D34:D65" ca="1" si="2">RANK(E34,E$2:E$91)</f>
        <v>36</v>
      </c>
      <c r="E34" s="31">
        <f ca="1">VLOOKUP(A34,Rankings!$B$1:$H$651,6,FALSE)+(RAND()*0.00001)</f>
        <v>200.54583583635403</v>
      </c>
      <c r="F34" s="31">
        <f ca="1">E34-VLOOKUP(Settings!$K$9,D$2:E$91,2,FALSE)</f>
        <v>31.595279666342861</v>
      </c>
      <c r="G34" s="138">
        <f t="shared" ref="G34:G65" ca="1" si="3">RANK(H34,H$2:H$91)</f>
        <v>28</v>
      </c>
      <c r="H34" s="31">
        <f ca="1">VLOOKUP(A34,Rankings!$B$1:$H$651,7,FALSE)+(RAND()*0.00001)</f>
        <v>-0.23254007362566995</v>
      </c>
      <c r="I34" s="31">
        <f ca="1">H34-VLOOKUP(Settings!$K$9,G$2:H$91,2,FALSE)</f>
        <v>0.6383635050079095</v>
      </c>
      <c r="J34" s="31" t="str">
        <f>VLOOKUP(A34,Rankings!B:D,3,FALSE)</f>
        <v>NL</v>
      </c>
    </row>
    <row r="35" spans="1:10" ht="18.600000000000001" customHeight="1">
      <c r="A35" s="26" t="s">
        <v>536</v>
      </c>
      <c r="B35" s="27" t="s">
        <v>140</v>
      </c>
      <c r="C35" s="128" t="s">
        <v>34</v>
      </c>
      <c r="D35" s="138">
        <f t="shared" ca="1" si="2"/>
        <v>34</v>
      </c>
      <c r="E35" s="31">
        <f ca="1">VLOOKUP(A35,Rankings!$B$1:$H$651,6,FALSE)+(RAND()*0.00001)</f>
        <v>203.97000538471062</v>
      </c>
      <c r="F35" s="31">
        <f ca="1">E35-VLOOKUP(Settings!$K$9,D$2:E$91,2,FALSE)</f>
        <v>35.019449214699449</v>
      </c>
      <c r="G35" s="138">
        <f t="shared" ca="1" si="3"/>
        <v>58</v>
      </c>
      <c r="H35" s="31">
        <f ca="1">VLOOKUP(A35,Rankings!$B$1:$H$651,7,FALSE)+(RAND()*0.00001)</f>
        <v>-1.7365337993902858</v>
      </c>
      <c r="I35" s="31">
        <f ca="1">H35-VLOOKUP(Settings!$K$9,G$2:H$91,2,FALSE)</f>
        <v>-0.86563022075670637</v>
      </c>
      <c r="J35" s="31" t="str">
        <f>VLOOKUP(A35,Rankings!B:D,3,FALSE)</f>
        <v>AL</v>
      </c>
    </row>
    <row r="36" spans="1:10" ht="18.600000000000001" customHeight="1">
      <c r="A36" s="26" t="s">
        <v>352</v>
      </c>
      <c r="B36" s="27" t="s">
        <v>101</v>
      </c>
      <c r="C36" s="128" t="s">
        <v>34</v>
      </c>
      <c r="D36" s="138">
        <f t="shared" ca="1" si="2"/>
        <v>32</v>
      </c>
      <c r="E36" s="31">
        <f ca="1">VLOOKUP(A36,Rankings!$B$1:$H$651,6,FALSE)+(RAND()*0.00001)</f>
        <v>204.64277785803858</v>
      </c>
      <c r="F36" s="31">
        <f ca="1">E36-VLOOKUP(Settings!$K$9,D$2:E$91,2,FALSE)</f>
        <v>35.692221688027416</v>
      </c>
      <c r="G36" s="138">
        <f t="shared" ca="1" si="3"/>
        <v>20</v>
      </c>
      <c r="H36" s="31">
        <f ca="1">VLOOKUP(A36,Rankings!$B$1:$H$651,7,FALSE)+(RAND()*0.00001)</f>
        <v>1.3727241132733368</v>
      </c>
      <c r="I36" s="31">
        <f ca="1">H36-VLOOKUP(Settings!$K$9,G$2:H$91,2,FALSE)</f>
        <v>2.2436276919069162</v>
      </c>
      <c r="J36" s="31" t="str">
        <f>VLOOKUP(A36,Rankings!B:D,3,FALSE)</f>
        <v>AL</v>
      </c>
    </row>
    <row r="37" spans="1:10" ht="18.600000000000001" customHeight="1">
      <c r="A37" s="26" t="s">
        <v>331</v>
      </c>
      <c r="B37" s="27" t="s">
        <v>123</v>
      </c>
      <c r="C37" s="128" t="s">
        <v>34</v>
      </c>
      <c r="D37" s="138">
        <f t="shared" ca="1" si="2"/>
        <v>37</v>
      </c>
      <c r="E37" s="31">
        <f ca="1">VLOOKUP(A37,Rankings!$B$1:$H$651,6,FALSE)+(RAND()*0.00001)</f>
        <v>194.38833797888148</v>
      </c>
      <c r="F37" s="31">
        <f ca="1">E37-VLOOKUP(Settings!$K$9,D$2:E$91,2,FALSE)</f>
        <v>25.437781808870312</v>
      </c>
      <c r="G37" s="138">
        <f t="shared" ca="1" si="3"/>
        <v>22</v>
      </c>
      <c r="H37" s="31">
        <f ca="1">VLOOKUP(A37,Rankings!$B$1:$H$651,7,FALSE)+(RAND()*0.00001)</f>
        <v>1.2699754104656691</v>
      </c>
      <c r="I37" s="31">
        <f ca="1">H37-VLOOKUP(Settings!$K$9,G$2:H$91,2,FALSE)</f>
        <v>2.1408789890992486</v>
      </c>
      <c r="J37" s="31" t="str">
        <f>VLOOKUP(A37,Rankings!B:D,3,FALSE)</f>
        <v>NL</v>
      </c>
    </row>
    <row r="38" spans="1:10" ht="18.600000000000001" customHeight="1">
      <c r="A38" s="26" t="s">
        <v>506</v>
      </c>
      <c r="B38" s="27" t="s">
        <v>95</v>
      </c>
      <c r="C38" s="128" t="s">
        <v>34</v>
      </c>
      <c r="D38" s="138">
        <f t="shared" ca="1" si="2"/>
        <v>38</v>
      </c>
      <c r="E38" s="31">
        <f ca="1">VLOOKUP(A38,Rankings!$B$1:$H$651,6,FALSE)+(RAND()*0.00001)</f>
        <v>180.6233410614222</v>
      </c>
      <c r="F38" s="31">
        <f ca="1">E38-VLOOKUP(Settings!$K$9,D$2:E$91,2,FALSE)</f>
        <v>11.672784891411027</v>
      </c>
      <c r="G38" s="138">
        <f t="shared" ca="1" si="3"/>
        <v>41</v>
      </c>
      <c r="H38" s="31">
        <f ca="1">VLOOKUP(A38,Rankings!$B$1:$H$651,7,FALSE)+(RAND()*0.00001)</f>
        <v>-0.82109527607568189</v>
      </c>
      <c r="I38" s="31">
        <f ca="1">H38-VLOOKUP(Settings!$K$9,G$2:H$91,2,FALSE)</f>
        <v>4.9808302557897588E-2</v>
      </c>
      <c r="J38" s="31" t="str">
        <f>VLOOKUP(A38,Rankings!B:D,3,FALSE)</f>
        <v>NL</v>
      </c>
    </row>
    <row r="39" spans="1:10" ht="18.600000000000001" customHeight="1">
      <c r="A39" s="26" t="s">
        <v>445</v>
      </c>
      <c r="B39" s="27" t="s">
        <v>217</v>
      </c>
      <c r="C39" s="128" t="s">
        <v>34</v>
      </c>
      <c r="D39" s="138">
        <f t="shared" ca="1" si="2"/>
        <v>39</v>
      </c>
      <c r="E39" s="31">
        <f ca="1">VLOOKUP(A39,Rankings!$B$1:$H$651,6,FALSE)+(RAND()*0.00001)</f>
        <v>180.15222444237895</v>
      </c>
      <c r="F39" s="31">
        <f ca="1">E39-VLOOKUP(Settings!$K$9,D$2:E$91,2,FALSE)</f>
        <v>11.201668272367783</v>
      </c>
      <c r="G39" s="138">
        <f t="shared" ca="1" si="3"/>
        <v>26</v>
      </c>
      <c r="H39" s="31">
        <f ca="1">VLOOKUP(A39,Rankings!$B$1:$H$651,7,FALSE)+(RAND()*0.00001)</f>
        <v>-0.1229002043042929</v>
      </c>
      <c r="I39" s="31">
        <f ca="1">H39-VLOOKUP(Settings!$K$9,G$2:H$91,2,FALSE)</f>
        <v>0.74800337432928654</v>
      </c>
      <c r="J39" s="31" t="str">
        <f>VLOOKUP(A39,Rankings!B:D,3,FALSE)</f>
        <v>NL</v>
      </c>
    </row>
    <row r="40" spans="1:10" ht="18.600000000000001" customHeight="1">
      <c r="A40" s="26" t="s">
        <v>755</v>
      </c>
      <c r="B40" s="27" t="s">
        <v>158</v>
      </c>
      <c r="C40" s="128" t="s">
        <v>34</v>
      </c>
      <c r="D40" s="138">
        <f t="shared" ca="1" si="2"/>
        <v>43</v>
      </c>
      <c r="E40" s="31">
        <f ca="1">VLOOKUP(A40,Rankings!$B$1:$H$651,6,FALSE)+(RAND()*0.00001)</f>
        <v>176.92722971905633</v>
      </c>
      <c r="F40" s="31">
        <f ca="1">E40-VLOOKUP(Settings!$K$9,D$2:E$91,2,FALSE)</f>
        <v>7.9766735490451595</v>
      </c>
      <c r="G40" s="138">
        <f t="shared" ca="1" si="3"/>
        <v>86</v>
      </c>
      <c r="H40" s="31">
        <f ca="1">VLOOKUP(A40,Rankings!$B$1:$H$651,7,FALSE)+(RAND()*0.00001)</f>
        <v>-3.2290154123051762</v>
      </c>
      <c r="I40" s="31">
        <f ca="1">H40-VLOOKUP(Settings!$K$9,G$2:H$91,2,FALSE)</f>
        <v>-2.3581118336715967</v>
      </c>
      <c r="J40" s="31" t="str">
        <f>VLOOKUP(A40,Rankings!B:D,3,FALSE)</f>
        <v>NL</v>
      </c>
    </row>
    <row r="41" spans="1:10" ht="18.600000000000001" customHeight="1">
      <c r="A41" s="26" t="s">
        <v>571</v>
      </c>
      <c r="B41" s="27" t="s">
        <v>84</v>
      </c>
      <c r="C41" s="128" t="s">
        <v>34</v>
      </c>
      <c r="D41" s="138">
        <f t="shared" ca="1" si="2"/>
        <v>42</v>
      </c>
      <c r="E41" s="31">
        <f ca="1">VLOOKUP(A41,Rankings!$B$1:$H$651,6,FALSE)+(RAND()*0.00001)</f>
        <v>178.14182110252193</v>
      </c>
      <c r="F41" s="31">
        <f ca="1">E41-VLOOKUP(Settings!$K$9,D$2:E$91,2,FALSE)</f>
        <v>9.1912649325107623</v>
      </c>
      <c r="G41" s="138">
        <f t="shared" ca="1" si="3"/>
        <v>74</v>
      </c>
      <c r="H41" s="31">
        <f ca="1">VLOOKUP(A41,Rankings!$B$1:$H$651,7,FALSE)+(RAND()*0.00001)</f>
        <v>-2.3732538077213605</v>
      </c>
      <c r="I41" s="31">
        <f ca="1">H41-VLOOKUP(Settings!$K$9,G$2:H$91,2,FALSE)</f>
        <v>-1.502350229087781</v>
      </c>
      <c r="J41" s="31" t="str">
        <f>VLOOKUP(A41,Rankings!B:D,3,FALSE)</f>
        <v>AL</v>
      </c>
    </row>
    <row r="42" spans="1:10" ht="20.100000000000001" customHeight="1">
      <c r="A42" s="26" t="s">
        <v>495</v>
      </c>
      <c r="B42" s="27" t="s">
        <v>81</v>
      </c>
      <c r="C42" s="128" t="s">
        <v>34</v>
      </c>
      <c r="D42" s="138">
        <f t="shared" ca="1" si="2"/>
        <v>40</v>
      </c>
      <c r="E42" s="31">
        <f ca="1">VLOOKUP(A42,Rankings!$B$1:$H$651,6,FALSE)+(RAND()*0.00001)</f>
        <v>179.30333391336208</v>
      </c>
      <c r="F42" s="31">
        <f ca="1">E42-VLOOKUP(Settings!$K$9,D$2:E$91,2,FALSE)</f>
        <v>10.352777743350913</v>
      </c>
      <c r="G42" s="138">
        <f t="shared" ca="1" si="3"/>
        <v>25</v>
      </c>
      <c r="H42" s="31">
        <f ca="1">VLOOKUP(A42,Rankings!$B$1:$H$651,7,FALSE)+(RAND()*0.00001)</f>
        <v>0.17700177297565117</v>
      </c>
      <c r="I42" s="31">
        <f ca="1">H42-VLOOKUP(Settings!$K$9,G$2:H$91,2,FALSE)</f>
        <v>1.0479053516092307</v>
      </c>
      <c r="J42" s="31" t="str">
        <f>VLOOKUP(A42,Rankings!B:D,3,FALSE)</f>
        <v>NL</v>
      </c>
    </row>
    <row r="43" spans="1:10" ht="18.600000000000001" customHeight="1">
      <c r="A43" s="26" t="s">
        <v>502</v>
      </c>
      <c r="B43" s="27" t="s">
        <v>81</v>
      </c>
      <c r="C43" s="128" t="s">
        <v>34</v>
      </c>
      <c r="D43" s="138">
        <f t="shared" ca="1" si="2"/>
        <v>44</v>
      </c>
      <c r="E43" s="31">
        <f ca="1">VLOOKUP(A43,Rankings!$B$1:$H$651,6,FALSE)+(RAND()*0.00001)</f>
        <v>172.60940563674151</v>
      </c>
      <c r="F43" s="31">
        <f ca="1">E43-VLOOKUP(Settings!$K$9,D$2:E$91,2,FALSE)</f>
        <v>3.6588494667303451</v>
      </c>
      <c r="G43" s="138">
        <f t="shared" ca="1" si="3"/>
        <v>29</v>
      </c>
      <c r="H43" s="31">
        <f ca="1">VLOOKUP(A43,Rankings!$B$1:$H$651,7,FALSE)+(RAND()*0.00001)</f>
        <v>-0.3083651878040729</v>
      </c>
      <c r="I43" s="31">
        <f ca="1">H43-VLOOKUP(Settings!$K$9,G$2:H$91,2,FALSE)</f>
        <v>0.56253839082950652</v>
      </c>
      <c r="J43" s="31" t="str">
        <f>VLOOKUP(A43,Rankings!B:D,3,FALSE)</f>
        <v>NL</v>
      </c>
    </row>
    <row r="44" spans="1:10" ht="20.100000000000001" customHeight="1">
      <c r="A44" s="26" t="s">
        <v>364</v>
      </c>
      <c r="B44" s="27" t="s">
        <v>73</v>
      </c>
      <c r="C44" s="128" t="s">
        <v>34</v>
      </c>
      <c r="D44" s="138">
        <f t="shared" ca="1" si="2"/>
        <v>27</v>
      </c>
      <c r="E44" s="31">
        <f ca="1">VLOOKUP(A44,Rankings!$B$1:$H$651,6,FALSE)+(RAND()*0.00001)</f>
        <v>213.32805795172865</v>
      </c>
      <c r="F44" s="31">
        <f ca="1">E44-VLOOKUP(Settings!$K$9,D$2:E$91,2,FALSE)</f>
        <v>44.377501781717484</v>
      </c>
      <c r="G44" s="138">
        <f t="shared" ca="1" si="3"/>
        <v>17</v>
      </c>
      <c r="H44" s="31">
        <f ca="1">VLOOKUP(A44,Rankings!$B$1:$H$651,7,FALSE)+(RAND()*0.00001)</f>
        <v>1.8652057854799866</v>
      </c>
      <c r="I44" s="31">
        <f ca="1">H44-VLOOKUP(Settings!$K$9,G$2:H$91,2,FALSE)</f>
        <v>2.7361093641135659</v>
      </c>
      <c r="J44" s="31" t="str">
        <f>VLOOKUP(A44,Rankings!B:D,3,FALSE)</f>
        <v>NL</v>
      </c>
    </row>
    <row r="45" spans="1:10" ht="18.600000000000001" customHeight="1">
      <c r="A45" s="26" t="s">
        <v>567</v>
      </c>
      <c r="B45" s="27" t="s">
        <v>140</v>
      </c>
      <c r="C45" s="128" t="s">
        <v>34</v>
      </c>
      <c r="D45" s="138">
        <f t="shared" ca="1" si="2"/>
        <v>41</v>
      </c>
      <c r="E45" s="31">
        <f ca="1">VLOOKUP(A45,Rankings!$B$1:$H$651,6,FALSE)+(RAND()*0.00001)</f>
        <v>179.14805814996902</v>
      </c>
      <c r="F45" s="31">
        <f ca="1">E45-VLOOKUP(Settings!$K$9,D$2:E$91,2,FALSE)</f>
        <v>10.197501979957849</v>
      </c>
      <c r="G45" s="138">
        <f t="shared" ca="1" si="3"/>
        <v>51</v>
      </c>
      <c r="H45" s="31">
        <f ca="1">VLOOKUP(A45,Rankings!$B$1:$H$651,7,FALSE)+(RAND()*0.00001)</f>
        <v>-1.2867348472718569</v>
      </c>
      <c r="I45" s="31">
        <f ca="1">H45-VLOOKUP(Settings!$K$9,G$2:H$91,2,FALSE)</f>
        <v>-0.41583126863827746</v>
      </c>
      <c r="J45" s="31" t="str">
        <f>VLOOKUP(A45,Rankings!B:D,3,FALSE)</f>
        <v>AL</v>
      </c>
    </row>
    <row r="46" spans="1:10" ht="18.600000000000001" customHeight="1">
      <c r="A46" s="26" t="s">
        <v>526</v>
      </c>
      <c r="B46" s="27" t="s">
        <v>78</v>
      </c>
      <c r="C46" s="128" t="s">
        <v>34</v>
      </c>
      <c r="D46" s="138">
        <f t="shared" ca="1" si="2"/>
        <v>48</v>
      </c>
      <c r="E46" s="31">
        <f ca="1">VLOOKUP(A46,Rankings!$B$1:$H$651,6,FALSE)+(RAND()*0.00001)</f>
        <v>163.0800057273855</v>
      </c>
      <c r="F46" s="31">
        <f ca="1">E46-VLOOKUP(Settings!$K$9,D$2:E$91,2,FALSE)</f>
        <v>-5.8705504426256709</v>
      </c>
      <c r="G46" s="138">
        <f t="shared" ca="1" si="3"/>
        <v>62</v>
      </c>
      <c r="H46" s="31">
        <f ca="1">VLOOKUP(A46,Rankings!$B$1:$H$651,7,FALSE)+(RAND()*0.00001)</f>
        <v>-1.8949697583012801</v>
      </c>
      <c r="I46" s="31">
        <f ca="1">H46-VLOOKUP(Settings!$K$9,G$2:H$91,2,FALSE)</f>
        <v>-1.0240661796677006</v>
      </c>
      <c r="J46" s="31" t="str">
        <f>VLOOKUP(A46,Rankings!B:D,3,FALSE)</f>
        <v>AL</v>
      </c>
    </row>
    <row r="47" spans="1:10" ht="18.600000000000001" customHeight="1">
      <c r="A47" s="26" t="s">
        <v>648</v>
      </c>
      <c r="B47" s="27" t="s">
        <v>134</v>
      </c>
      <c r="C47" s="128" t="s">
        <v>34</v>
      </c>
      <c r="D47" s="138">
        <f t="shared" ca="1" si="2"/>
        <v>51</v>
      </c>
      <c r="E47" s="31">
        <f ca="1">VLOOKUP(A47,Rankings!$B$1:$H$651,6,FALSE)+(RAND()*0.00001)</f>
        <v>161.0677868219382</v>
      </c>
      <c r="F47" s="31">
        <f ca="1">E47-VLOOKUP(Settings!$K$9,D$2:E$91,2,FALSE)</f>
        <v>-7.8827693480729693</v>
      </c>
      <c r="G47" s="138">
        <f t="shared" ca="1" si="3"/>
        <v>85</v>
      </c>
      <c r="H47" s="31">
        <f ca="1">VLOOKUP(A47,Rankings!$B$1:$H$651,7,FALSE)+(RAND()*0.00001)</f>
        <v>-2.9871143282487176</v>
      </c>
      <c r="I47" s="31">
        <f ca="1">H47-VLOOKUP(Settings!$K$9,G$2:H$91,2,FALSE)</f>
        <v>-2.1162107496151381</v>
      </c>
      <c r="J47" s="31" t="str">
        <f>VLOOKUP(A47,Rankings!B:D,3,FALSE)</f>
        <v>NL</v>
      </c>
    </row>
    <row r="48" spans="1:10" ht="18.600000000000001" customHeight="1">
      <c r="A48" s="26" t="s">
        <v>407</v>
      </c>
      <c r="B48" s="27" t="s">
        <v>63</v>
      </c>
      <c r="C48" s="128" t="s">
        <v>34</v>
      </c>
      <c r="D48" s="138">
        <f t="shared" ca="1" si="2"/>
        <v>49</v>
      </c>
      <c r="E48" s="31">
        <f ca="1">VLOOKUP(A48,Rankings!$B$1:$H$651,6,FALSE)+(RAND()*0.00001)</f>
        <v>163.01167393710557</v>
      </c>
      <c r="F48" s="31">
        <f ca="1">E48-VLOOKUP(Settings!$K$9,D$2:E$91,2,FALSE)</f>
        <v>-5.9388822329055984</v>
      </c>
      <c r="G48" s="138">
        <f t="shared" ca="1" si="3"/>
        <v>32</v>
      </c>
      <c r="H48" s="31">
        <f ca="1">VLOOKUP(A48,Rankings!$B$1:$H$651,7,FALSE)+(RAND()*0.00001)</f>
        <v>-0.5504158564692464</v>
      </c>
      <c r="I48" s="31">
        <f ca="1">H48-VLOOKUP(Settings!$K$9,G$2:H$91,2,FALSE)</f>
        <v>0.32048772216433308</v>
      </c>
      <c r="J48" s="31" t="str">
        <f>VLOOKUP(A48,Rankings!B:D,3,FALSE)</f>
        <v>NL</v>
      </c>
    </row>
    <row r="49" spans="1:10" ht="18.600000000000001" customHeight="1">
      <c r="A49" s="26" t="s">
        <v>570</v>
      </c>
      <c r="B49" s="27" t="s">
        <v>91</v>
      </c>
      <c r="C49" s="128" t="s">
        <v>34</v>
      </c>
      <c r="D49" s="138">
        <f t="shared" ca="1" si="2"/>
        <v>47</v>
      </c>
      <c r="E49" s="31">
        <f ca="1">VLOOKUP(A49,Rankings!$B$1:$H$651,6,FALSE)+(RAND()*0.00001)</f>
        <v>166.406672484208</v>
      </c>
      <c r="F49" s="31">
        <f ca="1">E49-VLOOKUP(Settings!$K$9,D$2:E$91,2,FALSE)</f>
        <v>-2.5438836858031664</v>
      </c>
      <c r="G49" s="138">
        <f t="shared" ca="1" si="3"/>
        <v>36</v>
      </c>
      <c r="H49" s="31">
        <f ca="1">VLOOKUP(A49,Rankings!$B$1:$H$651,7,FALSE)+(RAND()*0.00001)</f>
        <v>-0.68850857624647432</v>
      </c>
      <c r="I49" s="31">
        <f ca="1">H49-VLOOKUP(Settings!$K$9,G$2:H$91,2,FALSE)</f>
        <v>0.18239500238710515</v>
      </c>
      <c r="J49" s="31" t="str">
        <f>VLOOKUP(A49,Rankings!B:D,3,FALSE)</f>
        <v>NL</v>
      </c>
    </row>
    <row r="50" spans="1:10" ht="18.600000000000001" customHeight="1">
      <c r="A50" s="26" t="s">
        <v>522</v>
      </c>
      <c r="B50" s="27" t="s">
        <v>103</v>
      </c>
      <c r="C50" s="128" t="s">
        <v>34</v>
      </c>
      <c r="D50" s="138">
        <f t="shared" ca="1" si="2"/>
        <v>50</v>
      </c>
      <c r="E50" s="31">
        <f ca="1">VLOOKUP(A50,Rankings!$B$1:$H$651,6,FALSE)+(RAND()*0.00001)</f>
        <v>161.57944961352052</v>
      </c>
      <c r="F50" s="31">
        <f ca="1">E50-VLOOKUP(Settings!$K$9,D$2:E$91,2,FALSE)</f>
        <v>-7.3711065564906448</v>
      </c>
      <c r="G50" s="138">
        <f t="shared" ca="1" si="3"/>
        <v>72</v>
      </c>
      <c r="H50" s="31">
        <f ca="1">VLOOKUP(A50,Rankings!$B$1:$H$651,7,FALSE)+(RAND()*0.00001)</f>
        <v>-2.2641826446288871</v>
      </c>
      <c r="I50" s="31">
        <f ca="1">H50-VLOOKUP(Settings!$K$9,G$2:H$91,2,FALSE)</f>
        <v>-1.3932790659953076</v>
      </c>
      <c r="J50" s="31" t="str">
        <f>VLOOKUP(A50,Rankings!B:D,3,FALSE)</f>
        <v>AL</v>
      </c>
    </row>
    <row r="51" spans="1:10" ht="18.600000000000001" customHeight="1">
      <c r="A51" s="26" t="s">
        <v>531</v>
      </c>
      <c r="B51" s="27" t="s">
        <v>86</v>
      </c>
      <c r="C51" s="128" t="s">
        <v>34</v>
      </c>
      <c r="D51" s="138">
        <f t="shared" ca="1" si="2"/>
        <v>46</v>
      </c>
      <c r="E51" s="31">
        <f ca="1">VLOOKUP(A51,Rankings!$B$1:$H$651,6,FALSE)+(RAND()*0.00001)</f>
        <v>166.42194582448892</v>
      </c>
      <c r="F51" s="31">
        <f ca="1">E51-VLOOKUP(Settings!$K$9,D$2:E$91,2,FALSE)</f>
        <v>-2.5286103455222531</v>
      </c>
      <c r="G51" s="138">
        <f t="shared" ca="1" si="3"/>
        <v>39</v>
      </c>
      <c r="H51" s="31">
        <f ca="1">VLOOKUP(A51,Rankings!$B$1:$H$651,7,FALSE)+(RAND()*0.00001)</f>
        <v>-0.74731948158385575</v>
      </c>
      <c r="I51" s="31">
        <f ca="1">H51-VLOOKUP(Settings!$K$9,G$2:H$91,2,FALSE)</f>
        <v>0.12358409704972373</v>
      </c>
      <c r="J51" s="31" t="str">
        <f>VLOOKUP(A51,Rankings!B:D,3,FALSE)</f>
        <v>AL</v>
      </c>
    </row>
    <row r="52" spans="1:10" ht="18.600000000000001" customHeight="1">
      <c r="A52" s="26" t="s">
        <v>530</v>
      </c>
      <c r="B52" s="27" t="s">
        <v>120</v>
      </c>
      <c r="C52" s="128" t="s">
        <v>34</v>
      </c>
      <c r="D52" s="138">
        <f t="shared" ca="1" si="2"/>
        <v>45</v>
      </c>
      <c r="E52" s="31">
        <f ca="1">VLOOKUP(A52,Rankings!$B$1:$H$651,6,FALSE)+(RAND()*0.00001)</f>
        <v>168.95055617001117</v>
      </c>
      <c r="F52" s="31">
        <f ca="1">E52-VLOOKUP(Settings!$K$9,D$2:E$91,2,FALSE)</f>
        <v>0</v>
      </c>
      <c r="G52" s="138">
        <f t="shared" ca="1" si="3"/>
        <v>43</v>
      </c>
      <c r="H52" s="31">
        <f ca="1">VLOOKUP(A52,Rankings!$B$1:$H$651,7,FALSE)+(RAND()*0.00001)</f>
        <v>-0.83688931923051368</v>
      </c>
      <c r="I52" s="31">
        <f ca="1">H52-VLOOKUP(Settings!$K$9,G$2:H$91,2,FALSE)</f>
        <v>3.4014259403065794E-2</v>
      </c>
      <c r="J52" s="31" t="str">
        <f>VLOOKUP(A52,Rankings!B:D,3,FALSE)</f>
        <v>NL</v>
      </c>
    </row>
    <row r="53" spans="1:10" ht="18.600000000000001" customHeight="1">
      <c r="A53" s="26" t="s">
        <v>575</v>
      </c>
      <c r="B53" s="27" t="s">
        <v>158</v>
      </c>
      <c r="C53" s="128" t="s">
        <v>34</v>
      </c>
      <c r="D53" s="138">
        <f t="shared" ca="1" si="2"/>
        <v>57</v>
      </c>
      <c r="E53" s="31">
        <f ca="1">VLOOKUP(A53,Rankings!$B$1:$H$651,6,FALSE)+(RAND()*0.00001)</f>
        <v>157.59195327718936</v>
      </c>
      <c r="F53" s="31">
        <f ca="1">E53-VLOOKUP(Settings!$K$9,D$2:E$91,2,FALSE)</f>
        <v>-11.358602892821807</v>
      </c>
      <c r="G53" s="138">
        <f t="shared" ca="1" si="3"/>
        <v>67</v>
      </c>
      <c r="H53" s="31">
        <f ca="1">VLOOKUP(A53,Rankings!$B$1:$H$651,7,FALSE)+(RAND()*0.00001)</f>
        <v>-2.0837995949609636</v>
      </c>
      <c r="I53" s="31">
        <f ca="1">H53-VLOOKUP(Settings!$K$9,G$2:H$91,2,FALSE)</f>
        <v>-1.2128960163273841</v>
      </c>
      <c r="J53" s="31" t="str">
        <f>VLOOKUP(A53,Rankings!B:D,3,FALSE)</f>
        <v>NL</v>
      </c>
    </row>
    <row r="54" spans="1:10" ht="18.600000000000001" customHeight="1">
      <c r="A54" s="26" t="s">
        <v>513</v>
      </c>
      <c r="B54" s="27" t="s">
        <v>78</v>
      </c>
      <c r="C54" s="128" t="s">
        <v>34</v>
      </c>
      <c r="D54" s="138">
        <f t="shared" ca="1" si="2"/>
        <v>52</v>
      </c>
      <c r="E54" s="31">
        <f ca="1">VLOOKUP(A54,Rankings!$B$1:$H$651,6,FALSE)+(RAND()*0.00001)</f>
        <v>160.69000324989176</v>
      </c>
      <c r="F54" s="31">
        <f ca="1">E54-VLOOKUP(Settings!$K$9,D$2:E$91,2,FALSE)</f>
        <v>-8.2605529201194088</v>
      </c>
      <c r="G54" s="138">
        <f t="shared" ca="1" si="3"/>
        <v>42</v>
      </c>
      <c r="H54" s="31">
        <f ca="1">VLOOKUP(A54,Rankings!$B$1:$H$651,7,FALSE)+(RAND()*0.00001)</f>
        <v>-0.82232773457758357</v>
      </c>
      <c r="I54" s="31">
        <f ca="1">H54-VLOOKUP(Settings!$K$9,G$2:H$91,2,FALSE)</f>
        <v>4.8575844055995909E-2</v>
      </c>
      <c r="J54" s="31" t="str">
        <f>VLOOKUP(A54,Rankings!B:D,3,FALSE)</f>
        <v>AL</v>
      </c>
    </row>
    <row r="55" spans="1:10" ht="18.600000000000001" customHeight="1">
      <c r="A55" s="26" t="s">
        <v>611</v>
      </c>
      <c r="B55" s="27" t="s">
        <v>91</v>
      </c>
      <c r="C55" s="128" t="s">
        <v>34</v>
      </c>
      <c r="D55" s="138">
        <f t="shared" ca="1" si="2"/>
        <v>53</v>
      </c>
      <c r="E55" s="31">
        <f ca="1">VLOOKUP(A55,Rankings!$B$1:$H$651,6,FALSE)+(RAND()*0.00001)</f>
        <v>160.47389839295789</v>
      </c>
      <c r="F55" s="31">
        <f ca="1">E55-VLOOKUP(Settings!$K$9,D$2:E$91,2,FALSE)</f>
        <v>-8.4766577770532763</v>
      </c>
      <c r="G55" s="138">
        <f t="shared" ca="1" si="3"/>
        <v>89</v>
      </c>
      <c r="H55" s="31">
        <f ca="1">VLOOKUP(A55,Rankings!$B$1:$H$651,7,FALSE)+(RAND()*0.00001)</f>
        <v>-3.4379676412262441</v>
      </c>
      <c r="I55" s="31">
        <f ca="1">H55-VLOOKUP(Settings!$K$9,G$2:H$91,2,FALSE)</f>
        <v>-2.5670640625926646</v>
      </c>
      <c r="J55" s="31" t="str">
        <f>VLOOKUP(A55,Rankings!B:D,3,FALSE)</f>
        <v>NL</v>
      </c>
    </row>
    <row r="56" spans="1:10" ht="18.600000000000001" customHeight="1">
      <c r="A56" s="26" t="s">
        <v>480</v>
      </c>
      <c r="B56" s="27" t="s">
        <v>71</v>
      </c>
      <c r="C56" s="128" t="s">
        <v>34</v>
      </c>
      <c r="D56" s="138">
        <f t="shared" ca="1" si="2"/>
        <v>55</v>
      </c>
      <c r="E56" s="31">
        <f ca="1">VLOOKUP(A56,Rankings!$B$1:$H$651,6,FALSE)+(RAND()*0.00001)</f>
        <v>158.8861191722396</v>
      </c>
      <c r="F56" s="31">
        <f ca="1">E56-VLOOKUP(Settings!$K$9,D$2:E$91,2,FALSE)</f>
        <v>-10.064436997771566</v>
      </c>
      <c r="G56" s="138">
        <f t="shared" ca="1" si="3"/>
        <v>46</v>
      </c>
      <c r="H56" s="31">
        <f ca="1">VLOOKUP(A56,Rankings!$B$1:$H$651,7,FALSE)+(RAND()*0.00001)</f>
        <v>-0.90779333396827167</v>
      </c>
      <c r="I56" s="31">
        <f ca="1">H56-VLOOKUP(Settings!$K$9,G$2:H$91,2,FALSE)</f>
        <v>-3.6889755334692187E-2</v>
      </c>
      <c r="J56" s="31" t="str">
        <f>VLOOKUP(A56,Rankings!B:D,3,FALSE)</f>
        <v>AL</v>
      </c>
    </row>
    <row r="57" spans="1:10" ht="20.100000000000001" customHeight="1">
      <c r="A57" s="26" t="s">
        <v>505</v>
      </c>
      <c r="B57" s="27" t="s">
        <v>114</v>
      </c>
      <c r="C57" s="128" t="s">
        <v>34</v>
      </c>
      <c r="D57" s="138">
        <f t="shared" ca="1" si="2"/>
        <v>54</v>
      </c>
      <c r="E57" s="31">
        <f ca="1">VLOOKUP(A57,Rankings!$B$1:$H$651,6,FALSE)+(RAND()*0.00001)</f>
        <v>160.01167005357709</v>
      </c>
      <c r="F57" s="31">
        <f ca="1">E57-VLOOKUP(Settings!$K$9,D$2:E$91,2,FALSE)</f>
        <v>-8.9388861164340767</v>
      </c>
      <c r="G57" s="138">
        <f t="shared" ca="1" si="3"/>
        <v>55</v>
      </c>
      <c r="H57" s="31">
        <f ca="1">VLOOKUP(A57,Rankings!$B$1:$H$651,7,FALSE)+(RAND()*0.00001)</f>
        <v>-1.5763785019490606</v>
      </c>
      <c r="I57" s="31">
        <f ca="1">H57-VLOOKUP(Settings!$K$9,G$2:H$91,2,FALSE)</f>
        <v>-0.70547492331548112</v>
      </c>
      <c r="J57" s="31" t="str">
        <f>VLOOKUP(A57,Rankings!B:D,3,FALSE)</f>
        <v>AL</v>
      </c>
    </row>
    <row r="58" spans="1:10" ht="18.600000000000001" customHeight="1">
      <c r="A58" s="26" t="s">
        <v>574</v>
      </c>
      <c r="B58" s="27" t="s">
        <v>76</v>
      </c>
      <c r="C58" s="128" t="s">
        <v>34</v>
      </c>
      <c r="D58" s="138">
        <f t="shared" ca="1" si="2"/>
        <v>63</v>
      </c>
      <c r="E58" s="31">
        <f ca="1">VLOOKUP(A58,Rankings!$B$1:$H$651,6,FALSE)+(RAND()*0.00001)</f>
        <v>149.21667600426426</v>
      </c>
      <c r="F58" s="31">
        <f ca="1">E58-VLOOKUP(Settings!$K$9,D$2:E$91,2,FALSE)</f>
        <v>-19.733880165746911</v>
      </c>
      <c r="G58" s="138">
        <f t="shared" ca="1" si="3"/>
        <v>61</v>
      </c>
      <c r="H58" s="31">
        <f ca="1">VLOOKUP(A58,Rankings!$B$1:$H$651,7,FALSE)+(RAND()*0.00001)</f>
        <v>-1.8706200651164588</v>
      </c>
      <c r="I58" s="31">
        <f ca="1">H58-VLOOKUP(Settings!$K$9,G$2:H$91,2,FALSE)</f>
        <v>-0.99971648648287936</v>
      </c>
      <c r="J58" s="31" t="str">
        <f>VLOOKUP(A58,Rankings!B:D,3,FALSE)</f>
        <v>AL</v>
      </c>
    </row>
    <row r="59" spans="1:10" ht="18.600000000000001" customHeight="1">
      <c r="A59" s="26" t="s">
        <v>432</v>
      </c>
      <c r="B59" s="27" t="s">
        <v>73</v>
      </c>
      <c r="C59" s="128" t="s">
        <v>34</v>
      </c>
      <c r="D59" s="138">
        <f t="shared" ca="1" si="2"/>
        <v>60</v>
      </c>
      <c r="E59" s="31">
        <f ca="1">VLOOKUP(A59,Rankings!$B$1:$H$651,6,FALSE)+(RAND()*0.00001)</f>
        <v>155.71056388405643</v>
      </c>
      <c r="F59" s="31">
        <f ca="1">E59-VLOOKUP(Settings!$K$9,D$2:E$91,2,FALSE)</f>
        <v>-13.239992285954742</v>
      </c>
      <c r="G59" s="138">
        <f t="shared" ca="1" si="3"/>
        <v>30</v>
      </c>
      <c r="H59" s="31">
        <f ca="1">VLOOKUP(A59,Rankings!$B$1:$H$651,7,FALSE)+(RAND()*0.00001)</f>
        <v>-0.31450510862778952</v>
      </c>
      <c r="I59" s="31">
        <f ca="1">H59-VLOOKUP(Settings!$K$9,G$2:H$91,2,FALSE)</f>
        <v>0.55639847000579001</v>
      </c>
      <c r="J59" s="31" t="str">
        <f>VLOOKUP(A59,Rankings!B:D,3,FALSE)</f>
        <v>NL</v>
      </c>
    </row>
    <row r="60" spans="1:10" ht="18.600000000000001" customHeight="1">
      <c r="A60" s="26" t="s">
        <v>550</v>
      </c>
      <c r="B60" s="27" t="s">
        <v>103</v>
      </c>
      <c r="C60" s="128" t="s">
        <v>34</v>
      </c>
      <c r="D60" s="138">
        <f t="shared" ca="1" si="2"/>
        <v>56</v>
      </c>
      <c r="E60" s="31">
        <f ca="1">VLOOKUP(A60,Rankings!$B$1:$H$651,6,FALSE)+(RAND()*0.00001)</f>
        <v>158.41222475946941</v>
      </c>
      <c r="F60" s="31">
        <f ca="1">E60-VLOOKUP(Settings!$K$9,D$2:E$91,2,FALSE)</f>
        <v>-10.538331410541758</v>
      </c>
      <c r="G60" s="138">
        <f t="shared" ca="1" si="3"/>
        <v>52</v>
      </c>
      <c r="H60" s="31">
        <f ca="1">VLOOKUP(A60,Rankings!$B$1:$H$651,7,FALSE)+(RAND()*0.00001)</f>
        <v>-1.330682174510847</v>
      </c>
      <c r="I60" s="31">
        <f ca="1">H60-VLOOKUP(Settings!$K$9,G$2:H$91,2,FALSE)</f>
        <v>-0.45977859587726755</v>
      </c>
      <c r="J60" s="31" t="str">
        <f>VLOOKUP(A60,Rankings!B:D,3,FALSE)</f>
        <v>AL</v>
      </c>
    </row>
    <row r="61" spans="1:10" ht="20.100000000000001" customHeight="1">
      <c r="A61" s="26" t="s">
        <v>488</v>
      </c>
      <c r="B61" s="27" t="s">
        <v>76</v>
      </c>
      <c r="C61" s="128" t="s">
        <v>34</v>
      </c>
      <c r="D61" s="138">
        <f t="shared" ca="1" si="2"/>
        <v>58</v>
      </c>
      <c r="E61" s="31">
        <f ca="1">VLOOKUP(A61,Rankings!$B$1:$H$651,6,FALSE)+(RAND()*0.00001)</f>
        <v>157.04055806285439</v>
      </c>
      <c r="F61" s="31">
        <f ca="1">E61-VLOOKUP(Settings!$K$9,D$2:E$91,2,FALSE)</f>
        <v>-11.909998107156781</v>
      </c>
      <c r="G61" s="138">
        <f t="shared" ca="1" si="3"/>
        <v>45</v>
      </c>
      <c r="H61" s="31">
        <f ca="1">VLOOKUP(A61,Rankings!$B$1:$H$651,7,FALSE)+(RAND()*0.00001)</f>
        <v>-0.87090357863357948</v>
      </c>
      <c r="I61" s="31">
        <f ca="1">H61-VLOOKUP(Settings!$K$9,G$2:H$91,2,FALSE)</f>
        <v>0</v>
      </c>
      <c r="J61" s="31" t="str">
        <f>VLOOKUP(A61,Rankings!B:D,3,FALSE)</f>
        <v>AL</v>
      </c>
    </row>
    <row r="62" spans="1:10" ht="20.100000000000001" customHeight="1">
      <c r="A62" s="26" t="s">
        <v>517</v>
      </c>
      <c r="B62" s="27" t="s">
        <v>68</v>
      </c>
      <c r="C62" s="128" t="s">
        <v>34</v>
      </c>
      <c r="D62" s="138">
        <f t="shared" ca="1" si="2"/>
        <v>59</v>
      </c>
      <c r="E62" s="31">
        <f ca="1">VLOOKUP(A62,Rankings!$B$1:$H$651,6,FALSE)+(RAND()*0.00001)</f>
        <v>156.89278537286881</v>
      </c>
      <c r="F62" s="31">
        <f ca="1">E62-VLOOKUP(Settings!$K$9,D$2:E$91,2,FALSE)</f>
        <v>-12.057770797142354</v>
      </c>
      <c r="G62" s="138">
        <f t="shared" ca="1" si="3"/>
        <v>31</v>
      </c>
      <c r="H62" s="31">
        <f ca="1">VLOOKUP(A62,Rankings!$B$1:$H$651,7,FALSE)+(RAND()*0.00001)</f>
        <v>-0.41265907433335708</v>
      </c>
      <c r="I62" s="31">
        <f ca="1">H62-VLOOKUP(Settings!$K$9,G$2:H$91,2,FALSE)</f>
        <v>0.4582445043002224</v>
      </c>
      <c r="J62" s="31" t="str">
        <f>VLOOKUP(A62,Rankings!B:D,3,FALSE)</f>
        <v>AL</v>
      </c>
    </row>
    <row r="63" spans="1:10" ht="20.100000000000001" customHeight="1">
      <c r="A63" s="26" t="s">
        <v>595</v>
      </c>
      <c r="B63" s="27" t="s">
        <v>117</v>
      </c>
      <c r="C63" s="128" t="s">
        <v>34</v>
      </c>
      <c r="D63" s="138">
        <f t="shared" ca="1" si="2"/>
        <v>67</v>
      </c>
      <c r="E63" s="31">
        <f ca="1">VLOOKUP(A63,Rankings!$B$1:$H$651,6,FALSE)+(RAND()*0.00001)</f>
        <v>145.73555805296323</v>
      </c>
      <c r="F63" s="31">
        <f ca="1">E63-VLOOKUP(Settings!$K$9,D$2:E$91,2,FALSE)</f>
        <v>-23.214998117047941</v>
      </c>
      <c r="G63" s="138">
        <f t="shared" ca="1" si="3"/>
        <v>87</v>
      </c>
      <c r="H63" s="31">
        <f ca="1">VLOOKUP(A63,Rankings!$B$1:$H$651,7,FALSE)+(RAND()*0.00001)</f>
        <v>-3.382272991626508</v>
      </c>
      <c r="I63" s="31">
        <f ca="1">H63-VLOOKUP(Settings!$K$9,G$2:H$91,2,FALSE)</f>
        <v>-2.5113694129929285</v>
      </c>
      <c r="J63" s="31" t="str">
        <f>VLOOKUP(A63,Rankings!B:D,3,FALSE)</f>
        <v>AL</v>
      </c>
    </row>
    <row r="64" spans="1:10" ht="18.600000000000001" customHeight="1">
      <c r="A64" s="26" t="s">
        <v>744</v>
      </c>
      <c r="B64" s="27" t="s">
        <v>86</v>
      </c>
      <c r="C64" s="128" t="s">
        <v>34</v>
      </c>
      <c r="D64" s="138">
        <f t="shared" ca="1" si="2"/>
        <v>69</v>
      </c>
      <c r="E64" s="31">
        <f ca="1">VLOOKUP(A64,Rankings!$B$1:$H$651,6,FALSE)+(RAND()*0.00001)</f>
        <v>143.60333615621505</v>
      </c>
      <c r="F64" s="31">
        <f ca="1">E64-VLOOKUP(Settings!$K$9,D$2:E$91,2,FALSE)</f>
        <v>-25.347220013796118</v>
      </c>
      <c r="G64" s="138">
        <f t="shared" ca="1" si="3"/>
        <v>90</v>
      </c>
      <c r="H64" s="31">
        <f ca="1">VLOOKUP(A64,Rankings!$B$1:$H$651,7,FALSE)+(RAND()*0.00001)</f>
        <v>-4.6534191720270419</v>
      </c>
      <c r="I64" s="31">
        <f ca="1">H64-VLOOKUP(Settings!$K$9,G$2:H$91,2,FALSE)</f>
        <v>-3.7825155933934624</v>
      </c>
      <c r="J64" s="31" t="str">
        <f>VLOOKUP(A64,Rankings!B:D,3,FALSE)</f>
        <v>NL</v>
      </c>
    </row>
    <row r="65" spans="1:10" ht="20.100000000000001" customHeight="1">
      <c r="A65" s="26" t="s">
        <v>439</v>
      </c>
      <c r="B65" s="27" t="s">
        <v>94</v>
      </c>
      <c r="C65" s="128" t="s">
        <v>34</v>
      </c>
      <c r="D65" s="138">
        <f t="shared" ca="1" si="2"/>
        <v>68</v>
      </c>
      <c r="E65" s="31">
        <f ca="1">VLOOKUP(A65,Rankings!$B$1:$H$651,6,FALSE)+(RAND()*0.00001)</f>
        <v>145.7183397671246</v>
      </c>
      <c r="F65" s="31">
        <f ca="1">E65-VLOOKUP(Settings!$K$9,D$2:E$91,2,FALSE)</f>
        <v>-23.232216402886564</v>
      </c>
      <c r="G65" s="138">
        <f t="shared" ca="1" si="3"/>
        <v>47</v>
      </c>
      <c r="H65" s="31">
        <f ca="1">VLOOKUP(A65,Rankings!$B$1:$H$651,7,FALSE)+(RAND()*0.00001)</f>
        <v>-0.93121683162586744</v>
      </c>
      <c r="I65" s="31">
        <f ca="1">H65-VLOOKUP(Settings!$K$9,G$2:H$91,2,FALSE)</f>
        <v>-6.0313252992287958E-2</v>
      </c>
      <c r="J65" s="31" t="str">
        <f>VLOOKUP(A65,Rankings!B:D,3,FALSE)</f>
        <v>AL</v>
      </c>
    </row>
    <row r="66" spans="1:10" ht="20.100000000000001" customHeight="1">
      <c r="A66" s="26" t="s">
        <v>546</v>
      </c>
      <c r="B66" s="27" t="s">
        <v>78</v>
      </c>
      <c r="C66" s="128" t="s">
        <v>34</v>
      </c>
      <c r="D66" s="138">
        <f t="shared" ref="D66:D91" ca="1" si="4">RANK(E66,E$2:E$91)</f>
        <v>66</v>
      </c>
      <c r="E66" s="31">
        <f ca="1">VLOOKUP(A66,Rankings!$B$1:$H$651,6,FALSE)+(RAND()*0.00001)</f>
        <v>146.15500987662566</v>
      </c>
      <c r="F66" s="31">
        <f ca="1">E66-VLOOKUP(Settings!$K$9,D$2:E$91,2,FALSE)</f>
        <v>-22.795546293385513</v>
      </c>
      <c r="G66" s="138">
        <f t="shared" ref="G66:G91" ca="1" si="5">RANK(H66,H$2:H$91)</f>
        <v>60</v>
      </c>
      <c r="H66" s="31">
        <f ca="1">VLOOKUP(A66,Rankings!$B$1:$H$651,7,FALSE)+(RAND()*0.00001)</f>
        <v>-1.8217113186645879</v>
      </c>
      <c r="I66" s="31">
        <f ca="1">H66-VLOOKUP(Settings!$K$9,G$2:H$91,2,FALSE)</f>
        <v>-0.95080774003100843</v>
      </c>
      <c r="J66" s="31" t="str">
        <f>VLOOKUP(A66,Rankings!B:D,3,FALSE)</f>
        <v>AL</v>
      </c>
    </row>
    <row r="67" spans="1:10" ht="20.100000000000001" customHeight="1">
      <c r="A67" s="26" t="s">
        <v>614</v>
      </c>
      <c r="B67" s="27" t="s">
        <v>117</v>
      </c>
      <c r="C67" s="128" t="s">
        <v>34</v>
      </c>
      <c r="D67" s="138">
        <f t="shared" ca="1" si="4"/>
        <v>62</v>
      </c>
      <c r="E67" s="31">
        <f ca="1">VLOOKUP(A67,Rankings!$B$1:$H$651,6,FALSE)+(RAND()*0.00001)</f>
        <v>149.85667615425072</v>
      </c>
      <c r="F67" s="31">
        <f ca="1">E67-VLOOKUP(Settings!$K$9,D$2:E$91,2,FALSE)</f>
        <v>-19.093880015760448</v>
      </c>
      <c r="G67" s="138">
        <f t="shared" ca="1" si="5"/>
        <v>80</v>
      </c>
      <c r="H67" s="31">
        <f ca="1">VLOOKUP(A67,Rankings!$B$1:$H$651,7,FALSE)+(RAND()*0.00001)</f>
        <v>-2.599459665691298</v>
      </c>
      <c r="I67" s="31">
        <f ca="1">H67-VLOOKUP(Settings!$K$9,G$2:H$91,2,FALSE)</f>
        <v>-1.7285560870577186</v>
      </c>
      <c r="J67" s="31" t="str">
        <f>VLOOKUP(A67,Rankings!B:D,3,FALSE)</f>
        <v>AL</v>
      </c>
    </row>
    <row r="68" spans="1:10" ht="18.600000000000001" customHeight="1">
      <c r="A68" s="26" t="s">
        <v>625</v>
      </c>
      <c r="B68" s="27" t="s">
        <v>84</v>
      </c>
      <c r="C68" s="128" t="s">
        <v>34</v>
      </c>
      <c r="D68" s="138">
        <f t="shared" ca="1" si="4"/>
        <v>61</v>
      </c>
      <c r="E68" s="31">
        <f ca="1">VLOOKUP(A68,Rankings!$B$1:$H$651,6,FALSE)+(RAND()*0.00001)</f>
        <v>152.68862498160644</v>
      </c>
      <c r="F68" s="31">
        <f ca="1">E68-VLOOKUP(Settings!$K$9,D$2:E$91,2,FALSE)</f>
        <v>-16.261931188404731</v>
      </c>
      <c r="G68" s="138">
        <f t="shared" ca="1" si="5"/>
        <v>88</v>
      </c>
      <c r="H68" s="31">
        <f ca="1">VLOOKUP(A68,Rankings!$B$1:$H$651,7,FALSE)+(RAND()*0.00001)</f>
        <v>-3.4110598169784927</v>
      </c>
      <c r="I68" s="31">
        <f ca="1">H68-VLOOKUP(Settings!$K$9,G$2:H$91,2,FALSE)</f>
        <v>-2.5401562383449132</v>
      </c>
      <c r="J68" s="31" t="str">
        <f>VLOOKUP(A68,Rankings!B:D,3,FALSE)</f>
        <v>AL</v>
      </c>
    </row>
    <row r="69" spans="1:10" ht="18.600000000000001" customHeight="1">
      <c r="A69" s="26" t="s">
        <v>594</v>
      </c>
      <c r="B69" s="27" t="s">
        <v>68</v>
      </c>
      <c r="C69" s="128" t="s">
        <v>34</v>
      </c>
      <c r="D69" s="138">
        <f t="shared" ca="1" si="4"/>
        <v>64</v>
      </c>
      <c r="E69" s="31">
        <f ca="1">VLOOKUP(A69,Rankings!$B$1:$H$651,6,FALSE)+(RAND()*0.00001)</f>
        <v>148.17980241069208</v>
      </c>
      <c r="F69" s="31">
        <f ca="1">E69-VLOOKUP(Settings!$K$9,D$2:E$91,2,FALSE)</f>
        <v>-20.770753759319092</v>
      </c>
      <c r="G69" s="138">
        <f t="shared" ca="1" si="5"/>
        <v>59</v>
      </c>
      <c r="H69" s="31">
        <f ca="1">VLOOKUP(A69,Rankings!$B$1:$H$651,7,FALSE)+(RAND()*0.00001)</f>
        <v>-1.7488108003587342</v>
      </c>
      <c r="I69" s="31">
        <f ca="1">H69-VLOOKUP(Settings!$K$9,G$2:H$91,2,FALSE)</f>
        <v>-0.87790722172515467</v>
      </c>
      <c r="J69" s="31" t="str">
        <f>VLOOKUP(A69,Rankings!B:D,3,FALSE)</f>
        <v>AL</v>
      </c>
    </row>
    <row r="70" spans="1:10" ht="18.600000000000001" customHeight="1">
      <c r="A70" s="26" t="s">
        <v>582</v>
      </c>
      <c r="B70" s="27" t="s">
        <v>306</v>
      </c>
      <c r="C70" s="128" t="s">
        <v>34</v>
      </c>
      <c r="D70" s="138">
        <f t="shared" ca="1" si="4"/>
        <v>65</v>
      </c>
      <c r="E70" s="31">
        <f ca="1">VLOOKUP(A70,Rankings!$B$1:$H$651,6,FALSE)+(RAND()*0.00001)</f>
        <v>146.71333925150239</v>
      </c>
      <c r="F70" s="31">
        <f ca="1">E70-VLOOKUP(Settings!$K$9,D$2:E$91,2,FALSE)</f>
        <v>-22.237216918508778</v>
      </c>
      <c r="G70" s="138">
        <f t="shared" ca="1" si="5"/>
        <v>78</v>
      </c>
      <c r="H70" s="31">
        <f ca="1">VLOOKUP(A70,Rankings!$B$1:$H$651,7,FALSE)+(RAND()*0.00001)</f>
        <v>-2.5045432346558236</v>
      </c>
      <c r="I70" s="31">
        <f ca="1">H70-VLOOKUP(Settings!$K$9,G$2:H$91,2,FALSE)</f>
        <v>-1.6336396560222441</v>
      </c>
      <c r="J70" s="31" t="str">
        <f>VLOOKUP(A70,Rankings!B:D,3,FALSE)</f>
        <v>NL</v>
      </c>
    </row>
    <row r="71" spans="1:10" ht="18.600000000000001" customHeight="1">
      <c r="A71" s="26" t="s">
        <v>478</v>
      </c>
      <c r="B71" s="27" t="s">
        <v>103</v>
      </c>
      <c r="C71" s="128" t="s">
        <v>34</v>
      </c>
      <c r="D71" s="138">
        <f t="shared" ca="1" si="4"/>
        <v>70</v>
      </c>
      <c r="E71" s="31">
        <f ca="1">VLOOKUP(A71,Rankings!$B$1:$H$651,6,FALSE)+(RAND()*0.00001)</f>
        <v>143.558336899013</v>
      </c>
      <c r="F71" s="31">
        <f ca="1">E71-VLOOKUP(Settings!$K$9,D$2:E$91,2,FALSE)</f>
        <v>-25.392219270998169</v>
      </c>
      <c r="G71" s="138">
        <f t="shared" ca="1" si="5"/>
        <v>38</v>
      </c>
      <c r="H71" s="31">
        <f ca="1">VLOOKUP(A71,Rankings!$B$1:$H$651,7,FALSE)+(RAND()*0.00001)</f>
        <v>-0.73327871049855853</v>
      </c>
      <c r="I71" s="31">
        <f ca="1">H71-VLOOKUP(Settings!$K$9,G$2:H$91,2,FALSE)</f>
        <v>0.13762486813502095</v>
      </c>
      <c r="J71" s="31" t="str">
        <f>VLOOKUP(A71,Rankings!B:D,3,FALSE)</f>
        <v>AL</v>
      </c>
    </row>
    <row r="72" spans="1:10" ht="20.100000000000001" customHeight="1">
      <c r="A72" s="26" t="s">
        <v>756</v>
      </c>
      <c r="B72" s="27" t="s">
        <v>63</v>
      </c>
      <c r="C72" s="128" t="s">
        <v>34</v>
      </c>
      <c r="D72" s="138">
        <f t="shared" ca="1" si="4"/>
        <v>71</v>
      </c>
      <c r="E72" s="31">
        <f ca="1">VLOOKUP(A72,Rankings!$B$1:$H$651,6,FALSE)+(RAND()*0.00001)</f>
        <v>143.22708906094667</v>
      </c>
      <c r="F72" s="31">
        <f ca="1">E72-VLOOKUP(Settings!$K$9,D$2:E$91,2,FALSE)</f>
        <v>-25.723467109064501</v>
      </c>
      <c r="G72" s="138">
        <f t="shared" ca="1" si="5"/>
        <v>81</v>
      </c>
      <c r="H72" s="31">
        <f ca="1">VLOOKUP(A72,Rankings!$B$1:$H$651,7,FALSE)+(RAND()*0.00001)</f>
        <v>-2.6908562496986126</v>
      </c>
      <c r="I72" s="31">
        <f ca="1">H72-VLOOKUP(Settings!$K$9,G$2:H$91,2,FALSE)</f>
        <v>-1.8199526710650331</v>
      </c>
      <c r="J72" s="31" t="str">
        <f>VLOOKUP(A72,Rankings!B:D,3,FALSE)</f>
        <v>NL</v>
      </c>
    </row>
    <row r="73" spans="1:10" ht="18.600000000000001" customHeight="1">
      <c r="A73" s="26" t="s">
        <v>573</v>
      </c>
      <c r="B73" s="27" t="s">
        <v>101</v>
      </c>
      <c r="C73" s="128" t="s">
        <v>34</v>
      </c>
      <c r="D73" s="138">
        <f t="shared" ca="1" si="4"/>
        <v>73</v>
      </c>
      <c r="E73" s="31">
        <f ca="1">VLOOKUP(A73,Rankings!$B$1:$H$651,6,FALSE)+(RAND()*0.00001)</f>
        <v>138.7961191908141</v>
      </c>
      <c r="F73" s="31">
        <f ca="1">E73-VLOOKUP(Settings!$K$9,D$2:E$91,2,FALSE)</f>
        <v>-30.154436979197072</v>
      </c>
      <c r="G73" s="138">
        <f t="shared" ca="1" si="5"/>
        <v>65</v>
      </c>
      <c r="H73" s="31">
        <f ca="1">VLOOKUP(A73,Rankings!$B$1:$H$651,7,FALSE)+(RAND()*0.00001)</f>
        <v>-1.9883672006928337</v>
      </c>
      <c r="I73" s="31">
        <f ca="1">H73-VLOOKUP(Settings!$K$9,G$2:H$91,2,FALSE)</f>
        <v>-1.1174636220592542</v>
      </c>
      <c r="J73" s="31" t="str">
        <f>VLOOKUP(A73,Rankings!B:D,3,FALSE)</f>
        <v>AL</v>
      </c>
    </row>
    <row r="74" spans="1:10" ht="18.600000000000001" customHeight="1">
      <c r="A74" s="26" t="s">
        <v>559</v>
      </c>
      <c r="B74" s="27" t="s">
        <v>94</v>
      </c>
      <c r="C74" s="128" t="s">
        <v>34</v>
      </c>
      <c r="D74" s="138">
        <f t="shared" ca="1" si="4"/>
        <v>72</v>
      </c>
      <c r="E74" s="31">
        <f ca="1">VLOOKUP(A74,Rankings!$B$1:$H$651,6,FALSE)+(RAND()*0.00001)</f>
        <v>139.47078001419399</v>
      </c>
      <c r="F74" s="31">
        <f ca="1">E74-VLOOKUP(Settings!$K$9,D$2:E$91,2,FALSE)</f>
        <v>-29.479776155817177</v>
      </c>
      <c r="G74" s="138">
        <f t="shared" ca="1" si="5"/>
        <v>68</v>
      </c>
      <c r="H74" s="31">
        <f ca="1">VLOOKUP(A74,Rankings!$B$1:$H$651,7,FALSE)+(RAND()*0.00001)</f>
        <v>-2.1438791368318464</v>
      </c>
      <c r="I74" s="31">
        <f ca="1">H74-VLOOKUP(Settings!$K$9,G$2:H$91,2,FALSE)</f>
        <v>-1.2729755581982669</v>
      </c>
      <c r="J74" s="31" t="str">
        <f>VLOOKUP(A74,Rankings!B:D,3,FALSE)</f>
        <v>AL</v>
      </c>
    </row>
    <row r="75" spans="1:10" ht="20.100000000000001" customHeight="1">
      <c r="A75" s="26" t="s">
        <v>605</v>
      </c>
      <c r="B75" s="27" t="s">
        <v>71</v>
      </c>
      <c r="C75" s="128" t="s">
        <v>34</v>
      </c>
      <c r="D75" s="138">
        <f t="shared" ca="1" si="4"/>
        <v>76</v>
      </c>
      <c r="E75" s="31">
        <f ca="1">VLOOKUP(A75,Rankings!$B$1:$H$651,6,FALSE)+(RAND()*0.00001)</f>
        <v>137.00500698218579</v>
      </c>
      <c r="F75" s="31">
        <f ca="1">E75-VLOOKUP(Settings!$K$9,D$2:E$91,2,FALSE)</f>
        <v>-31.945549187825378</v>
      </c>
      <c r="G75" s="138">
        <f t="shared" ca="1" si="5"/>
        <v>71</v>
      </c>
      <c r="H75" s="31">
        <f ca="1">VLOOKUP(A75,Rankings!$B$1:$H$651,7,FALSE)+(RAND()*0.00001)</f>
        <v>-2.2066218175564809</v>
      </c>
      <c r="I75" s="31">
        <f ca="1">H75-VLOOKUP(Settings!$K$9,G$2:H$91,2,FALSE)</f>
        <v>-1.3357182389229014</v>
      </c>
      <c r="J75" s="31" t="str">
        <f>VLOOKUP(A75,Rankings!B:D,3,FALSE)</f>
        <v>AL</v>
      </c>
    </row>
    <row r="76" spans="1:10" ht="20.100000000000001" customHeight="1">
      <c r="A76" s="26" t="s">
        <v>597</v>
      </c>
      <c r="B76" s="27" t="s">
        <v>99</v>
      </c>
      <c r="C76" s="128" t="s">
        <v>34</v>
      </c>
      <c r="D76" s="138">
        <f t="shared" ca="1" si="4"/>
        <v>78</v>
      </c>
      <c r="E76" s="31">
        <f ca="1">VLOOKUP(A76,Rankings!$B$1:$H$651,6,FALSE)+(RAND()*0.00001)</f>
        <v>136.38125850139551</v>
      </c>
      <c r="F76" s="31">
        <f ca="1">E76-VLOOKUP(Settings!$K$9,D$2:E$91,2,FALSE)</f>
        <v>-32.569297668615661</v>
      </c>
      <c r="G76" s="138">
        <f t="shared" ca="1" si="5"/>
        <v>84</v>
      </c>
      <c r="H76" s="31">
        <f ca="1">VLOOKUP(A76,Rankings!$B$1:$H$651,7,FALSE)+(RAND()*0.00001)</f>
        <v>-2.7287429322143293</v>
      </c>
      <c r="I76" s="31">
        <f ca="1">H76-VLOOKUP(Settings!$K$9,G$2:H$91,2,FALSE)</f>
        <v>-1.8578393535807498</v>
      </c>
      <c r="J76" s="31" t="str">
        <f>VLOOKUP(A76,Rankings!B:D,3,FALSE)</f>
        <v>AL</v>
      </c>
    </row>
    <row r="77" spans="1:10" ht="18.600000000000001" customHeight="1">
      <c r="A77" s="26" t="s">
        <v>599</v>
      </c>
      <c r="B77" s="27" t="s">
        <v>101</v>
      </c>
      <c r="C77" s="128" t="s">
        <v>34</v>
      </c>
      <c r="D77" s="138">
        <f t="shared" ca="1" si="4"/>
        <v>74</v>
      </c>
      <c r="E77" s="31">
        <f ca="1">VLOOKUP(A77,Rankings!$B$1:$H$651,6,FALSE)+(RAND()*0.00001)</f>
        <v>138.14111255981243</v>
      </c>
      <c r="F77" s="31">
        <f ca="1">E77-VLOOKUP(Settings!$K$9,D$2:E$91,2,FALSE)</f>
        <v>-30.809443610198741</v>
      </c>
      <c r="G77" s="138">
        <f t="shared" ca="1" si="5"/>
        <v>64</v>
      </c>
      <c r="H77" s="31">
        <f ca="1">VLOOKUP(A77,Rankings!$B$1:$H$651,7,FALSE)+(RAND()*0.00001)</f>
        <v>-1.943341941131782</v>
      </c>
      <c r="I77" s="31">
        <f ca="1">H77-VLOOKUP(Settings!$K$9,G$2:H$91,2,FALSE)</f>
        <v>-1.0724383624982026</v>
      </c>
      <c r="J77" s="31" t="str">
        <f>VLOOKUP(A77,Rankings!B:D,3,FALSE)</f>
        <v>AL</v>
      </c>
    </row>
    <row r="78" spans="1:10" ht="20.100000000000001" customHeight="1">
      <c r="A78" s="26" t="s">
        <v>653</v>
      </c>
      <c r="B78" s="27" t="s">
        <v>156</v>
      </c>
      <c r="C78" s="128" t="s">
        <v>34</v>
      </c>
      <c r="D78" s="138">
        <f t="shared" ca="1" si="4"/>
        <v>75</v>
      </c>
      <c r="E78" s="31">
        <f ca="1">VLOOKUP(A78,Rankings!$B$1:$H$651,6,FALSE)+(RAND()*0.00001)</f>
        <v>137.7072251929786</v>
      </c>
      <c r="F78" s="31">
        <f ca="1">E78-VLOOKUP(Settings!$K$9,D$2:E$91,2,FALSE)</f>
        <v>-31.243330977032571</v>
      </c>
      <c r="G78" s="138">
        <f t="shared" ca="1" si="5"/>
        <v>79</v>
      </c>
      <c r="H78" s="31">
        <f ca="1">VLOOKUP(A78,Rankings!$B$1:$H$651,7,FALSE)+(RAND()*0.00001)</f>
        <v>-2.5490554844251743</v>
      </c>
      <c r="I78" s="31">
        <f ca="1">H78-VLOOKUP(Settings!$K$9,G$2:H$91,2,FALSE)</f>
        <v>-1.6781519057915948</v>
      </c>
      <c r="J78" s="31" t="str">
        <f>VLOOKUP(A78,Rankings!B:D,3,FALSE)</f>
        <v>AL</v>
      </c>
    </row>
    <row r="79" spans="1:10" ht="18.600000000000001" customHeight="1">
      <c r="A79" s="26" t="s">
        <v>241</v>
      </c>
      <c r="B79" s="27" t="s">
        <v>114</v>
      </c>
      <c r="C79" s="128" t="s">
        <v>34</v>
      </c>
      <c r="D79" s="138">
        <f t="shared" ca="1" si="4"/>
        <v>79</v>
      </c>
      <c r="E79" s="31">
        <f ca="1">VLOOKUP(A79,Rankings!$B$1:$H$651,6,FALSE)+(RAND()*0.00001)</f>
        <v>133.76056414484754</v>
      </c>
      <c r="F79" s="31">
        <f ca="1">E79-VLOOKUP(Settings!$K$9,D$2:E$91,2,FALSE)</f>
        <v>-35.189992025163633</v>
      </c>
      <c r="G79" s="138">
        <f t="shared" ca="1" si="5"/>
        <v>16</v>
      </c>
      <c r="H79" s="31">
        <f ca="1">VLOOKUP(A79,Rankings!$B$1:$H$651,7,FALSE)+(RAND()*0.00001)</f>
        <v>1.9927381085028815</v>
      </c>
      <c r="I79" s="31">
        <f ca="1">H79-VLOOKUP(Settings!$K$9,G$2:H$91,2,FALSE)</f>
        <v>2.8636416871364609</v>
      </c>
      <c r="J79" s="31" t="str">
        <f>VLOOKUP(A79,Rankings!B:D,3,FALSE)</f>
        <v>AL</v>
      </c>
    </row>
    <row r="80" spans="1:10" ht="18.600000000000001" customHeight="1">
      <c r="A80" s="26" t="s">
        <v>600</v>
      </c>
      <c r="B80" s="27" t="s">
        <v>97</v>
      </c>
      <c r="C80" s="128" t="s">
        <v>34</v>
      </c>
      <c r="D80" s="138">
        <f t="shared" ca="1" si="4"/>
        <v>77</v>
      </c>
      <c r="E80" s="31">
        <f ca="1">VLOOKUP(A80,Rankings!$B$1:$H$651,6,FALSE)+(RAND()*0.00001)</f>
        <v>136.48277803056007</v>
      </c>
      <c r="F80" s="31">
        <f ca="1">E80-VLOOKUP(Settings!$K$9,D$2:E$91,2,FALSE)</f>
        <v>-32.467778139451099</v>
      </c>
      <c r="G80" s="138">
        <f t="shared" ca="1" si="5"/>
        <v>66</v>
      </c>
      <c r="H80" s="31">
        <f ca="1">VLOOKUP(A80,Rankings!$B$1:$H$651,7,FALSE)+(RAND()*0.00001)</f>
        <v>-1.9968366485484537</v>
      </c>
      <c r="I80" s="31">
        <f ca="1">H80-VLOOKUP(Settings!$K$9,G$2:H$91,2,FALSE)</f>
        <v>-1.1259330699148742</v>
      </c>
      <c r="J80" s="31" t="str">
        <f>VLOOKUP(A80,Rankings!B:D,3,FALSE)</f>
        <v>NL</v>
      </c>
    </row>
    <row r="81" spans="1:10" ht="18.600000000000001" customHeight="1">
      <c r="A81" s="26" t="s">
        <v>465</v>
      </c>
      <c r="B81" s="27" t="s">
        <v>71</v>
      </c>
      <c r="C81" s="128" t="s">
        <v>34</v>
      </c>
      <c r="D81" s="138">
        <f t="shared" ca="1" si="4"/>
        <v>82</v>
      </c>
      <c r="E81" s="31">
        <f ca="1">VLOOKUP(A81,Rankings!$B$1:$H$651,6,FALSE)+(RAND()*0.00001)</f>
        <v>131.01889257594826</v>
      </c>
      <c r="F81" s="31">
        <f ca="1">E81-VLOOKUP(Settings!$K$9,D$2:E$91,2,FALSE)</f>
        <v>-37.931663594062911</v>
      </c>
      <c r="G81" s="138">
        <f t="shared" ca="1" si="5"/>
        <v>75</v>
      </c>
      <c r="H81" s="31">
        <f ca="1">VLOOKUP(A81,Rankings!$B$1:$H$651,7,FALSE)+(RAND()*0.00001)</f>
        <v>-2.3970258332831551</v>
      </c>
      <c r="I81" s="31">
        <f ca="1">H81-VLOOKUP(Settings!$K$9,G$2:H$91,2,FALSE)</f>
        <v>-1.5261222546495756</v>
      </c>
      <c r="J81" s="31" t="str">
        <f>VLOOKUP(A81,Rankings!B:D,3,FALSE)</f>
        <v>AL</v>
      </c>
    </row>
    <row r="82" spans="1:10" ht="20.100000000000001" customHeight="1">
      <c r="A82" s="26" t="s">
        <v>493</v>
      </c>
      <c r="B82" s="27" t="s">
        <v>156</v>
      </c>
      <c r="C82" s="128" t="s">
        <v>34</v>
      </c>
      <c r="D82" s="138">
        <f t="shared" ca="1" si="4"/>
        <v>81</v>
      </c>
      <c r="E82" s="31">
        <f ca="1">VLOOKUP(A82,Rankings!$B$1:$H$651,6,FALSE)+(RAND()*0.00001)</f>
        <v>131.84056319754592</v>
      </c>
      <c r="F82" s="31">
        <f ca="1">E82-VLOOKUP(Settings!$K$9,D$2:E$91,2,FALSE)</f>
        <v>-37.10999297246525</v>
      </c>
      <c r="G82" s="138">
        <f t="shared" ca="1" si="5"/>
        <v>53</v>
      </c>
      <c r="H82" s="31">
        <f ca="1">VLOOKUP(A82,Rankings!$B$1:$H$651,7,FALSE)+(RAND()*0.00001)</f>
        <v>-1.5416713491516318</v>
      </c>
      <c r="I82" s="31">
        <f ca="1">H82-VLOOKUP(Settings!$K$9,G$2:H$91,2,FALSE)</f>
        <v>-0.67076777051805236</v>
      </c>
      <c r="J82" s="31" t="str">
        <f>VLOOKUP(A82,Rankings!B:D,3,FALSE)</f>
        <v>AL</v>
      </c>
    </row>
    <row r="83" spans="1:10" ht="20.100000000000001" customHeight="1">
      <c r="A83" s="26" t="s">
        <v>533</v>
      </c>
      <c r="B83" s="27" t="s">
        <v>94</v>
      </c>
      <c r="C83" s="128" t="s">
        <v>34</v>
      </c>
      <c r="D83" s="138">
        <f t="shared" ca="1" si="4"/>
        <v>84</v>
      </c>
      <c r="E83" s="31">
        <f ca="1">VLOOKUP(A83,Rankings!$B$1:$H$651,6,FALSE)+(RAND()*0.00001)</f>
        <v>130.74275219227556</v>
      </c>
      <c r="F83" s="31">
        <f ca="1">E83-VLOOKUP(Settings!$K$9,D$2:E$91,2,FALSE)</f>
        <v>-38.207803977735608</v>
      </c>
      <c r="G83" s="138">
        <f t="shared" ca="1" si="5"/>
        <v>76</v>
      </c>
      <c r="H83" s="31">
        <f ca="1">VLOOKUP(A83,Rankings!$B$1:$H$651,7,FALSE)+(RAND()*0.00001)</f>
        <v>-2.4376243577407806</v>
      </c>
      <c r="I83" s="31">
        <f ca="1">H83-VLOOKUP(Settings!$K$9,G$2:H$91,2,FALSE)</f>
        <v>-1.5667207791072011</v>
      </c>
      <c r="J83" s="31" t="str">
        <f>VLOOKUP(A83,Rankings!B:D,3,FALSE)</f>
        <v>AL</v>
      </c>
    </row>
    <row r="84" spans="1:10" ht="20.100000000000001" customHeight="1">
      <c r="A84" s="26" t="s">
        <v>596</v>
      </c>
      <c r="B84" s="27" t="s">
        <v>95</v>
      </c>
      <c r="C84" s="128" t="s">
        <v>34</v>
      </c>
      <c r="D84" s="138">
        <f t="shared" ca="1" si="4"/>
        <v>80</v>
      </c>
      <c r="E84" s="31">
        <f ca="1">VLOOKUP(A84,Rankings!$B$1:$H$651,6,FALSE)+(RAND()*0.00001)</f>
        <v>131.98972444495681</v>
      </c>
      <c r="F84" s="31">
        <f ca="1">E84-VLOOKUP(Settings!$K$9,D$2:E$91,2,FALSE)</f>
        <v>-36.960831725054362</v>
      </c>
      <c r="G84" s="138">
        <f t="shared" ca="1" si="5"/>
        <v>77</v>
      </c>
      <c r="H84" s="31">
        <f ca="1">VLOOKUP(A84,Rankings!$B$1:$H$651,7,FALSE)+(RAND()*0.00001)</f>
        <v>-2.4401207362227826</v>
      </c>
      <c r="I84" s="31">
        <f ca="1">H84-VLOOKUP(Settings!$K$9,G$2:H$91,2,FALSE)</f>
        <v>-1.5692171575892031</v>
      </c>
      <c r="J84" s="31" t="str">
        <f>VLOOKUP(A84,Rankings!B:D,3,FALSE)</f>
        <v>NL</v>
      </c>
    </row>
    <row r="85" spans="1:10" ht="20.100000000000001" customHeight="1">
      <c r="A85" s="26" t="s">
        <v>601</v>
      </c>
      <c r="B85" s="27" t="s">
        <v>101</v>
      </c>
      <c r="C85" s="128" t="s">
        <v>34</v>
      </c>
      <c r="D85" s="138">
        <f t="shared" ca="1" si="4"/>
        <v>85</v>
      </c>
      <c r="E85" s="31">
        <f ca="1">VLOOKUP(A85,Rankings!$B$1:$H$651,6,FALSE)+(RAND()*0.00001)</f>
        <v>128.9141739208998</v>
      </c>
      <c r="F85" s="31">
        <f ca="1">E85-VLOOKUP(Settings!$K$9,D$2:E$91,2,FALSE)</f>
        <v>-40.036382249111369</v>
      </c>
      <c r="G85" s="138">
        <f t="shared" ca="1" si="5"/>
        <v>54</v>
      </c>
      <c r="H85" s="31">
        <f ca="1">VLOOKUP(A85,Rankings!$B$1:$H$651,7,FALSE)+(RAND()*0.00001)</f>
        <v>-1.5452852615483723</v>
      </c>
      <c r="I85" s="31">
        <f ca="1">H85-VLOOKUP(Settings!$K$9,G$2:H$91,2,FALSE)</f>
        <v>-0.67438168291479283</v>
      </c>
      <c r="J85" s="31" t="str">
        <f>VLOOKUP(A85,Rankings!B:D,3,FALSE)</f>
        <v>AL</v>
      </c>
    </row>
    <row r="86" spans="1:10" ht="18.600000000000001" customHeight="1">
      <c r="A86" s="26" t="s">
        <v>507</v>
      </c>
      <c r="B86" s="27" t="s">
        <v>73</v>
      </c>
      <c r="C86" s="128" t="s">
        <v>34</v>
      </c>
      <c r="D86" s="138">
        <f t="shared" ca="1" si="4"/>
        <v>83</v>
      </c>
      <c r="E86" s="31">
        <f ca="1">VLOOKUP(A86,Rankings!$B$1:$H$651,6,FALSE)+(RAND()*0.00001)</f>
        <v>130.97556515894991</v>
      </c>
      <c r="F86" s="31">
        <f ca="1">E86-VLOOKUP(Settings!$K$9,D$2:E$91,2,FALSE)</f>
        <v>-37.974991011061263</v>
      </c>
      <c r="G86" s="138">
        <f t="shared" ca="1" si="5"/>
        <v>33</v>
      </c>
      <c r="H86" s="31">
        <f ca="1">VLOOKUP(A86,Rankings!$B$1:$H$651,7,FALSE)+(RAND()*0.00001)</f>
        <v>-0.58255468587441173</v>
      </c>
      <c r="I86" s="31">
        <f ca="1">H86-VLOOKUP(Settings!$K$9,G$2:H$91,2,FALSE)</f>
        <v>0.28834889275916775</v>
      </c>
      <c r="J86" s="31" t="str">
        <f>VLOOKUP(A86,Rankings!B:D,3,FALSE)</f>
        <v>NL</v>
      </c>
    </row>
    <row r="87" spans="1:10" ht="20.100000000000001" customHeight="1">
      <c r="A87" s="26" t="s">
        <v>578</v>
      </c>
      <c r="B87" s="27" t="s">
        <v>156</v>
      </c>
      <c r="C87" s="128" t="s">
        <v>34</v>
      </c>
      <c r="D87" s="138">
        <f t="shared" ca="1" si="4"/>
        <v>87</v>
      </c>
      <c r="E87" s="31">
        <f ca="1">VLOOKUP(A87,Rankings!$B$1:$H$651,6,FALSE)+(RAND()*0.00001)</f>
        <v>123.49417278403352</v>
      </c>
      <c r="F87" s="31">
        <f ca="1">E87-VLOOKUP(Settings!$K$9,D$2:E$91,2,FALSE)</f>
        <v>-45.456383385977645</v>
      </c>
      <c r="G87" s="138">
        <f t="shared" ca="1" si="5"/>
        <v>73</v>
      </c>
      <c r="H87" s="31">
        <f ca="1">VLOOKUP(A87,Rankings!$B$1:$H$651,7,FALSE)+(RAND()*0.00001)</f>
        <v>-2.2838341852971111</v>
      </c>
      <c r="I87" s="31">
        <f ca="1">H87-VLOOKUP(Settings!$K$9,G$2:H$91,2,FALSE)</f>
        <v>-1.4129306066635317</v>
      </c>
      <c r="J87" s="31" t="str">
        <f>VLOOKUP(A87,Rankings!B:D,3,FALSE)</f>
        <v>AL</v>
      </c>
    </row>
    <row r="88" spans="1:10" ht="20.100000000000001" customHeight="1">
      <c r="A88" s="26" t="s">
        <v>628</v>
      </c>
      <c r="B88" s="27" t="s">
        <v>76</v>
      </c>
      <c r="C88" s="128" t="s">
        <v>34</v>
      </c>
      <c r="D88" s="138">
        <f t="shared" ca="1" si="4"/>
        <v>88</v>
      </c>
      <c r="E88" s="31">
        <f ca="1">VLOOKUP(A88,Rankings!$B$1:$H$651,6,FALSE)+(RAND()*0.00001)</f>
        <v>122.07083928749113</v>
      </c>
      <c r="F88" s="31">
        <f ca="1">E88-VLOOKUP(Settings!$K$9,D$2:E$91,2,FALSE)</f>
        <v>-46.879716882520043</v>
      </c>
      <c r="G88" s="138">
        <f t="shared" ca="1" si="5"/>
        <v>83</v>
      </c>
      <c r="H88" s="31">
        <f ca="1">VLOOKUP(A88,Rankings!$B$1:$H$651,7,FALSE)+(RAND()*0.00001)</f>
        <v>-2.7215643457092584</v>
      </c>
      <c r="I88" s="31">
        <f ca="1">H88-VLOOKUP(Settings!$K$9,G$2:H$91,2,FALSE)</f>
        <v>-1.8506607670756789</v>
      </c>
      <c r="J88" s="31" t="str">
        <f>VLOOKUP(A88,Rankings!B:D,3,FALSE)</f>
        <v>AL</v>
      </c>
    </row>
    <row r="89" spans="1:10" ht="18.600000000000001" customHeight="1">
      <c r="A89" s="26" t="s">
        <v>515</v>
      </c>
      <c r="B89" s="27" t="s">
        <v>68</v>
      </c>
      <c r="C89" s="128" t="s">
        <v>34</v>
      </c>
      <c r="D89" s="138">
        <f t="shared" ca="1" si="4"/>
        <v>86</v>
      </c>
      <c r="E89" s="31">
        <f ca="1">VLOOKUP(A89,Rankings!$B$1:$H$651,6,FALSE)+(RAND()*0.00001)</f>
        <v>125.768891222786</v>
      </c>
      <c r="F89" s="31">
        <f ca="1">E89-VLOOKUP(Settings!$K$9,D$2:E$91,2,FALSE)</f>
        <v>-43.181664947225173</v>
      </c>
      <c r="G89" s="138">
        <f t="shared" ca="1" si="5"/>
        <v>70</v>
      </c>
      <c r="H89" s="31">
        <f ca="1">VLOOKUP(A89,Rankings!$B$1:$H$651,7,FALSE)+(RAND()*0.00001)</f>
        <v>-2.1860041253346969</v>
      </c>
      <c r="I89" s="31">
        <f ca="1">H89-VLOOKUP(Settings!$K$9,G$2:H$91,2,FALSE)</f>
        <v>-1.3151005467011174</v>
      </c>
      <c r="J89" s="31" t="str">
        <f>VLOOKUP(A89,Rankings!B:D,3,FALSE)</f>
        <v>AL</v>
      </c>
    </row>
    <row r="90" spans="1:10" ht="20.100000000000001" customHeight="1">
      <c r="A90" s="26" t="s">
        <v>583</v>
      </c>
      <c r="B90" s="27" t="s">
        <v>134</v>
      </c>
      <c r="C90" s="128" t="s">
        <v>34</v>
      </c>
      <c r="D90" s="138">
        <f t="shared" ca="1" si="4"/>
        <v>89</v>
      </c>
      <c r="E90" s="31">
        <f ca="1">VLOOKUP(A90,Rankings!$B$1:$H$651,6,FALSE)+(RAND()*0.00001)</f>
        <v>118.49722708525937</v>
      </c>
      <c r="F90" s="31">
        <f ca="1">E90-VLOOKUP(Settings!$K$9,D$2:E$91,2,FALSE)</f>
        <v>-50.4533290847518</v>
      </c>
      <c r="G90" s="138">
        <f t="shared" ca="1" si="5"/>
        <v>82</v>
      </c>
      <c r="H90" s="31">
        <f ca="1">VLOOKUP(A90,Rankings!$B$1:$H$651,7,FALSE)+(RAND()*0.00001)</f>
        <v>-2.6915138708017632</v>
      </c>
      <c r="I90" s="31">
        <f ca="1">H90-VLOOKUP(Settings!$K$9,G$2:H$91,2,FALSE)</f>
        <v>-1.8206102921681837</v>
      </c>
      <c r="J90" s="31" t="str">
        <f>VLOOKUP(A90,Rankings!B:D,3,FALSE)</f>
        <v>NL</v>
      </c>
    </row>
    <row r="91" spans="1:10" ht="18.600000000000001" customHeight="1">
      <c r="A91" s="26" t="s">
        <v>479</v>
      </c>
      <c r="B91" s="27" t="s">
        <v>94</v>
      </c>
      <c r="C91" s="128" t="s">
        <v>34</v>
      </c>
      <c r="D91" s="138">
        <f t="shared" ca="1" si="4"/>
        <v>90</v>
      </c>
      <c r="E91" s="31">
        <f ca="1">VLOOKUP(A91,Rankings!$B$1:$H$651,6,FALSE)+(RAND()*0.00001)</f>
        <v>51.275843286127127</v>
      </c>
      <c r="F91" s="31">
        <f ca="1">E91-VLOOKUP(Settings!$K$9,D$2:E$91,2,FALSE)</f>
        <v>-117.67471288388404</v>
      </c>
      <c r="G91" s="138">
        <f t="shared" ca="1" si="5"/>
        <v>50</v>
      </c>
      <c r="H91" s="31">
        <f ca="1">VLOOKUP(A91,Rankings!$B$1:$H$651,7,FALSE)+(RAND()*0.00001)</f>
        <v>-1.2723984159419421</v>
      </c>
      <c r="I91" s="31">
        <f ca="1">H91-VLOOKUP(Settings!$K$9,G$2:H$91,2,FALSE)</f>
        <v>-0.40149483730836266</v>
      </c>
      <c r="J91" s="31" t="str">
        <f>VLOOKUP(A91,Rankings!B:D,3,FALSE)</f>
        <v>AL</v>
      </c>
    </row>
    <row r="92" spans="1:10" ht="20.100000000000001" customHeight="1">
      <c r="J92" s="31"/>
    </row>
    <row r="93" spans="1:10" ht="20.100000000000001" customHeight="1">
      <c r="J93" s="31"/>
    </row>
    <row r="94" spans="1:10" ht="20.100000000000001" customHeight="1">
      <c r="J94" s="31"/>
    </row>
    <row r="95" spans="1:10" ht="20.100000000000001" customHeight="1">
      <c r="J95" s="31"/>
    </row>
    <row r="96" spans="1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91" xr:uid="{00000000-0001-0000-0F00-000000000000}">
    <sortState xmlns:xlrd2="http://schemas.microsoft.com/office/spreadsheetml/2017/richdata2" ref="A2:I91">
      <sortCondition descending="1" ref="F1:F91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5.1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92</v>
      </c>
      <c r="B2" s="27" t="s">
        <v>68</v>
      </c>
      <c r="C2" s="36" t="s">
        <v>31</v>
      </c>
      <c r="D2" s="138">
        <f t="shared" ref="D2:D65" ca="1" si="0">RANK(E2,E$2:E$251)</f>
        <v>1</v>
      </c>
      <c r="E2" s="31">
        <f ca="1">VLOOKUP(A2,Rankings!$B$1:$H$651,6,FALSE)+(RAND()*0.00001)</f>
        <v>575.17528525379248</v>
      </c>
      <c r="F2" s="31">
        <f ca="1">E2-VLOOKUP(Settings!$K$8+Settings!$K$9,D$2:E$251,2,FALSE)</f>
        <v>315.05361103277056</v>
      </c>
      <c r="G2" s="138">
        <f t="shared" ref="G2:G65" ca="1" si="1">RANK(H2,H$2:H$251)</f>
        <v>2</v>
      </c>
      <c r="H2" s="31">
        <f ca="1">VLOOKUP(A2,Rankings!$B$1:$H$651,7,FALSE)+(RAND()*0.00001)</f>
        <v>8.0775557427267763</v>
      </c>
      <c r="I2" s="31">
        <f ca="1">H2-VLOOKUP(Settings!$K$8+Settings!$K$9,G$2:H$251,2,FALSE)</f>
        <v>8.9451314619543751</v>
      </c>
      <c r="J2" s="31" t="str">
        <f>VLOOKUP(A2,Rankings!B:D,3,FALSE)</f>
        <v>AL</v>
      </c>
    </row>
    <row r="3" spans="1:10" ht="18.600000000000001" customHeight="1">
      <c r="A3" s="26" t="s">
        <v>96</v>
      </c>
      <c r="B3" s="27" t="s">
        <v>97</v>
      </c>
      <c r="C3" s="36" t="s">
        <v>31</v>
      </c>
      <c r="D3" s="138">
        <f t="shared" ca="1" si="0"/>
        <v>2</v>
      </c>
      <c r="E3" s="31">
        <f ca="1">VLOOKUP(A3,Rankings!$B$1:$H$651,6,FALSE)+(RAND()*0.00001)</f>
        <v>544.46333849779785</v>
      </c>
      <c r="F3" s="31">
        <f ca="1">E3-VLOOKUP(Settings!$K$8+Settings!$K$9,D$2:E$251,2,FALSE)</f>
        <v>284.34166427677593</v>
      </c>
      <c r="G3" s="138">
        <f t="shared" ca="1" si="1"/>
        <v>4</v>
      </c>
      <c r="H3" s="31">
        <f ca="1">VLOOKUP(A3,Rankings!$B$1:$H$651,7,FALSE)+(RAND()*0.00001)</f>
        <v>7.3512648217729737</v>
      </c>
      <c r="I3" s="31">
        <f ca="1">H3-VLOOKUP(Settings!$K$8+Settings!$K$9,G$2:H$251,2,FALSE)</f>
        <v>8.2188405410005707</v>
      </c>
      <c r="J3" s="31" t="str">
        <f>VLOOKUP(A3,Rankings!B:D,3,FALSE)</f>
        <v>NL</v>
      </c>
    </row>
    <row r="4" spans="1:10" ht="18.600000000000001" customHeight="1">
      <c r="A4" s="26" t="s">
        <v>111</v>
      </c>
      <c r="B4" s="27" t="s">
        <v>73</v>
      </c>
      <c r="C4" s="36" t="s">
        <v>31</v>
      </c>
      <c r="D4" s="138">
        <f t="shared" ca="1" si="0"/>
        <v>7</v>
      </c>
      <c r="E4" s="31">
        <f ca="1">VLOOKUP(A4,Rankings!$B$1:$H$651,6,FALSE)+(RAND()*0.00001)</f>
        <v>494.38666975662471</v>
      </c>
      <c r="F4" s="31">
        <f ca="1">E4-VLOOKUP(Settings!$K$8+Settings!$K$9,D$2:E$251,2,FALSE)</f>
        <v>234.26499553560279</v>
      </c>
      <c r="G4" s="138">
        <f t="shared" ca="1" si="1"/>
        <v>6</v>
      </c>
      <c r="H4" s="31">
        <f ca="1">VLOOKUP(A4,Rankings!$B$1:$H$651,7,FALSE)+(RAND()*0.00001)</f>
        <v>6.8420117981496533</v>
      </c>
      <c r="I4" s="31">
        <f ca="1">H4-VLOOKUP(Settings!$K$8+Settings!$K$9,G$2:H$251,2,FALSE)</f>
        <v>7.7095875173772512</v>
      </c>
      <c r="J4" s="31" t="str">
        <f>VLOOKUP(A4,Rankings!B:D,3,FALSE)</f>
        <v>NL</v>
      </c>
    </row>
    <row r="5" spans="1:10" ht="18.600000000000001" customHeight="1">
      <c r="A5" s="26" t="s">
        <v>121</v>
      </c>
      <c r="B5" s="27" t="s">
        <v>91</v>
      </c>
      <c r="C5" s="36" t="s">
        <v>31</v>
      </c>
      <c r="D5" s="138">
        <f t="shared" ca="1" si="0"/>
        <v>3</v>
      </c>
      <c r="E5" s="31">
        <f ca="1">VLOOKUP(A5,Rankings!$B$1:$H$651,6,FALSE)+(RAND()*0.00001)</f>
        <v>530.48389213931068</v>
      </c>
      <c r="F5" s="31">
        <f ca="1">E5-VLOOKUP(Settings!$K$8+Settings!$K$9,D$2:E$251,2,FALSE)</f>
        <v>270.36221791828876</v>
      </c>
      <c r="G5" s="138">
        <f t="shared" ca="1" si="1"/>
        <v>10</v>
      </c>
      <c r="H5" s="31">
        <f ca="1">VLOOKUP(A5,Rankings!$B$1:$H$651,7,FALSE)+(RAND()*0.00001)</f>
        <v>6.238106350347973</v>
      </c>
      <c r="I5" s="31">
        <f ca="1">H5-VLOOKUP(Settings!$K$8+Settings!$K$9,G$2:H$251,2,FALSE)</f>
        <v>7.1056820695755709</v>
      </c>
      <c r="J5" s="31" t="str">
        <f>VLOOKUP(A5,Rankings!B:D,3,FALSE)</f>
        <v>NL</v>
      </c>
    </row>
    <row r="6" spans="1:10" ht="18.600000000000001" customHeight="1">
      <c r="A6" s="26" t="s">
        <v>152</v>
      </c>
      <c r="B6" s="27" t="s">
        <v>78</v>
      </c>
      <c r="C6" s="36" t="s">
        <v>31</v>
      </c>
      <c r="D6" s="138">
        <f t="shared" ca="1" si="0"/>
        <v>6</v>
      </c>
      <c r="E6" s="31">
        <f ca="1">VLOOKUP(A6,Rankings!$B$1:$H$651,6,FALSE)+(RAND()*0.00001)</f>
        <v>503.31173731736237</v>
      </c>
      <c r="F6" s="31">
        <f ca="1">E6-VLOOKUP(Settings!$K$8+Settings!$K$9,D$2:E$251,2,FALSE)</f>
        <v>243.19006309634045</v>
      </c>
      <c r="G6" s="138">
        <f t="shared" ca="1" si="1"/>
        <v>12</v>
      </c>
      <c r="H6" s="31">
        <f ca="1">VLOOKUP(A6,Rankings!$B$1:$H$651,7,FALSE)+(RAND()*0.00001)</f>
        <v>5.768076330710735</v>
      </c>
      <c r="I6" s="31">
        <f ca="1">H6-VLOOKUP(Settings!$K$8+Settings!$K$9,G$2:H$251,2,FALSE)</f>
        <v>6.6356520499383329</v>
      </c>
      <c r="J6" s="31" t="str">
        <f>VLOOKUP(A6,Rankings!B:D,3,FALSE)</f>
        <v>AL</v>
      </c>
    </row>
    <row r="7" spans="1:10" ht="18.600000000000001" customHeight="1">
      <c r="A7" s="26" t="s">
        <v>138</v>
      </c>
      <c r="B7" s="27" t="s">
        <v>76</v>
      </c>
      <c r="C7" s="36" t="s">
        <v>31</v>
      </c>
      <c r="D7" s="138">
        <f t="shared" ca="1" si="0"/>
        <v>4</v>
      </c>
      <c r="E7" s="31">
        <f ca="1">VLOOKUP(A7,Rankings!$B$1:$H$651,6,FALSE)+(RAND()*0.00001)</f>
        <v>508.77334141587295</v>
      </c>
      <c r="F7" s="31">
        <f ca="1">E7-VLOOKUP(Settings!$K$8+Settings!$K$9,D$2:E$251,2,FALSE)</f>
        <v>248.65166719485103</v>
      </c>
      <c r="G7" s="138">
        <f t="shared" ca="1" si="1"/>
        <v>15</v>
      </c>
      <c r="H7" s="31">
        <f ca="1">VLOOKUP(A7,Rankings!$B$1:$H$651,7,FALSE)+(RAND()*0.00001)</f>
        <v>5.384898560237307</v>
      </c>
      <c r="I7" s="31">
        <f ca="1">H7-VLOOKUP(Settings!$K$8+Settings!$K$9,G$2:H$251,2,FALSE)</f>
        <v>6.2524742794649049</v>
      </c>
      <c r="J7" s="31" t="str">
        <f>VLOOKUP(A7,Rankings!B:D,3,FALSE)</f>
        <v>AL</v>
      </c>
    </row>
    <row r="8" spans="1:10" ht="18.600000000000001" customHeight="1">
      <c r="A8" s="26" t="s">
        <v>133</v>
      </c>
      <c r="B8" s="27" t="s">
        <v>134</v>
      </c>
      <c r="C8" s="36" t="s">
        <v>31</v>
      </c>
      <c r="D8" s="138">
        <f t="shared" ca="1" si="0"/>
        <v>5</v>
      </c>
      <c r="E8" s="31">
        <f ca="1">VLOOKUP(A8,Rankings!$B$1:$H$651,6,FALSE)+(RAND()*0.00001)</f>
        <v>507.75224193653355</v>
      </c>
      <c r="F8" s="31">
        <f ca="1">E8-VLOOKUP(Settings!$K$8+Settings!$K$9,D$2:E$251,2,FALSE)</f>
        <v>247.63056771551163</v>
      </c>
      <c r="G8" s="138">
        <f t="shared" ca="1" si="1"/>
        <v>16</v>
      </c>
      <c r="H8" s="31">
        <f ca="1">VLOOKUP(A8,Rankings!$B$1:$H$651,7,FALSE)+(RAND()*0.00001)</f>
        <v>5.0351483615132882</v>
      </c>
      <c r="I8" s="31">
        <f ca="1">H8-VLOOKUP(Settings!$K$8+Settings!$K$9,G$2:H$251,2,FALSE)</f>
        <v>5.9027240807408861</v>
      </c>
      <c r="J8" s="31" t="str">
        <f>VLOOKUP(A8,Rankings!B:D,3,FALSE)</f>
        <v>NL</v>
      </c>
    </row>
    <row r="9" spans="1:10" ht="18.600000000000001" customHeight="1">
      <c r="A9" s="26" t="s">
        <v>110</v>
      </c>
      <c r="B9" s="27" t="s">
        <v>95</v>
      </c>
      <c r="C9" s="36" t="s">
        <v>31</v>
      </c>
      <c r="D9" s="138">
        <f t="shared" ca="1" si="0"/>
        <v>8</v>
      </c>
      <c r="E9" s="31">
        <f ca="1">VLOOKUP(A9,Rankings!$B$1:$H$651,6,FALSE)+(RAND()*0.00001)</f>
        <v>485.78445221465057</v>
      </c>
      <c r="F9" s="31">
        <f ca="1">E9-VLOOKUP(Settings!$K$8+Settings!$K$9,D$2:E$251,2,FALSE)</f>
        <v>225.66277799362865</v>
      </c>
      <c r="G9" s="138">
        <f t="shared" ca="1" si="1"/>
        <v>7</v>
      </c>
      <c r="H9" s="31">
        <f ca="1">VLOOKUP(A9,Rankings!$B$1:$H$651,7,FALSE)+(RAND()*0.00001)</f>
        <v>6.465236964445733</v>
      </c>
      <c r="I9" s="31">
        <f ca="1">H9-VLOOKUP(Settings!$K$8+Settings!$K$9,G$2:H$251,2,FALSE)</f>
        <v>7.3328126836733309</v>
      </c>
      <c r="J9" s="31" t="str">
        <f>VLOOKUP(A9,Rankings!B:D,3,FALSE)</f>
        <v>NL</v>
      </c>
    </row>
    <row r="10" spans="1:10" ht="18.600000000000001" customHeight="1">
      <c r="A10" s="26" t="s">
        <v>163</v>
      </c>
      <c r="B10" s="27" t="s">
        <v>78</v>
      </c>
      <c r="C10" s="36" t="s">
        <v>31</v>
      </c>
      <c r="D10" s="138">
        <f t="shared" ca="1" si="0"/>
        <v>9</v>
      </c>
      <c r="E10" s="31">
        <f ca="1">VLOOKUP(A10,Rankings!$B$1:$H$651,6,FALSE)+(RAND()*0.00001)</f>
        <v>485.1941792372445</v>
      </c>
      <c r="F10" s="31">
        <f ca="1">E10-VLOOKUP(Settings!$K$8+Settings!$K$9,D$2:E$251,2,FALSE)</f>
        <v>225.07250501622258</v>
      </c>
      <c r="G10" s="138">
        <f t="shared" ca="1" si="1"/>
        <v>33</v>
      </c>
      <c r="H10" s="31">
        <f ca="1">VLOOKUP(A10,Rankings!$B$1:$H$651,7,FALSE)+(RAND()*0.00001)</f>
        <v>4.0234114068859466</v>
      </c>
      <c r="I10" s="31">
        <f ca="1">H10-VLOOKUP(Settings!$K$8+Settings!$K$9,G$2:H$251,2,FALSE)</f>
        <v>4.8909871261135445</v>
      </c>
      <c r="J10" s="31" t="str">
        <f>VLOOKUP(A10,Rankings!B:D,3,FALSE)</f>
        <v>AL</v>
      </c>
    </row>
    <row r="11" spans="1:10" ht="18.600000000000001" customHeight="1">
      <c r="A11" s="26" t="s">
        <v>179</v>
      </c>
      <c r="B11" s="27" t="s">
        <v>76</v>
      </c>
      <c r="C11" s="36" t="s">
        <v>31</v>
      </c>
      <c r="D11" s="138">
        <f t="shared" ca="1" si="0"/>
        <v>23</v>
      </c>
      <c r="E11" s="31">
        <f ca="1">VLOOKUP(A11,Rankings!$B$1:$H$651,6,FALSE)+(RAND()*0.00001)</f>
        <v>459.58666763098614</v>
      </c>
      <c r="F11" s="31">
        <f ca="1">E11-VLOOKUP(Settings!$K$8+Settings!$K$9,D$2:E$251,2,FALSE)</f>
        <v>199.46499340996422</v>
      </c>
      <c r="G11" s="138">
        <f t="shared" ca="1" si="1"/>
        <v>38</v>
      </c>
      <c r="H11" s="31">
        <f ca="1">VLOOKUP(A11,Rankings!$B$1:$H$651,7,FALSE)+(RAND()*0.00001)</f>
        <v>3.68802588047483</v>
      </c>
      <c r="I11" s="31">
        <f ca="1">H11-VLOOKUP(Settings!$K$8+Settings!$K$9,G$2:H$251,2,FALSE)</f>
        <v>4.5556015997024275</v>
      </c>
      <c r="J11" s="31" t="str">
        <f>VLOOKUP(A11,Rankings!B:D,3,FALSE)</f>
        <v>AL</v>
      </c>
    </row>
    <row r="12" spans="1:10" ht="18.600000000000001" customHeight="1">
      <c r="A12" s="26" t="s">
        <v>107</v>
      </c>
      <c r="B12" s="27" t="s">
        <v>95</v>
      </c>
      <c r="C12" s="36" t="s">
        <v>31</v>
      </c>
      <c r="D12" s="138">
        <f t="shared" ca="1" si="0"/>
        <v>10</v>
      </c>
      <c r="E12" s="31">
        <f ca="1">VLOOKUP(A12,Rankings!$B$1:$H$651,6,FALSE)+(RAND()*0.00001)</f>
        <v>482.73333793482078</v>
      </c>
      <c r="F12" s="31">
        <f ca="1">E12-VLOOKUP(Settings!$K$8+Settings!$K$9,D$2:E$251,2,FALSE)</f>
        <v>222.61166371379886</v>
      </c>
      <c r="G12" s="138">
        <f t="shared" ca="1" si="1"/>
        <v>5</v>
      </c>
      <c r="H12" s="31">
        <f ca="1">VLOOKUP(A12,Rankings!$B$1:$H$651,7,FALSE)+(RAND()*0.00001)</f>
        <v>7.0026176837427405</v>
      </c>
      <c r="I12" s="31">
        <f ca="1">H12-VLOOKUP(Settings!$K$8+Settings!$K$9,G$2:H$251,2,FALSE)</f>
        <v>7.8701934029703384</v>
      </c>
      <c r="J12" s="31" t="str">
        <f>VLOOKUP(A12,Rankings!B:D,3,FALSE)</f>
        <v>NL</v>
      </c>
    </row>
    <row r="13" spans="1:10" ht="18.600000000000001" customHeight="1">
      <c r="A13" s="26" t="s">
        <v>151</v>
      </c>
      <c r="B13" s="27" t="s">
        <v>73</v>
      </c>
      <c r="C13" s="36" t="s">
        <v>31</v>
      </c>
      <c r="D13" s="138">
        <f t="shared" ca="1" si="0"/>
        <v>11</v>
      </c>
      <c r="E13" s="31">
        <f ca="1">VLOOKUP(A13,Rankings!$B$1:$H$651,6,FALSE)+(RAND()*0.00001)</f>
        <v>480.75657725738552</v>
      </c>
      <c r="F13" s="31">
        <f ca="1">E13-VLOOKUP(Settings!$K$8+Settings!$K$9,D$2:E$251,2,FALSE)</f>
        <v>220.6349030363636</v>
      </c>
      <c r="G13" s="138">
        <f t="shared" ca="1" si="1"/>
        <v>22</v>
      </c>
      <c r="H13" s="31">
        <f ca="1">VLOOKUP(A13,Rankings!$B$1:$H$651,7,FALSE)+(RAND()*0.00001)</f>
        <v>4.6392350592313338</v>
      </c>
      <c r="I13" s="31">
        <f ca="1">H13-VLOOKUP(Settings!$K$8+Settings!$K$9,G$2:H$251,2,FALSE)</f>
        <v>5.5068107784589317</v>
      </c>
      <c r="J13" s="31" t="str">
        <f>VLOOKUP(A13,Rankings!B:D,3,FALSE)</f>
        <v>NL</v>
      </c>
    </row>
    <row r="14" spans="1:10" ht="18.600000000000001" customHeight="1">
      <c r="A14" s="26" t="s">
        <v>177</v>
      </c>
      <c r="B14" s="27" t="s">
        <v>71</v>
      </c>
      <c r="C14" s="36" t="s">
        <v>31</v>
      </c>
      <c r="D14" s="138">
        <f t="shared" ca="1" si="0"/>
        <v>14</v>
      </c>
      <c r="E14" s="31">
        <f ca="1">VLOOKUP(A14,Rankings!$B$1:$H$651,6,FALSE)+(RAND()*0.00001)</f>
        <v>476.30412481833054</v>
      </c>
      <c r="F14" s="31">
        <f ca="1">E14-VLOOKUP(Settings!$K$8+Settings!$K$9,D$2:E$251,2,FALSE)</f>
        <v>216.18245059730862</v>
      </c>
      <c r="G14" s="138">
        <f t="shared" ca="1" si="1"/>
        <v>25</v>
      </c>
      <c r="H14" s="31">
        <f ca="1">VLOOKUP(A14,Rankings!$B$1:$H$651,7,FALSE)+(RAND()*0.00001)</f>
        <v>4.446992381322266</v>
      </c>
      <c r="I14" s="31">
        <f ca="1">H14-VLOOKUP(Settings!$K$8+Settings!$K$9,G$2:H$251,2,FALSE)</f>
        <v>5.3145681005498639</v>
      </c>
      <c r="J14" s="31" t="str">
        <f>VLOOKUP(A14,Rankings!B:D,3,FALSE)</f>
        <v>AL</v>
      </c>
    </row>
    <row r="15" spans="1:10" ht="18.600000000000001" customHeight="1">
      <c r="A15" s="26" t="s">
        <v>115</v>
      </c>
      <c r="B15" s="27" t="s">
        <v>101</v>
      </c>
      <c r="C15" s="36" t="s">
        <v>31</v>
      </c>
      <c r="D15" s="138">
        <f t="shared" ca="1" si="0"/>
        <v>12</v>
      </c>
      <c r="E15" s="31">
        <f ca="1">VLOOKUP(A15,Rankings!$B$1:$H$651,6,FALSE)+(RAND()*0.00001)</f>
        <v>480.07611629358405</v>
      </c>
      <c r="F15" s="31">
        <f ca="1">E15-VLOOKUP(Settings!$K$8+Settings!$K$9,D$2:E$251,2,FALSE)</f>
        <v>219.95444207256213</v>
      </c>
      <c r="G15" s="138">
        <f t="shared" ca="1" si="1"/>
        <v>11</v>
      </c>
      <c r="H15" s="31">
        <f ca="1">VLOOKUP(A15,Rankings!$B$1:$H$651,7,FALSE)+(RAND()*0.00001)</f>
        <v>5.94696596384202</v>
      </c>
      <c r="I15" s="31">
        <f ca="1">H15-VLOOKUP(Settings!$K$8+Settings!$K$9,G$2:H$251,2,FALSE)</f>
        <v>6.8145416830696179</v>
      </c>
      <c r="J15" s="31" t="str">
        <f>VLOOKUP(A15,Rankings!B:D,3,FALSE)</f>
        <v>AL</v>
      </c>
    </row>
    <row r="16" spans="1:10" ht="18.600000000000001" customHeight="1">
      <c r="A16" s="26" t="s">
        <v>85</v>
      </c>
      <c r="B16" s="27" t="s">
        <v>86</v>
      </c>
      <c r="C16" s="36" t="s">
        <v>31</v>
      </c>
      <c r="D16" s="138">
        <f t="shared" ca="1" si="0"/>
        <v>20</v>
      </c>
      <c r="E16" s="31">
        <f ca="1">VLOOKUP(A16,Rankings!$B$1:$H$651,6,FALSE)+(RAND()*0.00001)</f>
        <v>464.11361227140264</v>
      </c>
      <c r="F16" s="31">
        <f ca="1">E16-VLOOKUP(Settings!$K$8+Settings!$K$9,D$2:E$251,2,FALSE)</f>
        <v>203.99193805038072</v>
      </c>
      <c r="G16" s="138">
        <f t="shared" ca="1" si="1"/>
        <v>1</v>
      </c>
      <c r="H16" s="31">
        <f ca="1">VLOOKUP(A16,Rankings!$B$1:$H$651,7,FALSE)+(RAND()*0.00001)</f>
        <v>8.5895600791589573</v>
      </c>
      <c r="I16" s="31">
        <f ca="1">H16-VLOOKUP(Settings!$K$8+Settings!$K$9,G$2:H$251,2,FALSE)</f>
        <v>9.457135798386556</v>
      </c>
      <c r="J16" s="31" t="str">
        <f>VLOOKUP(A16,Rankings!B:D,3,FALSE)</f>
        <v>AL</v>
      </c>
    </row>
    <row r="17" spans="1:10" ht="18.600000000000001" customHeight="1">
      <c r="A17" s="26" t="s">
        <v>144</v>
      </c>
      <c r="B17" s="27" t="s">
        <v>91</v>
      </c>
      <c r="C17" s="36" t="s">
        <v>31</v>
      </c>
      <c r="D17" s="138">
        <f t="shared" ca="1" si="0"/>
        <v>15</v>
      </c>
      <c r="E17" s="31">
        <f ca="1">VLOOKUP(A17,Rankings!$B$1:$H$651,6,FALSE)+(RAND()*0.00001)</f>
        <v>472.4477840624732</v>
      </c>
      <c r="F17" s="31">
        <f ca="1">E17-VLOOKUP(Settings!$K$8+Settings!$K$9,D$2:E$251,2,FALSE)</f>
        <v>212.32610984145128</v>
      </c>
      <c r="G17" s="138">
        <f t="shared" ca="1" si="1"/>
        <v>19</v>
      </c>
      <c r="H17" s="31">
        <f ca="1">VLOOKUP(A17,Rankings!$B$1:$H$651,7,FALSE)+(RAND()*0.00001)</f>
        <v>4.8847148387154</v>
      </c>
      <c r="I17" s="31">
        <f ca="1">H17-VLOOKUP(Settings!$K$8+Settings!$K$9,G$2:H$251,2,FALSE)</f>
        <v>5.7522905579429979</v>
      </c>
      <c r="J17" s="31" t="str">
        <f>VLOOKUP(A17,Rankings!B:D,3,FALSE)</f>
        <v>NL</v>
      </c>
    </row>
    <row r="18" spans="1:10" ht="18.600000000000001" customHeight="1">
      <c r="A18" s="26" t="s">
        <v>745</v>
      </c>
      <c r="B18" s="27" t="s">
        <v>84</v>
      </c>
      <c r="C18" s="36" t="s">
        <v>31</v>
      </c>
      <c r="D18" s="138">
        <f t="shared" ca="1" si="0"/>
        <v>16</v>
      </c>
      <c r="E18" s="31">
        <f ca="1">VLOOKUP(A18,Rankings!$B$1:$H$651,6,FALSE)+(RAND()*0.00001)</f>
        <v>469.69500129374012</v>
      </c>
      <c r="F18" s="31">
        <f ca="1">E18-VLOOKUP(Settings!$K$8+Settings!$K$9,D$2:E$251,2,FALSE)</f>
        <v>209.5733270727182</v>
      </c>
      <c r="G18" s="138">
        <f t="shared" ca="1" si="1"/>
        <v>8</v>
      </c>
      <c r="H18" s="31">
        <f ca="1">VLOOKUP(A18,Rankings!$B$1:$H$651,7,FALSE)+(RAND()*0.00001)</f>
        <v>6.3638070116464958</v>
      </c>
      <c r="I18" s="31">
        <f ca="1">H18-VLOOKUP(Settings!$K$8+Settings!$K$9,G$2:H$251,2,FALSE)</f>
        <v>7.2313827308740937</v>
      </c>
      <c r="J18" s="31" t="str">
        <f>VLOOKUP(A18,Rankings!B:D,3,FALSE)</f>
        <v>AL</v>
      </c>
    </row>
    <row r="19" spans="1:10" ht="18.600000000000001" customHeight="1">
      <c r="A19" s="26" t="s">
        <v>222</v>
      </c>
      <c r="B19" s="27" t="s">
        <v>223</v>
      </c>
      <c r="C19" s="36" t="s">
        <v>31</v>
      </c>
      <c r="D19" s="138">
        <f t="shared" ca="1" si="0"/>
        <v>25</v>
      </c>
      <c r="E19" s="31">
        <f ca="1">VLOOKUP(A19,Rankings!$B$1:$H$651,6,FALSE)+(RAND()*0.00001)</f>
        <v>441.52174153559031</v>
      </c>
      <c r="F19" s="31">
        <f ca="1">E19-VLOOKUP(Settings!$K$8+Settings!$K$9,D$2:E$251,2,FALSE)</f>
        <v>181.40006731456839</v>
      </c>
      <c r="G19" s="138">
        <f t="shared" ca="1" si="1"/>
        <v>39</v>
      </c>
      <c r="H19" s="31">
        <f ca="1">VLOOKUP(A19,Rankings!$B$1:$H$651,7,FALSE)+(RAND()*0.00001)</f>
        <v>3.6363297747881318</v>
      </c>
      <c r="I19" s="31">
        <f ca="1">H19-VLOOKUP(Settings!$K$8+Settings!$K$9,G$2:H$251,2,FALSE)</f>
        <v>4.5039054940157293</v>
      </c>
      <c r="J19" s="31" t="str">
        <f>VLOOKUP(A19,Rankings!B:D,3,FALSE)</f>
        <v>NL</v>
      </c>
    </row>
    <row r="20" spans="1:10" ht="18.600000000000001" customHeight="1">
      <c r="A20" s="26" t="s">
        <v>169</v>
      </c>
      <c r="B20" s="27" t="s">
        <v>94</v>
      </c>
      <c r="C20" s="36" t="s">
        <v>31</v>
      </c>
      <c r="D20" s="138">
        <f t="shared" ca="1" si="0"/>
        <v>13</v>
      </c>
      <c r="E20" s="31">
        <f ca="1">VLOOKUP(A20,Rankings!$B$1:$H$651,6,FALSE)+(RAND()*0.00001)</f>
        <v>477.37748926262151</v>
      </c>
      <c r="F20" s="31">
        <f ca="1">E20-VLOOKUP(Settings!$K$8+Settings!$K$9,D$2:E$251,2,FALSE)</f>
        <v>217.25581504159959</v>
      </c>
      <c r="G20" s="138">
        <f t="shared" ca="1" si="1"/>
        <v>27</v>
      </c>
      <c r="H20" s="31">
        <f ca="1">VLOOKUP(A20,Rankings!$B$1:$H$651,7,FALSE)+(RAND()*0.00001)</f>
        <v>4.358280026385092</v>
      </c>
      <c r="I20" s="31">
        <f ca="1">H20-VLOOKUP(Settings!$K$8+Settings!$K$9,G$2:H$251,2,FALSE)</f>
        <v>5.22585574561269</v>
      </c>
      <c r="J20" s="31" t="str">
        <f>VLOOKUP(A20,Rankings!B:D,3,FALSE)</f>
        <v>AL</v>
      </c>
    </row>
    <row r="21" spans="1:10" ht="18.600000000000001" customHeight="1">
      <c r="A21" s="26" t="s">
        <v>143</v>
      </c>
      <c r="B21" s="27" t="s">
        <v>63</v>
      </c>
      <c r="C21" s="36" t="s">
        <v>31</v>
      </c>
      <c r="D21" s="138">
        <f t="shared" ca="1" si="0"/>
        <v>17</v>
      </c>
      <c r="E21" s="31">
        <f ca="1">VLOOKUP(A21,Rankings!$B$1:$H$651,6,FALSE)+(RAND()*0.00001)</f>
        <v>466.80500237775556</v>
      </c>
      <c r="F21" s="31">
        <f ca="1">E21-VLOOKUP(Settings!$K$8+Settings!$K$9,D$2:E$251,2,FALSE)</f>
        <v>206.68332815673364</v>
      </c>
      <c r="G21" s="138">
        <f t="shared" ca="1" si="1"/>
        <v>31</v>
      </c>
      <c r="H21" s="31">
        <f ca="1">VLOOKUP(A21,Rankings!$B$1:$H$651,7,FALSE)+(RAND()*0.00001)</f>
        <v>4.2428412184372171</v>
      </c>
      <c r="I21" s="31">
        <f ca="1">H21-VLOOKUP(Settings!$K$8+Settings!$K$9,G$2:H$251,2,FALSE)</f>
        <v>5.110416937664815</v>
      </c>
      <c r="J21" s="31" t="str">
        <f>VLOOKUP(A21,Rankings!B:D,3,FALSE)</f>
        <v>NL</v>
      </c>
    </row>
    <row r="22" spans="1:10" ht="18.600000000000001" customHeight="1">
      <c r="A22" s="26" t="s">
        <v>147</v>
      </c>
      <c r="B22" s="27" t="s">
        <v>94</v>
      </c>
      <c r="C22" s="36" t="s">
        <v>31</v>
      </c>
      <c r="D22" s="138">
        <f t="shared" ca="1" si="0"/>
        <v>19</v>
      </c>
      <c r="E22" s="31">
        <f ca="1">VLOOKUP(A22,Rankings!$B$1:$H$651,6,FALSE)+(RAND()*0.00001)</f>
        <v>465.13944653947181</v>
      </c>
      <c r="F22" s="31">
        <f ca="1">E22-VLOOKUP(Settings!$K$8+Settings!$K$9,D$2:E$251,2,FALSE)</f>
        <v>205.01777231844989</v>
      </c>
      <c r="G22" s="138">
        <f t="shared" ca="1" si="1"/>
        <v>18</v>
      </c>
      <c r="H22" s="31">
        <f ca="1">VLOOKUP(A22,Rankings!$B$1:$H$651,7,FALSE)+(RAND()*0.00001)</f>
        <v>4.9284708533975472</v>
      </c>
      <c r="I22" s="31">
        <f ca="1">H22-VLOOKUP(Settings!$K$8+Settings!$K$9,G$2:H$251,2,FALSE)</f>
        <v>5.7960465726251451</v>
      </c>
      <c r="J22" s="31" t="str">
        <f>VLOOKUP(A22,Rankings!B:D,3,FALSE)</f>
        <v>AL</v>
      </c>
    </row>
    <row r="23" spans="1:10" ht="18.600000000000001" customHeight="1">
      <c r="A23" s="26" t="s">
        <v>150</v>
      </c>
      <c r="B23" s="27" t="s">
        <v>81</v>
      </c>
      <c r="C23" s="36" t="s">
        <v>31</v>
      </c>
      <c r="D23" s="138">
        <f t="shared" ca="1" si="0"/>
        <v>18</v>
      </c>
      <c r="E23" s="31">
        <f ca="1">VLOOKUP(A23,Rankings!$B$1:$H$651,6,FALSE)+(RAND()*0.00001)</f>
        <v>465.7370736857153</v>
      </c>
      <c r="F23" s="31">
        <f ca="1">E23-VLOOKUP(Settings!$K$8+Settings!$K$9,D$2:E$251,2,FALSE)</f>
        <v>205.61539946469338</v>
      </c>
      <c r="G23" s="138">
        <f t="shared" ca="1" si="1"/>
        <v>20</v>
      </c>
      <c r="H23" s="31">
        <f ca="1">VLOOKUP(A23,Rankings!$B$1:$H$651,7,FALSE)+(RAND()*0.00001)</f>
        <v>4.6839500292019238</v>
      </c>
      <c r="I23" s="31">
        <f ca="1">H23-VLOOKUP(Settings!$K$8+Settings!$K$9,G$2:H$251,2,FALSE)</f>
        <v>5.5515257484295217</v>
      </c>
      <c r="J23" s="31" t="str">
        <f>VLOOKUP(A23,Rankings!B:D,3,FALSE)</f>
        <v>NL</v>
      </c>
    </row>
    <row r="24" spans="1:10" ht="18.600000000000001" customHeight="1">
      <c r="A24" s="26" t="s">
        <v>189</v>
      </c>
      <c r="B24" s="27" t="s">
        <v>71</v>
      </c>
      <c r="C24" s="36" t="s">
        <v>31</v>
      </c>
      <c r="D24" s="138">
        <f t="shared" ca="1" si="0"/>
        <v>24</v>
      </c>
      <c r="E24" s="31">
        <f ca="1">VLOOKUP(A24,Rankings!$B$1:$H$651,6,FALSE)+(RAND()*0.00001)</f>
        <v>451.87000315315828</v>
      </c>
      <c r="F24" s="31">
        <f ca="1">E24-VLOOKUP(Settings!$K$8+Settings!$K$9,D$2:E$251,2,FALSE)</f>
        <v>191.74832893213636</v>
      </c>
      <c r="G24" s="138">
        <f t="shared" ca="1" si="1"/>
        <v>40</v>
      </c>
      <c r="H24" s="31">
        <f ca="1">VLOOKUP(A24,Rankings!$B$1:$H$651,7,FALSE)+(RAND()*0.00001)</f>
        <v>3.5668393627938548</v>
      </c>
      <c r="I24" s="31">
        <f ca="1">H24-VLOOKUP(Settings!$K$8+Settings!$K$9,G$2:H$251,2,FALSE)</f>
        <v>4.4344150820214523</v>
      </c>
      <c r="J24" s="31" t="str">
        <f>VLOOKUP(A24,Rankings!B:D,3,FALSE)</f>
        <v>AL</v>
      </c>
    </row>
    <row r="25" spans="1:10" ht="18.600000000000001" customHeight="1">
      <c r="A25" s="26" t="s">
        <v>128</v>
      </c>
      <c r="B25" s="27" t="s">
        <v>97</v>
      </c>
      <c r="C25" s="36" t="s">
        <v>31</v>
      </c>
      <c r="D25" s="138">
        <f t="shared" ca="1" si="0"/>
        <v>21</v>
      </c>
      <c r="E25" s="31">
        <f ca="1">VLOOKUP(A25,Rankings!$B$1:$H$651,6,FALSE)+(RAND()*0.00001)</f>
        <v>461.63084085890932</v>
      </c>
      <c r="F25" s="31">
        <f ca="1">E25-VLOOKUP(Settings!$K$8+Settings!$K$9,D$2:E$251,2,FALSE)</f>
        <v>201.5091666378874</v>
      </c>
      <c r="G25" s="138">
        <f t="shared" ca="1" si="1"/>
        <v>14</v>
      </c>
      <c r="H25" s="31">
        <f ca="1">VLOOKUP(A25,Rankings!$B$1:$H$651,7,FALSE)+(RAND()*0.00001)</f>
        <v>5.4020174632974927</v>
      </c>
      <c r="I25" s="31">
        <f ca="1">H25-VLOOKUP(Settings!$K$8+Settings!$K$9,G$2:H$251,2,FALSE)</f>
        <v>6.2695931825250906</v>
      </c>
      <c r="J25" s="31" t="str">
        <f>VLOOKUP(A25,Rankings!B:D,3,FALSE)</f>
        <v>NL</v>
      </c>
    </row>
    <row r="26" spans="1:10" ht="18.600000000000001" customHeight="1">
      <c r="A26" s="26" t="s">
        <v>146</v>
      </c>
      <c r="B26" s="27" t="s">
        <v>114</v>
      </c>
      <c r="C26" s="36" t="s">
        <v>31</v>
      </c>
      <c r="D26" s="138">
        <f t="shared" ca="1" si="0"/>
        <v>22</v>
      </c>
      <c r="E26" s="31">
        <f ca="1">VLOOKUP(A26,Rankings!$B$1:$H$651,6,FALSE)+(RAND()*0.00001)</f>
        <v>460.36972715148755</v>
      </c>
      <c r="F26" s="31">
        <f ca="1">E26-VLOOKUP(Settings!$K$8+Settings!$K$9,D$2:E$251,2,FALSE)</f>
        <v>200.24805293046563</v>
      </c>
      <c r="G26" s="138">
        <f t="shared" ca="1" si="1"/>
        <v>29</v>
      </c>
      <c r="H26" s="31">
        <f ca="1">VLOOKUP(A26,Rankings!$B$1:$H$651,7,FALSE)+(RAND()*0.00001)</f>
        <v>4.3347294623720263</v>
      </c>
      <c r="I26" s="31">
        <f ca="1">H26-VLOOKUP(Settings!$K$8+Settings!$K$9,G$2:H$251,2,FALSE)</f>
        <v>5.2023051815996242</v>
      </c>
      <c r="J26" s="31" t="str">
        <f>VLOOKUP(A26,Rankings!B:D,3,FALSE)</f>
        <v>AL</v>
      </c>
    </row>
    <row r="27" spans="1:10" ht="18.600000000000001" customHeight="1">
      <c r="A27" s="26" t="s">
        <v>104</v>
      </c>
      <c r="B27" s="27" t="s">
        <v>68</v>
      </c>
      <c r="C27" s="36" t="s">
        <v>31</v>
      </c>
      <c r="D27" s="138">
        <f t="shared" ca="1" si="0"/>
        <v>29</v>
      </c>
      <c r="E27" s="31">
        <f ca="1">VLOOKUP(A27,Rankings!$B$1:$H$651,6,FALSE)+(RAND()*0.00001)</f>
        <v>430.50844509133168</v>
      </c>
      <c r="F27" s="31">
        <f ca="1">E27-VLOOKUP(Settings!$K$8+Settings!$K$9,D$2:E$251,2,FALSE)</f>
        <v>170.38677087030976</v>
      </c>
      <c r="G27" s="138">
        <f t="shared" ca="1" si="1"/>
        <v>9</v>
      </c>
      <c r="H27" s="31">
        <f ca="1">VLOOKUP(A27,Rankings!$B$1:$H$651,7,FALSE)+(RAND()*0.00001)</f>
        <v>6.3254836191122754</v>
      </c>
      <c r="I27" s="31">
        <f ca="1">H27-VLOOKUP(Settings!$K$8+Settings!$K$9,G$2:H$251,2,FALSE)</f>
        <v>7.1930593383398733</v>
      </c>
      <c r="J27" s="31" t="str">
        <f>VLOOKUP(A27,Rankings!B:D,3,FALSE)</f>
        <v>AL</v>
      </c>
    </row>
    <row r="28" spans="1:10" ht="18.600000000000001" customHeight="1">
      <c r="A28" s="26" t="s">
        <v>219</v>
      </c>
      <c r="B28" s="27" t="s">
        <v>217</v>
      </c>
      <c r="C28" s="36" t="s">
        <v>31</v>
      </c>
      <c r="D28" s="138">
        <f t="shared" ca="1" si="0"/>
        <v>26</v>
      </c>
      <c r="E28" s="31">
        <f ca="1">VLOOKUP(A28,Rankings!$B$1:$H$651,6,FALSE)+(RAND()*0.00001)</f>
        <v>439.76346964432355</v>
      </c>
      <c r="F28" s="31">
        <f ca="1">E28-VLOOKUP(Settings!$K$8+Settings!$K$9,D$2:E$251,2,FALSE)</f>
        <v>179.64179542330163</v>
      </c>
      <c r="G28" s="138">
        <f t="shared" ca="1" si="1"/>
        <v>49</v>
      </c>
      <c r="H28" s="31">
        <f ca="1">VLOOKUP(A28,Rankings!$B$1:$H$651,7,FALSE)+(RAND()*0.00001)</f>
        <v>2.820675508795202</v>
      </c>
      <c r="I28" s="31">
        <f ca="1">H28-VLOOKUP(Settings!$K$8+Settings!$K$9,G$2:H$251,2,FALSE)</f>
        <v>3.6882512280227999</v>
      </c>
      <c r="J28" s="31" t="str">
        <f>VLOOKUP(A28,Rankings!B:D,3,FALSE)</f>
        <v>NL</v>
      </c>
    </row>
    <row r="29" spans="1:10" ht="18.600000000000001" customHeight="1">
      <c r="A29" s="26" t="s">
        <v>162</v>
      </c>
      <c r="B29" s="27" t="s">
        <v>120</v>
      </c>
      <c r="C29" s="36" t="s">
        <v>31</v>
      </c>
      <c r="D29" s="138">
        <f t="shared" ca="1" si="0"/>
        <v>27</v>
      </c>
      <c r="E29" s="31">
        <f ca="1">VLOOKUP(A29,Rankings!$B$1:$H$651,6,FALSE)+(RAND()*0.00001)</f>
        <v>438.3288897081834</v>
      </c>
      <c r="F29" s="31">
        <f ca="1">E29-VLOOKUP(Settings!$K$8+Settings!$K$9,D$2:E$251,2,FALSE)</f>
        <v>178.20721548716148</v>
      </c>
      <c r="G29" s="138">
        <f t="shared" ca="1" si="1"/>
        <v>37</v>
      </c>
      <c r="H29" s="31">
        <f ca="1">VLOOKUP(A29,Rankings!$B$1:$H$651,7,FALSE)+(RAND()*0.00001)</f>
        <v>3.710362898175811</v>
      </c>
      <c r="I29" s="31">
        <f ca="1">H29-VLOOKUP(Settings!$K$8+Settings!$K$9,G$2:H$251,2,FALSE)</f>
        <v>4.5779386174034089</v>
      </c>
      <c r="J29" s="31" t="str">
        <f>VLOOKUP(A29,Rankings!B:D,3,FALSE)</f>
        <v>NL</v>
      </c>
    </row>
    <row r="30" spans="1:10" ht="18.600000000000001" customHeight="1">
      <c r="A30" s="26" t="s">
        <v>210</v>
      </c>
      <c r="B30" s="27" t="s">
        <v>71</v>
      </c>
      <c r="C30" s="36" t="s">
        <v>31</v>
      </c>
      <c r="D30" s="138">
        <f t="shared" ca="1" si="0"/>
        <v>28</v>
      </c>
      <c r="E30" s="31">
        <f ca="1">VLOOKUP(A30,Rankings!$B$1:$H$651,6,FALSE)+(RAND()*0.00001)</f>
        <v>431.84155614173812</v>
      </c>
      <c r="F30" s="31">
        <f ca="1">E30-VLOOKUP(Settings!$K$8+Settings!$K$9,D$2:E$251,2,FALSE)</f>
        <v>171.7198819207162</v>
      </c>
      <c r="G30" s="138">
        <f t="shared" ca="1" si="1"/>
        <v>35</v>
      </c>
      <c r="H30" s="31">
        <f ca="1">VLOOKUP(A30,Rankings!$B$1:$H$651,7,FALSE)+(RAND()*0.00001)</f>
        <v>3.7768978318884114</v>
      </c>
      <c r="I30" s="31">
        <f ca="1">H30-VLOOKUP(Settings!$K$8+Settings!$K$9,G$2:H$251,2,FALSE)</f>
        <v>4.6444735511160093</v>
      </c>
      <c r="J30" s="31" t="str">
        <f>VLOOKUP(A30,Rankings!B:D,3,FALSE)</f>
        <v>AL</v>
      </c>
    </row>
    <row r="31" spans="1:10" ht="18.600000000000001" customHeight="1">
      <c r="A31" s="26" t="s">
        <v>193</v>
      </c>
      <c r="B31" s="27" t="s">
        <v>101</v>
      </c>
      <c r="C31" s="36" t="s">
        <v>31</v>
      </c>
      <c r="D31" s="138">
        <f t="shared" ca="1" si="0"/>
        <v>37</v>
      </c>
      <c r="E31" s="31">
        <f ca="1">VLOOKUP(A31,Rankings!$B$1:$H$651,6,FALSE)+(RAND()*0.00001)</f>
        <v>406.80829848518368</v>
      </c>
      <c r="F31" s="31">
        <f ca="1">E31-VLOOKUP(Settings!$K$8+Settings!$K$9,D$2:E$251,2,FALSE)</f>
        <v>146.68662426416176</v>
      </c>
      <c r="G31" s="138">
        <f t="shared" ca="1" si="1"/>
        <v>43</v>
      </c>
      <c r="H31" s="31">
        <f ca="1">VLOOKUP(A31,Rankings!$B$1:$H$651,7,FALSE)+(RAND()*0.00001)</f>
        <v>3.1989418088304404</v>
      </c>
      <c r="I31" s="31">
        <f ca="1">H31-VLOOKUP(Settings!$K$8+Settings!$K$9,G$2:H$251,2,FALSE)</f>
        <v>4.0665175280580383</v>
      </c>
      <c r="J31" s="31" t="str">
        <f>VLOOKUP(A31,Rankings!B:D,3,FALSE)</f>
        <v>AL</v>
      </c>
    </row>
    <row r="32" spans="1:10" ht="18.600000000000001" customHeight="1">
      <c r="A32" s="26" t="s">
        <v>231</v>
      </c>
      <c r="B32" s="27" t="s">
        <v>223</v>
      </c>
      <c r="C32" s="36" t="s">
        <v>31</v>
      </c>
      <c r="D32" s="138">
        <f t="shared" ca="1" si="0"/>
        <v>48</v>
      </c>
      <c r="E32" s="31">
        <f ca="1">VLOOKUP(A32,Rankings!$B$1:$H$651,6,FALSE)+(RAND()*0.00001)</f>
        <v>388.58426697196677</v>
      </c>
      <c r="F32" s="31">
        <f ca="1">E32-VLOOKUP(Settings!$K$8+Settings!$K$9,D$2:E$251,2,FALSE)</f>
        <v>128.46259275094485</v>
      </c>
      <c r="G32" s="138">
        <f t="shared" ca="1" si="1"/>
        <v>71</v>
      </c>
      <c r="H32" s="31">
        <f ca="1">VLOOKUP(A32,Rankings!$B$1:$H$651,7,FALSE)+(RAND()*0.00001)</f>
        <v>1.5968365848178339</v>
      </c>
      <c r="I32" s="31">
        <f ca="1">H32-VLOOKUP(Settings!$K$8+Settings!$K$9,G$2:H$251,2,FALSE)</f>
        <v>2.4644123040454318</v>
      </c>
      <c r="J32" s="31" t="str">
        <f>VLOOKUP(A32,Rankings!B:D,3,FALSE)</f>
        <v>NL</v>
      </c>
    </row>
    <row r="33" spans="1:10" ht="18.600000000000001" customHeight="1">
      <c r="A33" s="26" t="s">
        <v>153</v>
      </c>
      <c r="B33" s="27" t="s">
        <v>68</v>
      </c>
      <c r="C33" s="36" t="s">
        <v>31</v>
      </c>
      <c r="D33" s="138">
        <f t="shared" ca="1" si="0"/>
        <v>39</v>
      </c>
      <c r="E33" s="31">
        <f ca="1">VLOOKUP(A33,Rankings!$B$1:$H$651,6,FALSE)+(RAND()*0.00001)</f>
        <v>400.52174690295175</v>
      </c>
      <c r="F33" s="31">
        <f ca="1">E33-VLOOKUP(Settings!$K$8+Settings!$K$9,D$2:E$251,2,FALSE)</f>
        <v>140.40007268192983</v>
      </c>
      <c r="G33" s="138">
        <f t="shared" ca="1" si="1"/>
        <v>46</v>
      </c>
      <c r="H33" s="31">
        <f ca="1">VLOOKUP(A33,Rankings!$B$1:$H$651,7,FALSE)+(RAND()*0.00001)</f>
        <v>2.9984731962918851</v>
      </c>
      <c r="I33" s="31">
        <f ca="1">H33-VLOOKUP(Settings!$K$8+Settings!$K$9,G$2:H$251,2,FALSE)</f>
        <v>3.866048915519483</v>
      </c>
      <c r="J33" s="31" t="str">
        <f>VLOOKUP(A33,Rankings!B:D,3,FALSE)</f>
        <v>AL</v>
      </c>
    </row>
    <row r="34" spans="1:10" ht="18.600000000000001" customHeight="1">
      <c r="A34" s="26" t="s">
        <v>748</v>
      </c>
      <c r="B34" s="27" t="s">
        <v>120</v>
      </c>
      <c r="C34" s="36" t="s">
        <v>31</v>
      </c>
      <c r="D34" s="138">
        <f t="shared" ca="1" si="0"/>
        <v>72</v>
      </c>
      <c r="E34" s="31">
        <f ca="1">VLOOKUP(A34,Rankings!$B$1:$H$651,6,FALSE)+(RAND()*0.00001)</f>
        <v>341.93435969344011</v>
      </c>
      <c r="F34" s="31">
        <f ca="1">E34-VLOOKUP(Settings!$K$8+Settings!$K$9,D$2:E$251,2,FALSE)</f>
        <v>81.812685472418195</v>
      </c>
      <c r="G34" s="138">
        <f t="shared" ca="1" si="1"/>
        <v>48</v>
      </c>
      <c r="H34" s="31">
        <f ca="1">VLOOKUP(A34,Rankings!$B$1:$H$651,7,FALSE)+(RAND()*0.00001)</f>
        <v>2.8678406941035846</v>
      </c>
      <c r="I34" s="31">
        <f ca="1">H34-VLOOKUP(Settings!$K$8+Settings!$K$9,G$2:H$251,2,FALSE)</f>
        <v>3.7354164133311825</v>
      </c>
      <c r="J34" s="31" t="str">
        <f>VLOOKUP(A34,Rankings!B:D,3,FALSE)</f>
        <v>AL</v>
      </c>
    </row>
    <row r="35" spans="1:10" ht="18.600000000000001" customHeight="1">
      <c r="A35" s="26" t="s">
        <v>170</v>
      </c>
      <c r="B35" s="27" t="s">
        <v>68</v>
      </c>
      <c r="C35" s="36" t="s">
        <v>31</v>
      </c>
      <c r="D35" s="138">
        <f t="shared" ca="1" si="0"/>
        <v>31</v>
      </c>
      <c r="E35" s="31">
        <f ca="1">VLOOKUP(A35,Rankings!$B$1:$H$651,6,FALSE)+(RAND()*0.00001)</f>
        <v>413.51117527811601</v>
      </c>
      <c r="F35" s="31">
        <f ca="1">E35-VLOOKUP(Settings!$K$8+Settings!$K$9,D$2:E$251,2,FALSE)</f>
        <v>153.38950105709409</v>
      </c>
      <c r="G35" s="138">
        <f t="shared" ca="1" si="1"/>
        <v>42</v>
      </c>
      <c r="H35" s="31">
        <f ca="1">VLOOKUP(A35,Rankings!$B$1:$H$651,7,FALSE)+(RAND()*0.00001)</f>
        <v>3.261313949421857</v>
      </c>
      <c r="I35" s="31">
        <f ca="1">H35-VLOOKUP(Settings!$K$8+Settings!$K$9,G$2:H$251,2,FALSE)</f>
        <v>4.1288896686494549</v>
      </c>
      <c r="J35" s="31" t="str">
        <f>VLOOKUP(A35,Rankings!B:D,3,FALSE)</f>
        <v>AL</v>
      </c>
    </row>
    <row r="36" spans="1:10" ht="18.600000000000001" customHeight="1">
      <c r="A36" s="26" t="s">
        <v>171</v>
      </c>
      <c r="B36" s="27" t="s">
        <v>63</v>
      </c>
      <c r="C36" s="36" t="s">
        <v>31</v>
      </c>
      <c r="D36" s="138">
        <f t="shared" ca="1" si="0"/>
        <v>35</v>
      </c>
      <c r="E36" s="31">
        <f ca="1">VLOOKUP(A36,Rankings!$B$1:$H$651,6,FALSE)+(RAND()*0.00001)</f>
        <v>411.52083549173921</v>
      </c>
      <c r="F36" s="31">
        <f ca="1">E36-VLOOKUP(Settings!$K$8+Settings!$K$9,D$2:E$251,2,FALSE)</f>
        <v>151.39916127071729</v>
      </c>
      <c r="G36" s="138">
        <f t="shared" ca="1" si="1"/>
        <v>41</v>
      </c>
      <c r="H36" s="31">
        <f ca="1">VLOOKUP(A36,Rankings!$B$1:$H$651,7,FALSE)+(RAND()*0.00001)</f>
        <v>3.2878952684767837</v>
      </c>
      <c r="I36" s="31">
        <f ca="1">H36-VLOOKUP(Settings!$K$8+Settings!$K$9,G$2:H$251,2,FALSE)</f>
        <v>4.1554709877043816</v>
      </c>
      <c r="J36" s="31" t="str">
        <f>VLOOKUP(A36,Rankings!B:D,3,FALSE)</f>
        <v>NL</v>
      </c>
    </row>
    <row r="37" spans="1:10" ht="18.600000000000001" customHeight="1">
      <c r="A37" s="26" t="s">
        <v>207</v>
      </c>
      <c r="B37" s="27" t="s">
        <v>94</v>
      </c>
      <c r="C37" s="36" t="s">
        <v>31</v>
      </c>
      <c r="D37" s="138">
        <f t="shared" ca="1" si="0"/>
        <v>34</v>
      </c>
      <c r="E37" s="31">
        <f ca="1">VLOOKUP(A37,Rankings!$B$1:$H$651,6,FALSE)+(RAND()*0.00001)</f>
        <v>412.2959719473381</v>
      </c>
      <c r="F37" s="31">
        <f ca="1">E37-VLOOKUP(Settings!$K$8+Settings!$K$9,D$2:E$251,2,FALSE)</f>
        <v>152.17429772631618</v>
      </c>
      <c r="G37" s="138">
        <f t="shared" ca="1" si="1"/>
        <v>56</v>
      </c>
      <c r="H37" s="31">
        <f ca="1">VLOOKUP(A37,Rankings!$B$1:$H$651,7,FALSE)+(RAND()*0.00001)</f>
        <v>2.3776518474323343</v>
      </c>
      <c r="I37" s="31">
        <f ca="1">H37-VLOOKUP(Settings!$K$8+Settings!$K$9,G$2:H$251,2,FALSE)</f>
        <v>3.2452275666599322</v>
      </c>
      <c r="J37" s="31" t="str">
        <f>VLOOKUP(A37,Rankings!B:D,3,FALSE)</f>
        <v>AL</v>
      </c>
    </row>
    <row r="38" spans="1:10" ht="18.600000000000001" customHeight="1">
      <c r="A38" s="26" t="s">
        <v>225</v>
      </c>
      <c r="B38" s="27" t="s">
        <v>71</v>
      </c>
      <c r="C38" s="36" t="s">
        <v>31</v>
      </c>
      <c r="D38" s="138">
        <f t="shared" ca="1" si="0"/>
        <v>33</v>
      </c>
      <c r="E38" s="31">
        <f ca="1">VLOOKUP(A38,Rankings!$B$1:$H$651,6,FALSE)+(RAND()*0.00001)</f>
        <v>412.44922244489425</v>
      </c>
      <c r="F38" s="31">
        <f ca="1">E38-VLOOKUP(Settings!$K$8+Settings!$K$9,D$2:E$251,2,FALSE)</f>
        <v>152.32754822387233</v>
      </c>
      <c r="G38" s="138">
        <f t="shared" ca="1" si="1"/>
        <v>57</v>
      </c>
      <c r="H38" s="31">
        <f ca="1">VLOOKUP(A38,Rankings!$B$1:$H$651,7,FALSE)+(RAND()*0.00001)</f>
        <v>2.2884503638851017</v>
      </c>
      <c r="I38" s="31">
        <f ca="1">H38-VLOOKUP(Settings!$K$8+Settings!$K$9,G$2:H$251,2,FALSE)</f>
        <v>3.1560260831126996</v>
      </c>
      <c r="J38" s="31" t="str">
        <f>VLOOKUP(A38,Rankings!B:D,3,FALSE)</f>
        <v>AL</v>
      </c>
    </row>
    <row r="39" spans="1:10" ht="18.600000000000001" customHeight="1">
      <c r="A39" s="26" t="s">
        <v>109</v>
      </c>
      <c r="B39" s="27" t="s">
        <v>76</v>
      </c>
      <c r="C39" s="42" t="s">
        <v>34</v>
      </c>
      <c r="D39" s="138">
        <f t="shared" ca="1" si="0"/>
        <v>36</v>
      </c>
      <c r="E39" s="31">
        <f ca="1">VLOOKUP(A39,Rankings!$B$1:$H$651,6,FALSE)+(RAND()*0.00001)</f>
        <v>411.45306084498725</v>
      </c>
      <c r="F39" s="31">
        <f ca="1">E39-VLOOKUP(Settings!$K$8+Settings!$K$9,D$2:E$251,2,FALSE)</f>
        <v>151.33138662396533</v>
      </c>
      <c r="G39" s="138">
        <f t="shared" ca="1" si="1"/>
        <v>3</v>
      </c>
      <c r="H39" s="31">
        <f ca="1">VLOOKUP(A39,Rankings!$B$1:$H$651,7,FALSE)+(RAND()*0.00001)</f>
        <v>7.9587362435029698</v>
      </c>
      <c r="I39" s="31">
        <f ca="1">H39-VLOOKUP(Settings!$K$8+Settings!$K$9,G$2:H$251,2,FALSE)</f>
        <v>8.8263119627305677</v>
      </c>
      <c r="J39" s="31" t="str">
        <f>VLOOKUP(A39,Rankings!B:D,3,FALSE)</f>
        <v>AL</v>
      </c>
    </row>
    <row r="40" spans="1:10" ht="18.600000000000001" customHeight="1">
      <c r="A40" s="26" t="s">
        <v>236</v>
      </c>
      <c r="B40" s="27" t="s">
        <v>73</v>
      </c>
      <c r="C40" s="36" t="s">
        <v>31</v>
      </c>
      <c r="D40" s="138">
        <f t="shared" ca="1" si="0"/>
        <v>43</v>
      </c>
      <c r="E40" s="31">
        <f ca="1">VLOOKUP(A40,Rankings!$B$1:$H$651,6,FALSE)+(RAND()*0.00001)</f>
        <v>397.73540957456072</v>
      </c>
      <c r="F40" s="31">
        <f ca="1">E40-VLOOKUP(Settings!$K$8+Settings!$K$9,D$2:E$251,2,FALSE)</f>
        <v>137.6137353535388</v>
      </c>
      <c r="G40" s="138">
        <f t="shared" ca="1" si="1"/>
        <v>78</v>
      </c>
      <c r="H40" s="31">
        <f ca="1">VLOOKUP(A40,Rankings!$B$1:$H$651,7,FALSE)+(RAND()*0.00001)</f>
        <v>1.2721650165561054</v>
      </c>
      <c r="I40" s="31">
        <f ca="1">H40-VLOOKUP(Settings!$K$8+Settings!$K$9,G$2:H$251,2,FALSE)</f>
        <v>2.1397407357837031</v>
      </c>
      <c r="J40" s="31" t="str">
        <f>VLOOKUP(A40,Rankings!B:D,3,FALSE)</f>
        <v>NL</v>
      </c>
    </row>
    <row r="41" spans="1:10" ht="18.600000000000001" customHeight="1">
      <c r="A41" s="26" t="s">
        <v>296</v>
      </c>
      <c r="B41" s="27" t="s">
        <v>95</v>
      </c>
      <c r="C41" s="36" t="s">
        <v>31</v>
      </c>
      <c r="D41" s="138">
        <f t="shared" ca="1" si="0"/>
        <v>52</v>
      </c>
      <c r="E41" s="31">
        <f ca="1">VLOOKUP(A41,Rankings!$B$1:$H$651,6,FALSE)+(RAND()*0.00001)</f>
        <v>378.15933549039153</v>
      </c>
      <c r="F41" s="31">
        <f ca="1">E41-VLOOKUP(Settings!$K$8+Settings!$K$9,D$2:E$251,2,FALSE)</f>
        <v>118.03766126936961</v>
      </c>
      <c r="G41" s="138">
        <f t="shared" ca="1" si="1"/>
        <v>76</v>
      </c>
      <c r="H41" s="31">
        <f ca="1">VLOOKUP(A41,Rankings!$B$1:$H$651,7,FALSE)+(RAND()*0.00001)</f>
        <v>1.3272264426428997</v>
      </c>
      <c r="I41" s="31">
        <f ca="1">H41-VLOOKUP(Settings!$K$8+Settings!$K$9,G$2:H$251,2,FALSE)</f>
        <v>2.1948021618704976</v>
      </c>
      <c r="J41" s="31" t="str">
        <f>VLOOKUP(A41,Rankings!B:D,3,FALSE)</f>
        <v>NL</v>
      </c>
    </row>
    <row r="42" spans="1:10" ht="18.600000000000001" customHeight="1">
      <c r="A42" s="26" t="s">
        <v>240</v>
      </c>
      <c r="B42" s="27" t="s">
        <v>73</v>
      </c>
      <c r="C42" s="36" t="s">
        <v>31</v>
      </c>
      <c r="D42" s="138">
        <f t="shared" ca="1" si="0"/>
        <v>38</v>
      </c>
      <c r="E42" s="31">
        <f ca="1">VLOOKUP(A42,Rankings!$B$1:$H$651,6,FALSE)+(RAND()*0.00001)</f>
        <v>401.68305727525154</v>
      </c>
      <c r="F42" s="31">
        <f ca="1">E42-VLOOKUP(Settings!$K$8+Settings!$K$9,D$2:E$251,2,FALSE)</f>
        <v>141.56138305422962</v>
      </c>
      <c r="G42" s="138">
        <f t="shared" ca="1" si="1"/>
        <v>58</v>
      </c>
      <c r="H42" s="31">
        <f ca="1">VLOOKUP(A42,Rankings!$B$1:$H$651,7,FALSE)+(RAND()*0.00001)</f>
        <v>2.1841035120518533</v>
      </c>
      <c r="I42" s="31">
        <f ca="1">H42-VLOOKUP(Settings!$K$8+Settings!$K$9,G$2:H$251,2,FALSE)</f>
        <v>3.0516792312794512</v>
      </c>
      <c r="J42" s="31" t="str">
        <f>VLOOKUP(A42,Rankings!B:D,3,FALSE)</f>
        <v>NL</v>
      </c>
    </row>
    <row r="43" spans="1:10" ht="18.600000000000001" customHeight="1">
      <c r="A43" s="26" t="s">
        <v>244</v>
      </c>
      <c r="B43" s="27" t="s">
        <v>156</v>
      </c>
      <c r="C43" s="36" t="s">
        <v>31</v>
      </c>
      <c r="D43" s="138">
        <f t="shared" ca="1" si="0"/>
        <v>45</v>
      </c>
      <c r="E43" s="31">
        <f ca="1">VLOOKUP(A43,Rankings!$B$1:$H$651,6,FALSE)+(RAND()*0.00001)</f>
        <v>391.7394685258389</v>
      </c>
      <c r="F43" s="31">
        <f ca="1">E43-VLOOKUP(Settings!$K$8+Settings!$K$9,D$2:E$251,2,FALSE)</f>
        <v>131.61779430481698</v>
      </c>
      <c r="G43" s="138">
        <f t="shared" ca="1" si="1"/>
        <v>59</v>
      </c>
      <c r="H43" s="31">
        <f ca="1">VLOOKUP(A43,Rankings!$B$1:$H$651,7,FALSE)+(RAND()*0.00001)</f>
        <v>2.1720890212853008</v>
      </c>
      <c r="I43" s="31">
        <f ca="1">H43-VLOOKUP(Settings!$K$8+Settings!$K$9,G$2:H$251,2,FALSE)</f>
        <v>3.0396647405128987</v>
      </c>
      <c r="J43" s="31" t="str">
        <f>VLOOKUP(A43,Rankings!B:D,3,FALSE)</f>
        <v>AL</v>
      </c>
    </row>
    <row r="44" spans="1:10" ht="18.600000000000001" customHeight="1">
      <c r="A44" s="26" t="s">
        <v>232</v>
      </c>
      <c r="B44" s="27" t="s">
        <v>123</v>
      </c>
      <c r="C44" s="36" t="s">
        <v>31</v>
      </c>
      <c r="D44" s="138">
        <f t="shared" ca="1" si="0"/>
        <v>41</v>
      </c>
      <c r="E44" s="31">
        <f ca="1">VLOOKUP(A44,Rankings!$B$1:$H$651,6,FALSE)+(RAND()*0.00001)</f>
        <v>399.81513542618876</v>
      </c>
      <c r="F44" s="31">
        <f ca="1">E44-VLOOKUP(Settings!$K$8+Settings!$K$9,D$2:E$251,2,FALSE)</f>
        <v>139.69346120516684</v>
      </c>
      <c r="G44" s="138">
        <f t="shared" ca="1" si="1"/>
        <v>61</v>
      </c>
      <c r="H44" s="31">
        <f ca="1">VLOOKUP(A44,Rankings!$B$1:$H$651,7,FALSE)+(RAND()*0.00001)</f>
        <v>2.0175984268283638</v>
      </c>
      <c r="I44" s="31">
        <f ca="1">H44-VLOOKUP(Settings!$K$8+Settings!$K$9,G$2:H$251,2,FALSE)</f>
        <v>2.8851741460559617</v>
      </c>
      <c r="J44" s="31" t="str">
        <f>VLOOKUP(A44,Rankings!B:D,3,FALSE)</f>
        <v>NL</v>
      </c>
    </row>
    <row r="45" spans="1:10" ht="18.600000000000001" customHeight="1">
      <c r="A45" s="26" t="s">
        <v>261</v>
      </c>
      <c r="B45" s="27" t="s">
        <v>123</v>
      </c>
      <c r="C45" s="36" t="s">
        <v>31</v>
      </c>
      <c r="D45" s="138">
        <f t="shared" ca="1" si="0"/>
        <v>42</v>
      </c>
      <c r="E45" s="31">
        <f ca="1">VLOOKUP(A45,Rankings!$B$1:$H$651,6,FALSE)+(RAND()*0.00001)</f>
        <v>398.02587242215577</v>
      </c>
      <c r="F45" s="31">
        <f ca="1">E45-VLOOKUP(Settings!$K$8+Settings!$K$9,D$2:E$251,2,FALSE)</f>
        <v>137.90419820113385</v>
      </c>
      <c r="G45" s="138">
        <f t="shared" ca="1" si="1"/>
        <v>81</v>
      </c>
      <c r="H45" s="31">
        <f ca="1">VLOOKUP(A45,Rankings!$B$1:$H$651,7,FALSE)+(RAND()*0.00001)</f>
        <v>1.134430549179539</v>
      </c>
      <c r="I45" s="31">
        <f ca="1">H45-VLOOKUP(Settings!$K$8+Settings!$K$9,G$2:H$251,2,FALSE)</f>
        <v>2.0020062684071371</v>
      </c>
      <c r="J45" s="31" t="str">
        <f>VLOOKUP(A45,Rankings!B:D,3,FALSE)</f>
        <v>NL</v>
      </c>
    </row>
    <row r="46" spans="1:10" ht="18.600000000000001" customHeight="1">
      <c r="A46" s="26" t="s">
        <v>214</v>
      </c>
      <c r="B46" s="27" t="s">
        <v>114</v>
      </c>
      <c r="C46" s="36" t="s">
        <v>31</v>
      </c>
      <c r="D46" s="138">
        <f t="shared" ca="1" si="0"/>
        <v>46</v>
      </c>
      <c r="E46" s="31">
        <f ca="1">VLOOKUP(A46,Rankings!$B$1:$H$651,6,FALSE)+(RAND()*0.00001)</f>
        <v>390.26389477273091</v>
      </c>
      <c r="F46" s="31">
        <f ca="1">E46-VLOOKUP(Settings!$K$8+Settings!$K$9,D$2:E$251,2,FALSE)</f>
        <v>130.14222055170899</v>
      </c>
      <c r="G46" s="138">
        <f t="shared" ca="1" si="1"/>
        <v>67</v>
      </c>
      <c r="H46" s="31">
        <f ca="1">VLOOKUP(A46,Rankings!$B$1:$H$651,7,FALSE)+(RAND()*0.00001)</f>
        <v>1.827159060003688</v>
      </c>
      <c r="I46" s="31">
        <f ca="1">H46-VLOOKUP(Settings!$K$8+Settings!$K$9,G$2:H$251,2,FALSE)</f>
        <v>2.6947347792312861</v>
      </c>
      <c r="J46" s="31" t="str">
        <f>VLOOKUP(A46,Rankings!B:D,3,FALSE)</f>
        <v>AL</v>
      </c>
    </row>
    <row r="47" spans="1:10" ht="18.600000000000001" customHeight="1">
      <c r="A47" s="26" t="s">
        <v>277</v>
      </c>
      <c r="B47" s="27" t="s">
        <v>114</v>
      </c>
      <c r="C47" s="36" t="s">
        <v>31</v>
      </c>
      <c r="D47" s="138">
        <f t="shared" ca="1" si="0"/>
        <v>32</v>
      </c>
      <c r="E47" s="31">
        <f ca="1">VLOOKUP(A47,Rankings!$B$1:$H$651,6,FALSE)+(RAND()*0.00001)</f>
        <v>412.66889885998472</v>
      </c>
      <c r="F47" s="31">
        <f ca="1">E47-VLOOKUP(Settings!$K$8+Settings!$K$9,D$2:E$251,2,FALSE)</f>
        <v>152.5472246389628</v>
      </c>
      <c r="G47" s="138">
        <f t="shared" ca="1" si="1"/>
        <v>55</v>
      </c>
      <c r="H47" s="31">
        <f ca="1">VLOOKUP(A47,Rankings!$B$1:$H$651,7,FALSE)+(RAND()*0.00001)</f>
        <v>2.4072110787847714</v>
      </c>
      <c r="I47" s="31">
        <f ca="1">H47-VLOOKUP(Settings!$K$8+Settings!$K$9,G$2:H$251,2,FALSE)</f>
        <v>3.2747867980123693</v>
      </c>
      <c r="J47" s="31" t="str">
        <f>VLOOKUP(A47,Rankings!B:D,3,FALSE)</f>
        <v>AL</v>
      </c>
    </row>
    <row r="48" spans="1:10" ht="18.600000000000001" customHeight="1">
      <c r="A48" s="26" t="s">
        <v>268</v>
      </c>
      <c r="B48" s="27" t="s">
        <v>117</v>
      </c>
      <c r="C48" s="36" t="s">
        <v>31</v>
      </c>
      <c r="D48" s="138">
        <f t="shared" ca="1" si="0"/>
        <v>47</v>
      </c>
      <c r="E48" s="31">
        <f ca="1">VLOOKUP(A48,Rankings!$B$1:$H$651,6,FALSE)+(RAND()*0.00001)</f>
        <v>389.71927194252089</v>
      </c>
      <c r="F48" s="31">
        <f ca="1">E48-VLOOKUP(Settings!$K$8+Settings!$K$9,D$2:E$251,2,FALSE)</f>
        <v>129.59759772149897</v>
      </c>
      <c r="G48" s="138">
        <f t="shared" ca="1" si="1"/>
        <v>82</v>
      </c>
      <c r="H48" s="31">
        <f ca="1">VLOOKUP(A48,Rankings!$B$1:$H$651,7,FALSE)+(RAND()*0.00001)</f>
        <v>1.0694055401271196</v>
      </c>
      <c r="I48" s="31">
        <f ca="1">H48-VLOOKUP(Settings!$K$8+Settings!$K$9,G$2:H$251,2,FALSE)</f>
        <v>1.9369812593547175</v>
      </c>
      <c r="J48" s="31" t="str">
        <f>VLOOKUP(A48,Rankings!B:D,3,FALSE)</f>
        <v>AL</v>
      </c>
    </row>
    <row r="49" spans="1:10" ht="18.600000000000001" customHeight="1">
      <c r="A49" s="26" t="s">
        <v>172</v>
      </c>
      <c r="B49" s="27" t="s">
        <v>63</v>
      </c>
      <c r="C49" s="42" t="s">
        <v>34</v>
      </c>
      <c r="D49" s="138">
        <f t="shared" ca="1" si="0"/>
        <v>50</v>
      </c>
      <c r="E49" s="31">
        <f ca="1">VLOOKUP(A49,Rankings!$B$1:$H$651,6,FALSE)+(RAND()*0.00001)</f>
        <v>381.32167445847989</v>
      </c>
      <c r="F49" s="31">
        <f ca="1">E49-VLOOKUP(Settings!$K$8+Settings!$K$9,D$2:E$251,2,FALSE)</f>
        <v>121.20000023745797</v>
      </c>
      <c r="G49" s="138">
        <f t="shared" ca="1" si="1"/>
        <v>13</v>
      </c>
      <c r="H49" s="31">
        <f ca="1">VLOOKUP(A49,Rankings!$B$1:$H$651,7,FALSE)+(RAND()*0.00001)</f>
        <v>5.7431673440134485</v>
      </c>
      <c r="I49" s="31">
        <f ca="1">H49-VLOOKUP(Settings!$K$8+Settings!$K$9,G$2:H$251,2,FALSE)</f>
        <v>6.6107430632410464</v>
      </c>
      <c r="J49" s="31" t="str">
        <f>VLOOKUP(A49,Rankings!B:D,3,FALSE)</f>
        <v>NL</v>
      </c>
    </row>
    <row r="50" spans="1:10" ht="18.600000000000001" customHeight="1">
      <c r="A50" s="26" t="s">
        <v>154</v>
      </c>
      <c r="B50" s="27" t="s">
        <v>81</v>
      </c>
      <c r="C50" s="36" t="s">
        <v>31</v>
      </c>
      <c r="D50" s="138">
        <f t="shared" ca="1" si="0"/>
        <v>51</v>
      </c>
      <c r="E50" s="31">
        <f ca="1">VLOOKUP(A50,Rankings!$B$1:$H$651,6,FALSE)+(RAND()*0.00001)</f>
        <v>380.0491706664119</v>
      </c>
      <c r="F50" s="31">
        <f ca="1">E50-VLOOKUP(Settings!$K$8+Settings!$K$9,D$2:E$251,2,FALSE)</f>
        <v>119.92749644538998</v>
      </c>
      <c r="G50" s="138">
        <f t="shared" ca="1" si="1"/>
        <v>36</v>
      </c>
      <c r="H50" s="31">
        <f ca="1">VLOOKUP(A50,Rankings!$B$1:$H$651,7,FALSE)+(RAND()*0.00001)</f>
        <v>3.7199257457389412</v>
      </c>
      <c r="I50" s="31">
        <f ca="1">H50-VLOOKUP(Settings!$K$8+Settings!$K$9,G$2:H$251,2,FALSE)</f>
        <v>4.5875014649665395</v>
      </c>
      <c r="J50" s="31" t="str">
        <f>VLOOKUP(A50,Rankings!B:D,3,FALSE)</f>
        <v>NL</v>
      </c>
    </row>
    <row r="51" spans="1:10" ht="18.600000000000001" customHeight="1">
      <c r="A51" s="26" t="s">
        <v>282</v>
      </c>
      <c r="B51" s="27" t="s">
        <v>120</v>
      </c>
      <c r="C51" s="36" t="s">
        <v>31</v>
      </c>
      <c r="D51" s="138">
        <f t="shared" ca="1" si="0"/>
        <v>49</v>
      </c>
      <c r="E51" s="31">
        <f ca="1">VLOOKUP(A51,Rankings!$B$1:$H$651,6,FALSE)+(RAND()*0.00001)</f>
        <v>384.38367517306801</v>
      </c>
      <c r="F51" s="31">
        <f ca="1">E51-VLOOKUP(Settings!$K$8+Settings!$K$9,D$2:E$251,2,FALSE)</f>
        <v>124.26200095204609</v>
      </c>
      <c r="G51" s="138">
        <f t="shared" ca="1" si="1"/>
        <v>97</v>
      </c>
      <c r="H51" s="31">
        <f ca="1">VLOOKUP(A51,Rankings!$B$1:$H$651,7,FALSE)+(RAND()*0.00001)</f>
        <v>0.10782877872882807</v>
      </c>
      <c r="I51" s="31">
        <f ca="1">H51-VLOOKUP(Settings!$K$8+Settings!$K$9,G$2:H$251,2,FALSE)</f>
        <v>0.97540449795642603</v>
      </c>
      <c r="J51" s="31" t="str">
        <f>VLOOKUP(A51,Rankings!B:D,3,FALSE)</f>
        <v>NL</v>
      </c>
    </row>
    <row r="52" spans="1:10" ht="18.600000000000001" customHeight="1">
      <c r="A52" s="26" t="s">
        <v>750</v>
      </c>
      <c r="B52" s="27" t="s">
        <v>78</v>
      </c>
      <c r="C52" s="36" t="s">
        <v>31</v>
      </c>
      <c r="D52" s="138">
        <f t="shared" ca="1" si="0"/>
        <v>53</v>
      </c>
      <c r="E52" s="31">
        <f ca="1">VLOOKUP(A52,Rankings!$B$1:$H$651,6,FALSE)+(RAND()*0.00001)</f>
        <v>377.54388988188583</v>
      </c>
      <c r="F52" s="31">
        <f ca="1">E52-VLOOKUP(Settings!$K$8+Settings!$K$9,D$2:E$251,2,FALSE)</f>
        <v>117.42221566086391</v>
      </c>
      <c r="G52" s="138">
        <f t="shared" ca="1" si="1"/>
        <v>64</v>
      </c>
      <c r="H52" s="31">
        <f ca="1">VLOOKUP(A52,Rankings!$B$1:$H$651,7,FALSE)+(RAND()*0.00001)</f>
        <v>1.9520232416336694</v>
      </c>
      <c r="I52" s="31">
        <f ca="1">H52-VLOOKUP(Settings!$K$8+Settings!$K$9,G$2:H$251,2,FALSE)</f>
        <v>2.819598960861267</v>
      </c>
      <c r="J52" s="31" t="str">
        <f>VLOOKUP(A52,Rankings!B:D,3,FALSE)</f>
        <v>AL</v>
      </c>
    </row>
    <row r="53" spans="1:10" ht="18.600000000000001" customHeight="1">
      <c r="A53" s="26" t="s">
        <v>201</v>
      </c>
      <c r="B53" s="27" t="s">
        <v>156</v>
      </c>
      <c r="C53" s="36" t="s">
        <v>31</v>
      </c>
      <c r="D53" s="138">
        <f t="shared" ca="1" si="0"/>
        <v>40</v>
      </c>
      <c r="E53" s="31">
        <f ca="1">VLOOKUP(A53,Rankings!$B$1:$H$651,6,FALSE)+(RAND()*0.00001)</f>
        <v>400.50277905755308</v>
      </c>
      <c r="F53" s="31">
        <f ca="1">E53-VLOOKUP(Settings!$K$8+Settings!$K$9,D$2:E$251,2,FALSE)</f>
        <v>140.38110483653116</v>
      </c>
      <c r="G53" s="138">
        <f t="shared" ca="1" si="1"/>
        <v>45</v>
      </c>
      <c r="H53" s="31">
        <f ca="1">VLOOKUP(A53,Rankings!$B$1:$H$651,7,FALSE)+(RAND()*0.00001)</f>
        <v>3.051042464931911</v>
      </c>
      <c r="I53" s="31">
        <f ca="1">H53-VLOOKUP(Settings!$K$8+Settings!$K$9,G$2:H$251,2,FALSE)</f>
        <v>3.9186181841595089</v>
      </c>
      <c r="J53" s="31" t="str">
        <f>VLOOKUP(A53,Rankings!B:D,3,FALSE)</f>
        <v>AL</v>
      </c>
    </row>
    <row r="54" spans="1:10" ht="18.600000000000001" customHeight="1">
      <c r="A54" s="26" t="s">
        <v>161</v>
      </c>
      <c r="B54" s="27" t="s">
        <v>94</v>
      </c>
      <c r="C54" s="42" t="s">
        <v>34</v>
      </c>
      <c r="D54" s="138">
        <f t="shared" ca="1" si="0"/>
        <v>54</v>
      </c>
      <c r="E54" s="31">
        <f ca="1">VLOOKUP(A54,Rankings!$B$1:$H$651,6,FALSE)+(RAND()*0.00001)</f>
        <v>377.06916899257567</v>
      </c>
      <c r="F54" s="31">
        <f ca="1">E54-VLOOKUP(Settings!$K$8+Settings!$K$9,D$2:E$251,2,FALSE)</f>
        <v>116.94749477155375</v>
      </c>
      <c r="G54" s="138">
        <f t="shared" ca="1" si="1"/>
        <v>32</v>
      </c>
      <c r="H54" s="31">
        <f ca="1">VLOOKUP(A54,Rankings!$B$1:$H$651,7,FALSE)+(RAND()*0.00001)</f>
        <v>4.2338918260268139</v>
      </c>
      <c r="I54" s="31">
        <f ca="1">H54-VLOOKUP(Settings!$K$8+Settings!$K$9,G$2:H$251,2,FALSE)</f>
        <v>5.1014675452544118</v>
      </c>
      <c r="J54" s="31" t="str">
        <f>VLOOKUP(A54,Rankings!B:D,3,FALSE)</f>
        <v>AL</v>
      </c>
    </row>
    <row r="55" spans="1:10" ht="18.600000000000001" customHeight="1">
      <c r="A55" s="26" t="s">
        <v>224</v>
      </c>
      <c r="B55" s="27" t="s">
        <v>63</v>
      </c>
      <c r="C55" s="36" t="s">
        <v>31</v>
      </c>
      <c r="D55" s="138">
        <f t="shared" ca="1" si="0"/>
        <v>55</v>
      </c>
      <c r="E55" s="31">
        <f ca="1">VLOOKUP(A55,Rankings!$B$1:$H$651,6,FALSE)+(RAND()*0.00001)</f>
        <v>376.55000836965451</v>
      </c>
      <c r="F55" s="31">
        <f ca="1">E55-VLOOKUP(Settings!$K$8+Settings!$K$9,D$2:E$251,2,FALSE)</f>
        <v>116.42833414863259</v>
      </c>
      <c r="G55" s="138">
        <f t="shared" ca="1" si="1"/>
        <v>52</v>
      </c>
      <c r="H55" s="31">
        <f ca="1">VLOOKUP(A55,Rankings!$B$1:$H$651,7,FALSE)+(RAND()*0.00001)</f>
        <v>2.6950207155053305</v>
      </c>
      <c r="I55" s="31">
        <f ca="1">H55-VLOOKUP(Settings!$K$8+Settings!$K$9,G$2:H$251,2,FALSE)</f>
        <v>3.5625964347329284</v>
      </c>
      <c r="J55" s="31" t="str">
        <f>VLOOKUP(A55,Rankings!B:D,3,FALSE)</f>
        <v>NL</v>
      </c>
    </row>
    <row r="56" spans="1:10" ht="18.600000000000001" customHeight="1">
      <c r="A56" s="26" t="s">
        <v>336</v>
      </c>
      <c r="B56" s="27" t="s">
        <v>94</v>
      </c>
      <c r="C56" s="36" t="s">
        <v>31</v>
      </c>
      <c r="D56" s="138">
        <f t="shared" ca="1" si="0"/>
        <v>56</v>
      </c>
      <c r="E56" s="31">
        <f ca="1">VLOOKUP(A56,Rankings!$B$1:$H$651,6,FALSE)+(RAND()*0.00001)</f>
        <v>375.78478308075705</v>
      </c>
      <c r="F56" s="31">
        <f ca="1">E56-VLOOKUP(Settings!$K$8+Settings!$K$9,D$2:E$251,2,FALSE)</f>
        <v>115.66310885973513</v>
      </c>
      <c r="G56" s="138">
        <f t="shared" ca="1" si="1"/>
        <v>88</v>
      </c>
      <c r="H56" s="31">
        <f ca="1">VLOOKUP(A56,Rankings!$B$1:$H$651,7,FALSE)+(RAND()*0.00001)</f>
        <v>0.61040779099781861</v>
      </c>
      <c r="I56" s="31">
        <f ca="1">H56-VLOOKUP(Settings!$K$8+Settings!$K$9,G$2:H$251,2,FALSE)</f>
        <v>1.4779835102254166</v>
      </c>
      <c r="J56" s="31" t="str">
        <f>VLOOKUP(A56,Rankings!B:D,3,FALSE)</f>
        <v>AL</v>
      </c>
    </row>
    <row r="57" spans="1:10" ht="18.600000000000001" customHeight="1">
      <c r="A57" s="26" t="s">
        <v>188</v>
      </c>
      <c r="B57" s="27" t="s">
        <v>73</v>
      </c>
      <c r="C57" s="42" t="s">
        <v>34</v>
      </c>
      <c r="D57" s="138">
        <f t="shared" ca="1" si="0"/>
        <v>78</v>
      </c>
      <c r="E57" s="31">
        <f ca="1">VLOOKUP(A57,Rankings!$B$1:$H$651,6,FALSE)+(RAND()*0.00001)</f>
        <v>337.16611174950202</v>
      </c>
      <c r="F57" s="31">
        <f ca="1">E57-VLOOKUP(Settings!$K$8+Settings!$K$9,D$2:E$251,2,FALSE)</f>
        <v>77.044437528480103</v>
      </c>
      <c r="G57" s="138">
        <f t="shared" ca="1" si="1"/>
        <v>23</v>
      </c>
      <c r="H57" s="31">
        <f ca="1">VLOOKUP(A57,Rankings!$B$1:$H$651,7,FALSE)+(RAND()*0.00001)</f>
        <v>4.5484119690000737</v>
      </c>
      <c r="I57" s="31">
        <f ca="1">H57-VLOOKUP(Settings!$K$8+Settings!$K$9,G$2:H$251,2,FALSE)</f>
        <v>5.4159876882276716</v>
      </c>
      <c r="J57" s="31" t="str">
        <f>VLOOKUP(A57,Rankings!B:D,3,FALSE)</f>
        <v>NL</v>
      </c>
    </row>
    <row r="58" spans="1:10" ht="18.600000000000001" customHeight="1">
      <c r="A58" s="26" t="s">
        <v>278</v>
      </c>
      <c r="B58" s="27" t="s">
        <v>101</v>
      </c>
      <c r="C58" s="36" t="s">
        <v>31</v>
      </c>
      <c r="D58" s="138">
        <f t="shared" ca="1" si="0"/>
        <v>57</v>
      </c>
      <c r="E58" s="31">
        <f ca="1">VLOOKUP(A58,Rankings!$B$1:$H$651,6,FALSE)+(RAND()*0.00001)</f>
        <v>368.65914236003027</v>
      </c>
      <c r="F58" s="31">
        <f ca="1">E58-VLOOKUP(Settings!$K$8+Settings!$K$9,D$2:E$251,2,FALSE)</f>
        <v>108.53746813900835</v>
      </c>
      <c r="G58" s="138">
        <f t="shared" ca="1" si="1"/>
        <v>66</v>
      </c>
      <c r="H58" s="31">
        <f ca="1">VLOOKUP(A58,Rankings!$B$1:$H$651,7,FALSE)+(RAND()*0.00001)</f>
        <v>1.8515114702310773</v>
      </c>
      <c r="I58" s="31">
        <f ca="1">H58-VLOOKUP(Settings!$K$8+Settings!$K$9,G$2:H$251,2,FALSE)</f>
        <v>2.7190871894586754</v>
      </c>
      <c r="J58" s="31" t="str">
        <f>VLOOKUP(A58,Rankings!B:D,3,FALSE)</f>
        <v>AL</v>
      </c>
    </row>
    <row r="59" spans="1:10" ht="18.600000000000001" customHeight="1">
      <c r="A59" s="26" t="s">
        <v>353</v>
      </c>
      <c r="B59" s="27" t="s">
        <v>84</v>
      </c>
      <c r="C59" s="36" t="s">
        <v>31</v>
      </c>
      <c r="D59" s="138">
        <f t="shared" ca="1" si="0"/>
        <v>44</v>
      </c>
      <c r="E59" s="31">
        <f ca="1">VLOOKUP(A59,Rankings!$B$1:$H$651,6,FALSE)+(RAND()*0.00001)</f>
        <v>392.00003344616329</v>
      </c>
      <c r="F59" s="31">
        <f ca="1">E59-VLOOKUP(Settings!$K$8+Settings!$K$9,D$2:E$251,2,FALSE)</f>
        <v>131.87835922514137</v>
      </c>
      <c r="G59" s="138">
        <f t="shared" ca="1" si="1"/>
        <v>53</v>
      </c>
      <c r="H59" s="31">
        <f ca="1">VLOOKUP(A59,Rankings!$B$1:$H$651,7,FALSE)+(RAND()*0.00001)</f>
        <v>2.6095423720860582</v>
      </c>
      <c r="I59" s="31">
        <f ca="1">H59-VLOOKUP(Settings!$K$8+Settings!$K$9,G$2:H$251,2,FALSE)</f>
        <v>3.4771180913136561</v>
      </c>
      <c r="J59" s="31" t="str">
        <f>VLOOKUP(A59,Rankings!B:D,3,FALSE)</f>
        <v>AL</v>
      </c>
    </row>
    <row r="60" spans="1:10" ht="18.600000000000001" customHeight="1">
      <c r="A60" s="26" t="s">
        <v>281</v>
      </c>
      <c r="B60" s="27" t="s">
        <v>84</v>
      </c>
      <c r="C60" s="36" t="s">
        <v>31</v>
      </c>
      <c r="D60" s="138">
        <f t="shared" ca="1" si="0"/>
        <v>58</v>
      </c>
      <c r="E60" s="31">
        <f ca="1">VLOOKUP(A60,Rankings!$B$1:$H$651,6,FALSE)+(RAND()*0.00001)</f>
        <v>361.77523181344679</v>
      </c>
      <c r="F60" s="31">
        <f ca="1">E60-VLOOKUP(Settings!$K$8+Settings!$K$9,D$2:E$251,2,FALSE)</f>
        <v>101.65355759242487</v>
      </c>
      <c r="G60" s="138">
        <f t="shared" ca="1" si="1"/>
        <v>99</v>
      </c>
      <c r="H60" s="31">
        <f ca="1">VLOOKUP(A60,Rankings!$B$1:$H$651,7,FALSE)+(RAND()*0.00001)</f>
        <v>-1.5930918899053029E-2</v>
      </c>
      <c r="I60" s="31">
        <f ca="1">H60-VLOOKUP(Settings!$K$8+Settings!$K$9,G$2:H$251,2,FALSE)</f>
        <v>0.85164480032854484</v>
      </c>
      <c r="J60" s="31" t="str">
        <f>VLOOKUP(A60,Rankings!B:D,3,FALSE)</f>
        <v>AL</v>
      </c>
    </row>
    <row r="61" spans="1:10" ht="18.600000000000001" customHeight="1">
      <c r="A61" s="26" t="s">
        <v>254</v>
      </c>
      <c r="B61" s="27" t="s">
        <v>217</v>
      </c>
      <c r="C61" s="36" t="s">
        <v>31</v>
      </c>
      <c r="D61" s="138">
        <f t="shared" ca="1" si="0"/>
        <v>59</v>
      </c>
      <c r="E61" s="31">
        <f ca="1">VLOOKUP(A61,Rankings!$B$1:$H$651,6,FALSE)+(RAND()*0.00001)</f>
        <v>361.17130206577201</v>
      </c>
      <c r="F61" s="31">
        <f ca="1">E61-VLOOKUP(Settings!$K$8+Settings!$K$9,D$2:E$251,2,FALSE)</f>
        <v>101.04962784475009</v>
      </c>
      <c r="G61" s="138">
        <f t="shared" ca="1" si="1"/>
        <v>80</v>
      </c>
      <c r="H61" s="31">
        <f ca="1">VLOOKUP(A61,Rankings!$B$1:$H$651,7,FALSE)+(RAND()*0.00001)</f>
        <v>1.1871366228931812</v>
      </c>
      <c r="I61" s="31">
        <f ca="1">H61-VLOOKUP(Settings!$K$8+Settings!$K$9,G$2:H$251,2,FALSE)</f>
        <v>2.0547123421207791</v>
      </c>
      <c r="J61" s="31" t="str">
        <f>VLOOKUP(A61,Rankings!B:D,3,FALSE)</f>
        <v>NL</v>
      </c>
    </row>
    <row r="62" spans="1:10" ht="18.600000000000001" customHeight="1">
      <c r="A62" s="26" t="s">
        <v>298</v>
      </c>
      <c r="B62" s="27" t="s">
        <v>86</v>
      </c>
      <c r="C62" s="36" t="s">
        <v>31</v>
      </c>
      <c r="D62" s="138">
        <f t="shared" ca="1" si="0"/>
        <v>60</v>
      </c>
      <c r="E62" s="31">
        <f ca="1">VLOOKUP(A62,Rankings!$B$1:$H$651,6,FALSE)+(RAND()*0.00001)</f>
        <v>360.58333668792125</v>
      </c>
      <c r="F62" s="31">
        <f ca="1">E62-VLOOKUP(Settings!$K$8+Settings!$K$9,D$2:E$251,2,FALSE)</f>
        <v>100.46166246689933</v>
      </c>
      <c r="G62" s="138">
        <f t="shared" ca="1" si="1"/>
        <v>85</v>
      </c>
      <c r="H62" s="31">
        <f ca="1">VLOOKUP(A62,Rankings!$B$1:$H$651,7,FALSE)+(RAND()*0.00001)</f>
        <v>0.72265832868206492</v>
      </c>
      <c r="I62" s="31">
        <f ca="1">H62-VLOOKUP(Settings!$K$8+Settings!$K$9,G$2:H$251,2,FALSE)</f>
        <v>1.5902340479096628</v>
      </c>
      <c r="J62" s="31" t="str">
        <f>VLOOKUP(A62,Rankings!B:D,3,FALSE)</f>
        <v>AL</v>
      </c>
    </row>
    <row r="63" spans="1:10" ht="18.600000000000001" customHeight="1">
      <c r="A63" s="26" t="s">
        <v>167</v>
      </c>
      <c r="B63" s="27" t="s">
        <v>101</v>
      </c>
      <c r="C63" s="36" t="s">
        <v>31</v>
      </c>
      <c r="D63" s="138">
        <f t="shared" ca="1" si="0"/>
        <v>83</v>
      </c>
      <c r="E63" s="31">
        <f ca="1">VLOOKUP(A63,Rankings!$B$1:$H$651,6,FALSE)+(RAND()*0.00001)</f>
        <v>328.1766674566976</v>
      </c>
      <c r="F63" s="31">
        <f ca="1">E63-VLOOKUP(Settings!$K$8+Settings!$K$9,D$2:E$251,2,FALSE)</f>
        <v>68.054993235675681</v>
      </c>
      <c r="G63" s="138">
        <f t="shared" ca="1" si="1"/>
        <v>54</v>
      </c>
      <c r="H63" s="31">
        <f ca="1">VLOOKUP(A63,Rankings!$B$1:$H$651,7,FALSE)+(RAND()*0.00001)</f>
        <v>2.5528639892002616</v>
      </c>
      <c r="I63" s="31">
        <f ca="1">H63-VLOOKUP(Settings!$K$8+Settings!$K$9,G$2:H$251,2,FALSE)</f>
        <v>3.4204397084278595</v>
      </c>
      <c r="J63" s="31" t="str">
        <f>VLOOKUP(A63,Rankings!B:D,3,FALSE)</f>
        <v>AL</v>
      </c>
    </row>
    <row r="64" spans="1:10" ht="18.600000000000001" customHeight="1">
      <c r="A64" s="26" t="s">
        <v>313</v>
      </c>
      <c r="B64" s="27" t="s">
        <v>84</v>
      </c>
      <c r="C64" s="36" t="s">
        <v>31</v>
      </c>
      <c r="D64" s="138">
        <f t="shared" ca="1" si="0"/>
        <v>61</v>
      </c>
      <c r="E64" s="31">
        <f ca="1">VLOOKUP(A64,Rankings!$B$1:$H$651,6,FALSE)+(RAND()*0.00001)</f>
        <v>358.61000989443164</v>
      </c>
      <c r="F64" s="31">
        <f ca="1">E64-VLOOKUP(Settings!$K$8+Settings!$K$9,D$2:E$251,2,FALSE)</f>
        <v>98.488335673409722</v>
      </c>
      <c r="G64" s="138">
        <f t="shared" ca="1" si="1"/>
        <v>86</v>
      </c>
      <c r="H64" s="31">
        <f ca="1">VLOOKUP(A64,Rankings!$B$1:$H$651,7,FALSE)+(RAND()*0.00001)</f>
        <v>0.6889951877003978</v>
      </c>
      <c r="I64" s="31">
        <f ca="1">H64-VLOOKUP(Settings!$K$8+Settings!$K$9,G$2:H$251,2,FALSE)</f>
        <v>1.5565709069279956</v>
      </c>
      <c r="J64" s="31" t="str">
        <f>VLOOKUP(A64,Rankings!B:D,3,FALSE)</f>
        <v>AL</v>
      </c>
    </row>
    <row r="65" spans="1:10" ht="18.600000000000001" customHeight="1">
      <c r="A65" s="26" t="s">
        <v>316</v>
      </c>
      <c r="B65" s="27" t="s">
        <v>158</v>
      </c>
      <c r="C65" s="36" t="s">
        <v>31</v>
      </c>
      <c r="D65" s="138">
        <f t="shared" ca="1" si="0"/>
        <v>64</v>
      </c>
      <c r="E65" s="31">
        <f ca="1">VLOOKUP(A65,Rankings!$B$1:$H$651,6,FALSE)+(RAND()*0.00001)</f>
        <v>352.67678421488955</v>
      </c>
      <c r="F65" s="31">
        <f ca="1">E65-VLOOKUP(Settings!$K$8+Settings!$K$9,D$2:E$251,2,FALSE)</f>
        <v>92.555109993867632</v>
      </c>
      <c r="G65" s="138">
        <f t="shared" ca="1" si="1"/>
        <v>91</v>
      </c>
      <c r="H65" s="31">
        <f ca="1">VLOOKUP(A65,Rankings!$B$1:$H$651,7,FALSE)+(RAND()*0.00001)</f>
        <v>0.28316962471367763</v>
      </c>
      <c r="I65" s="31">
        <f ca="1">H65-VLOOKUP(Settings!$K$8+Settings!$K$9,G$2:H$251,2,FALSE)</f>
        <v>1.1507453439412756</v>
      </c>
      <c r="J65" s="31" t="str">
        <f>VLOOKUP(A65,Rankings!B:D,3,FALSE)</f>
        <v>NL</v>
      </c>
    </row>
    <row r="66" spans="1:10" ht="18.600000000000001" customHeight="1">
      <c r="A66" s="26" t="s">
        <v>181</v>
      </c>
      <c r="B66" s="27" t="s">
        <v>78</v>
      </c>
      <c r="C66" s="42" t="s">
        <v>34</v>
      </c>
      <c r="D66" s="138">
        <f t="shared" ref="D66:D129" ca="1" si="2">RANK(E66,E$2:E$251)</f>
        <v>62</v>
      </c>
      <c r="E66" s="31">
        <f ca="1">VLOOKUP(A66,Rankings!$B$1:$H$651,6,FALSE)+(RAND()*0.00001)</f>
        <v>355.56611205851249</v>
      </c>
      <c r="F66" s="31">
        <f ca="1">E66-VLOOKUP(Settings!$K$8+Settings!$K$9,D$2:E$251,2,FALSE)</f>
        <v>95.444437837490568</v>
      </c>
      <c r="G66" s="138">
        <f t="shared" ref="G66:G129" ca="1" si="3">RANK(H66,H$2:H$251)</f>
        <v>17</v>
      </c>
      <c r="H66" s="31">
        <f ca="1">VLOOKUP(A66,Rankings!$B$1:$H$651,7,FALSE)+(RAND()*0.00001)</f>
        <v>4.9379885454285919</v>
      </c>
      <c r="I66" s="31">
        <f ca="1">H66-VLOOKUP(Settings!$K$8+Settings!$K$9,G$2:H$251,2,FALSE)</f>
        <v>5.8055642646561898</v>
      </c>
      <c r="J66" s="31" t="str">
        <f>VLOOKUP(A66,Rankings!B:D,3,FALSE)</f>
        <v>AL</v>
      </c>
    </row>
    <row r="67" spans="1:10" ht="18.600000000000001" customHeight="1">
      <c r="A67" s="26" t="s">
        <v>174</v>
      </c>
      <c r="B67" s="27" t="s">
        <v>97</v>
      </c>
      <c r="C67" s="42" t="s">
        <v>34</v>
      </c>
      <c r="D67" s="138">
        <f t="shared" ca="1" si="2"/>
        <v>63</v>
      </c>
      <c r="E67" s="31">
        <f ca="1">VLOOKUP(A67,Rankings!$B$1:$H$651,6,FALSE)+(RAND()*0.00001)</f>
        <v>353.69000054474651</v>
      </c>
      <c r="F67" s="31">
        <f ca="1">E67-VLOOKUP(Settings!$K$8+Settings!$K$9,D$2:E$251,2,FALSE)</f>
        <v>93.568326323724591</v>
      </c>
      <c r="G67" s="138">
        <f t="shared" ca="1" si="3"/>
        <v>24</v>
      </c>
      <c r="H67" s="31">
        <f ca="1">VLOOKUP(A67,Rankings!$B$1:$H$651,7,FALSE)+(RAND()*0.00001)</f>
        <v>4.462441224858666</v>
      </c>
      <c r="I67" s="31">
        <f ca="1">H67-VLOOKUP(Settings!$K$8+Settings!$K$9,G$2:H$251,2,FALSE)</f>
        <v>5.3300169440862639</v>
      </c>
      <c r="J67" s="31" t="str">
        <f>VLOOKUP(A67,Rankings!B:D,3,FALSE)</f>
        <v>NL</v>
      </c>
    </row>
    <row r="68" spans="1:10" ht="18.600000000000001" customHeight="1">
      <c r="A68" s="26" t="s">
        <v>253</v>
      </c>
      <c r="B68" s="27" t="s">
        <v>81</v>
      </c>
      <c r="C68" s="36" t="s">
        <v>31</v>
      </c>
      <c r="D68" s="138">
        <f t="shared" ca="1" si="2"/>
        <v>82</v>
      </c>
      <c r="E68" s="31">
        <f ca="1">VLOOKUP(A68,Rankings!$B$1:$H$651,6,FALSE)+(RAND()*0.00001)</f>
        <v>328.56917177912692</v>
      </c>
      <c r="F68" s="31">
        <f ca="1">E68-VLOOKUP(Settings!$K$8+Settings!$K$9,D$2:E$251,2,FALSE)</f>
        <v>68.447497558104999</v>
      </c>
      <c r="G68" s="138">
        <f t="shared" ca="1" si="3"/>
        <v>51</v>
      </c>
      <c r="H68" s="31">
        <f ca="1">VLOOKUP(A68,Rankings!$B$1:$H$651,7,FALSE)+(RAND()*0.00001)</f>
        <v>2.7089154375956896</v>
      </c>
      <c r="I68" s="31">
        <f ca="1">H68-VLOOKUP(Settings!$K$8+Settings!$K$9,G$2:H$251,2,FALSE)</f>
        <v>3.5764911568232876</v>
      </c>
      <c r="J68" s="31" t="str">
        <f>VLOOKUP(A68,Rankings!B:D,3,FALSE)</f>
        <v>NL</v>
      </c>
    </row>
    <row r="69" spans="1:10" ht="18.600000000000001" customHeight="1">
      <c r="A69" s="26" t="s">
        <v>182</v>
      </c>
      <c r="B69" s="27" t="s">
        <v>123</v>
      </c>
      <c r="C69" s="42" t="s">
        <v>34</v>
      </c>
      <c r="D69" s="138">
        <f t="shared" ca="1" si="2"/>
        <v>66</v>
      </c>
      <c r="E69" s="31">
        <f ca="1">VLOOKUP(A69,Rankings!$B$1:$H$651,6,FALSE)+(RAND()*0.00001)</f>
        <v>348.44611707594049</v>
      </c>
      <c r="F69" s="31">
        <f ca="1">E69-VLOOKUP(Settings!$K$8+Settings!$K$9,D$2:E$251,2,FALSE)</f>
        <v>88.324442854918573</v>
      </c>
      <c r="G69" s="138">
        <f t="shared" ca="1" si="3"/>
        <v>21</v>
      </c>
      <c r="H69" s="31">
        <f ca="1">VLOOKUP(A69,Rankings!$B$1:$H$651,7,FALSE)+(RAND()*0.00001)</f>
        <v>4.6530774260855265</v>
      </c>
      <c r="I69" s="31">
        <f ca="1">H69-VLOOKUP(Settings!$K$8+Settings!$K$9,G$2:H$251,2,FALSE)</f>
        <v>5.5206531453131245</v>
      </c>
      <c r="J69" s="31" t="str">
        <f>VLOOKUP(A69,Rankings!B:D,3,FALSE)</f>
        <v>NL</v>
      </c>
    </row>
    <row r="70" spans="1:10" ht="18.600000000000001" customHeight="1">
      <c r="A70" s="26" t="s">
        <v>220</v>
      </c>
      <c r="B70" s="27" t="s">
        <v>156</v>
      </c>
      <c r="C70" s="42" t="s">
        <v>34</v>
      </c>
      <c r="D70" s="138">
        <f t="shared" ca="1" si="2"/>
        <v>106</v>
      </c>
      <c r="E70" s="31">
        <f ca="1">VLOOKUP(A70,Rankings!$B$1:$H$651,6,FALSE)+(RAND()*0.00001)</f>
        <v>298.37445088414609</v>
      </c>
      <c r="F70" s="31">
        <f ca="1">E70-VLOOKUP(Settings!$K$8+Settings!$K$9,D$2:E$251,2,FALSE)</f>
        <v>38.252776663124166</v>
      </c>
      <c r="G70" s="138">
        <f t="shared" ca="1" si="3"/>
        <v>30</v>
      </c>
      <c r="H70" s="31">
        <f ca="1">VLOOKUP(A70,Rankings!$B$1:$H$651,7,FALSE)+(RAND()*0.00001)</f>
        <v>4.262727367637182</v>
      </c>
      <c r="I70" s="31">
        <f ca="1">H70-VLOOKUP(Settings!$K$8+Settings!$K$9,G$2:H$251,2,FALSE)</f>
        <v>5.1303030868647799</v>
      </c>
      <c r="J70" s="31" t="str">
        <f>VLOOKUP(A70,Rankings!B:D,3,FALSE)</f>
        <v>AL</v>
      </c>
    </row>
    <row r="71" spans="1:10" ht="18.600000000000001" customHeight="1">
      <c r="A71" s="26" t="s">
        <v>388</v>
      </c>
      <c r="B71" s="27" t="s">
        <v>86</v>
      </c>
      <c r="C71" s="36" t="s">
        <v>31</v>
      </c>
      <c r="D71" s="138">
        <f t="shared" ca="1" si="2"/>
        <v>65</v>
      </c>
      <c r="E71" s="31">
        <f ca="1">VLOOKUP(A71,Rankings!$B$1:$H$651,6,FALSE)+(RAND()*0.00001)</f>
        <v>348.67547395304297</v>
      </c>
      <c r="F71" s="31">
        <f ca="1">E71-VLOOKUP(Settings!$K$8+Settings!$K$9,D$2:E$251,2,FALSE)</f>
        <v>88.553799732021048</v>
      </c>
      <c r="G71" s="138">
        <f t="shared" ca="1" si="3"/>
        <v>133</v>
      </c>
      <c r="H71" s="31">
        <f ca="1">VLOOKUP(A71,Rankings!$B$1:$H$651,7,FALSE)+(RAND()*0.00001)</f>
        <v>-0.83360149767350378</v>
      </c>
      <c r="I71" s="31">
        <f ca="1">H71-VLOOKUP(Settings!$K$8+Settings!$K$9,G$2:H$251,2,FALSE)</f>
        <v>3.3974221554094131E-2</v>
      </c>
      <c r="J71" s="31" t="str">
        <f>VLOOKUP(A71,Rankings!B:D,3,FALSE)</f>
        <v>AL</v>
      </c>
    </row>
    <row r="72" spans="1:10" ht="18.600000000000001" customHeight="1">
      <c r="A72" s="26" t="s">
        <v>345</v>
      </c>
      <c r="B72" s="27" t="s">
        <v>158</v>
      </c>
      <c r="C72" s="36" t="s">
        <v>31</v>
      </c>
      <c r="D72" s="138">
        <f t="shared" ca="1" si="2"/>
        <v>67</v>
      </c>
      <c r="E72" s="31">
        <f ca="1">VLOOKUP(A72,Rankings!$B$1:$H$651,6,FALSE)+(RAND()*0.00001)</f>
        <v>347.2533419106727</v>
      </c>
      <c r="F72" s="31">
        <f ca="1">E72-VLOOKUP(Settings!$K$8+Settings!$K$9,D$2:E$251,2,FALSE)</f>
        <v>87.131667689650783</v>
      </c>
      <c r="G72" s="138">
        <f t="shared" ca="1" si="3"/>
        <v>103</v>
      </c>
      <c r="H72" s="31">
        <f ca="1">VLOOKUP(A72,Rankings!$B$1:$H$651,7,FALSE)+(RAND()*0.00001)</f>
        <v>-0.1341970105586609</v>
      </c>
      <c r="I72" s="31">
        <f ca="1">H72-VLOOKUP(Settings!$K$8+Settings!$K$9,G$2:H$251,2,FALSE)</f>
        <v>0.73337870866893695</v>
      </c>
      <c r="J72" s="31" t="str">
        <f>VLOOKUP(A72,Rankings!B:D,3,FALSE)</f>
        <v>NL</v>
      </c>
    </row>
    <row r="73" spans="1:10" ht="18.600000000000001" customHeight="1">
      <c r="A73" s="26" t="s">
        <v>384</v>
      </c>
      <c r="B73" s="27" t="s">
        <v>91</v>
      </c>
      <c r="C73" s="36" t="s">
        <v>31</v>
      </c>
      <c r="D73" s="138">
        <f t="shared" ca="1" si="2"/>
        <v>70</v>
      </c>
      <c r="E73" s="31">
        <f ca="1">VLOOKUP(A73,Rankings!$B$1:$H$651,6,FALSE)+(RAND()*0.00001)</f>
        <v>345.71715663210381</v>
      </c>
      <c r="F73" s="31">
        <f ca="1">E73-VLOOKUP(Settings!$K$8+Settings!$K$9,D$2:E$251,2,FALSE)</f>
        <v>85.595482411081889</v>
      </c>
      <c r="G73" s="138">
        <f t="shared" ca="1" si="3"/>
        <v>104</v>
      </c>
      <c r="H73" s="31">
        <f ca="1">VLOOKUP(A73,Rankings!$B$1:$H$651,7,FALSE)+(RAND()*0.00001)</f>
        <v>-0.20077026573523585</v>
      </c>
      <c r="I73" s="31">
        <f ca="1">H73-VLOOKUP(Settings!$K$8+Settings!$K$9,G$2:H$251,2,FALSE)</f>
        <v>0.66680545349236209</v>
      </c>
      <c r="J73" s="31" t="str">
        <f>VLOOKUP(A73,Rankings!B:D,3,FALSE)</f>
        <v>NL</v>
      </c>
    </row>
    <row r="74" spans="1:10" ht="18.600000000000001" customHeight="1">
      <c r="A74" s="26" t="s">
        <v>293</v>
      </c>
      <c r="B74" s="27" t="s">
        <v>86</v>
      </c>
      <c r="C74" s="36" t="s">
        <v>31</v>
      </c>
      <c r="D74" s="138">
        <f t="shared" ca="1" si="2"/>
        <v>76</v>
      </c>
      <c r="E74" s="31">
        <f ca="1">VLOOKUP(A74,Rankings!$B$1:$H$651,6,FALSE)+(RAND()*0.00001)</f>
        <v>339.04411910747461</v>
      </c>
      <c r="F74" s="31">
        <f ca="1">E74-VLOOKUP(Settings!$K$8+Settings!$K$9,D$2:E$251,2,FALSE)</f>
        <v>78.922444886452695</v>
      </c>
      <c r="G74" s="138">
        <f t="shared" ca="1" si="3"/>
        <v>87</v>
      </c>
      <c r="H74" s="31">
        <f ca="1">VLOOKUP(A74,Rankings!$B$1:$H$651,7,FALSE)+(RAND()*0.00001)</f>
        <v>0.63917992273196977</v>
      </c>
      <c r="I74" s="31">
        <f ca="1">H74-VLOOKUP(Settings!$K$8+Settings!$K$9,G$2:H$251,2,FALSE)</f>
        <v>1.5067556419595678</v>
      </c>
      <c r="J74" s="31" t="str">
        <f>VLOOKUP(A74,Rankings!B:D,3,FALSE)</f>
        <v>AL</v>
      </c>
    </row>
    <row r="75" spans="1:10" ht="18.600000000000001" customHeight="1">
      <c r="A75" s="26" t="s">
        <v>230</v>
      </c>
      <c r="B75" s="27" t="s">
        <v>81</v>
      </c>
      <c r="C75" s="36" t="s">
        <v>31</v>
      </c>
      <c r="D75" s="138">
        <f t="shared" ca="1" si="2"/>
        <v>79</v>
      </c>
      <c r="E75" s="31">
        <f ca="1">VLOOKUP(A75,Rankings!$B$1:$H$651,6,FALSE)+(RAND()*0.00001)</f>
        <v>335.04627320613275</v>
      </c>
      <c r="F75" s="31">
        <f ca="1">E75-VLOOKUP(Settings!$K$8+Settings!$K$9,D$2:E$251,2,FALSE)</f>
        <v>74.924598985110833</v>
      </c>
      <c r="G75" s="138">
        <f t="shared" ca="1" si="3"/>
        <v>83</v>
      </c>
      <c r="H75" s="31">
        <f ca="1">VLOOKUP(A75,Rankings!$B$1:$H$651,7,FALSE)+(RAND()*0.00001)</f>
        <v>1.0302182001646787</v>
      </c>
      <c r="I75" s="31">
        <f ca="1">H75-VLOOKUP(Settings!$K$8+Settings!$K$9,G$2:H$251,2,FALSE)</f>
        <v>1.8977939193922766</v>
      </c>
      <c r="J75" s="31" t="str">
        <f>VLOOKUP(A75,Rankings!B:D,3,FALSE)</f>
        <v>NL</v>
      </c>
    </row>
    <row r="76" spans="1:10" ht="18.600000000000001" customHeight="1">
      <c r="A76" s="26" t="s">
        <v>319</v>
      </c>
      <c r="B76" s="27" t="s">
        <v>123</v>
      </c>
      <c r="C76" s="36" t="s">
        <v>31</v>
      </c>
      <c r="D76" s="138">
        <f t="shared" ca="1" si="2"/>
        <v>100</v>
      </c>
      <c r="E76" s="31">
        <f ca="1">VLOOKUP(A76,Rankings!$B$1:$H$651,6,FALSE)+(RAND()*0.00001)</f>
        <v>307.17036768600599</v>
      </c>
      <c r="F76" s="31">
        <f ca="1">E76-VLOOKUP(Settings!$K$8+Settings!$K$9,D$2:E$251,2,FALSE)</f>
        <v>47.048693464984069</v>
      </c>
      <c r="G76" s="138">
        <f t="shared" ca="1" si="3"/>
        <v>100</v>
      </c>
      <c r="H76" s="31">
        <f ca="1">VLOOKUP(A76,Rankings!$B$1:$H$651,7,FALSE)+(RAND()*0.00001)</f>
        <v>-5.9653881064741052E-2</v>
      </c>
      <c r="I76" s="31">
        <f ca="1">H76-VLOOKUP(Settings!$K$8+Settings!$K$9,G$2:H$251,2,FALSE)</f>
        <v>0.8079218381628569</v>
      </c>
      <c r="J76" s="31" t="str">
        <f>VLOOKUP(A76,Rankings!B:D,3,FALSE)</f>
        <v>NL</v>
      </c>
    </row>
    <row r="77" spans="1:10" ht="18.600000000000001" customHeight="1">
      <c r="A77" s="26" t="s">
        <v>343</v>
      </c>
      <c r="B77" s="27" t="s">
        <v>156</v>
      </c>
      <c r="C77" s="36" t="s">
        <v>31</v>
      </c>
      <c r="D77" s="138">
        <f t="shared" ca="1" si="2"/>
        <v>71</v>
      </c>
      <c r="E77" s="31">
        <f ca="1">VLOOKUP(A77,Rankings!$B$1:$H$651,6,FALSE)+(RAND()*0.00001)</f>
        <v>342.2066696312653</v>
      </c>
      <c r="F77" s="31">
        <f ca="1">E77-VLOOKUP(Settings!$K$8+Settings!$K$9,D$2:E$251,2,FALSE)</f>
        <v>82.08499541024338</v>
      </c>
      <c r="G77" s="138">
        <f t="shared" ca="1" si="3"/>
        <v>92</v>
      </c>
      <c r="H77" s="31">
        <f ca="1">VLOOKUP(A77,Rankings!$B$1:$H$651,7,FALSE)+(RAND()*0.00001)</f>
        <v>0.23421576138938283</v>
      </c>
      <c r="I77" s="31">
        <f ca="1">H77-VLOOKUP(Settings!$K$8+Settings!$K$9,G$2:H$251,2,FALSE)</f>
        <v>1.1017914806169808</v>
      </c>
      <c r="J77" s="31" t="str">
        <f>VLOOKUP(A77,Rankings!B:D,3,FALSE)</f>
        <v>AL</v>
      </c>
    </row>
    <row r="78" spans="1:10" ht="18.600000000000001" customHeight="1">
      <c r="A78" s="26" t="s">
        <v>335</v>
      </c>
      <c r="B78" s="27" t="s">
        <v>78</v>
      </c>
      <c r="C78" s="36" t="s">
        <v>31</v>
      </c>
      <c r="D78" s="138">
        <f t="shared" ca="1" si="2"/>
        <v>69</v>
      </c>
      <c r="E78" s="31">
        <f ca="1">VLOOKUP(A78,Rankings!$B$1:$H$651,6,FALSE)+(RAND()*0.00001)</f>
        <v>345.78815575248518</v>
      </c>
      <c r="F78" s="31">
        <f ca="1">E78-VLOOKUP(Settings!$K$8+Settings!$K$9,D$2:E$251,2,FALSE)</f>
        <v>85.666481531463262</v>
      </c>
      <c r="G78" s="138">
        <f t="shared" ca="1" si="3"/>
        <v>98</v>
      </c>
      <c r="H78" s="31">
        <f ca="1">VLOOKUP(A78,Rankings!$B$1:$H$651,7,FALSE)+(RAND()*0.00001)</f>
        <v>5.262306458436225E-2</v>
      </c>
      <c r="I78" s="31">
        <f ca="1">H78-VLOOKUP(Settings!$K$8+Settings!$K$9,G$2:H$251,2,FALSE)</f>
        <v>0.92019878381196019</v>
      </c>
      <c r="J78" s="31" t="str">
        <f>VLOOKUP(A78,Rankings!B:D,3,FALSE)</f>
        <v>AL</v>
      </c>
    </row>
    <row r="79" spans="1:10" ht="18.600000000000001" customHeight="1">
      <c r="A79" s="26" t="s">
        <v>435</v>
      </c>
      <c r="B79" s="27" t="s">
        <v>176</v>
      </c>
      <c r="C79" s="36" t="s">
        <v>31</v>
      </c>
      <c r="D79" s="138">
        <f t="shared" ca="1" si="2"/>
        <v>73</v>
      </c>
      <c r="E79" s="31">
        <f ca="1">VLOOKUP(A79,Rankings!$B$1:$H$651,6,FALSE)+(RAND()*0.00001)</f>
        <v>341.05309096389158</v>
      </c>
      <c r="F79" s="31">
        <f ca="1">E79-VLOOKUP(Settings!$K$8+Settings!$K$9,D$2:E$251,2,FALSE)</f>
        <v>80.931416742869658</v>
      </c>
      <c r="G79" s="138">
        <f t="shared" ca="1" si="3"/>
        <v>175</v>
      </c>
      <c r="H79" s="31">
        <f ca="1">VLOOKUP(A79,Rankings!$B$1:$H$651,7,FALSE)+(RAND()*0.00001)</f>
        <v>-1.9746909029893049</v>
      </c>
      <c r="I79" s="31">
        <f ca="1">H79-VLOOKUP(Settings!$K$8+Settings!$K$9,G$2:H$251,2,FALSE)</f>
        <v>-1.107115183761707</v>
      </c>
      <c r="J79" s="31" t="str">
        <f>VLOOKUP(A79,Rankings!B:D,3,FALSE)</f>
        <v>NL</v>
      </c>
    </row>
    <row r="80" spans="1:10" ht="18.600000000000001" customHeight="1">
      <c r="A80" s="26" t="s">
        <v>286</v>
      </c>
      <c r="B80" s="27" t="s">
        <v>217</v>
      </c>
      <c r="C80" s="42" t="s">
        <v>34</v>
      </c>
      <c r="D80" s="138">
        <f t="shared" ca="1" si="2"/>
        <v>74</v>
      </c>
      <c r="E80" s="31">
        <f ca="1">VLOOKUP(A80,Rankings!$B$1:$H$651,6,FALSE)+(RAND()*0.00001)</f>
        <v>340.38333586420435</v>
      </c>
      <c r="F80" s="31">
        <f ca="1">E80-VLOOKUP(Settings!$K$8+Settings!$K$9,D$2:E$251,2,FALSE)</f>
        <v>80.261661643182435</v>
      </c>
      <c r="G80" s="138">
        <f t="shared" ca="1" si="3"/>
        <v>60</v>
      </c>
      <c r="H80" s="31">
        <f ca="1">VLOOKUP(A80,Rankings!$B$1:$H$651,7,FALSE)+(RAND()*0.00001)</f>
        <v>2.1640852416269185</v>
      </c>
      <c r="I80" s="31">
        <f ca="1">H80-VLOOKUP(Settings!$K$8+Settings!$K$9,G$2:H$251,2,FALSE)</f>
        <v>3.0316609608545164</v>
      </c>
      <c r="J80" s="31" t="str">
        <f>VLOOKUP(A80,Rankings!B:D,3,FALSE)</f>
        <v>NL</v>
      </c>
    </row>
    <row r="81" spans="1:10" ht="18.600000000000001" customHeight="1">
      <c r="A81" s="26" t="s">
        <v>423</v>
      </c>
      <c r="B81" s="27" t="s">
        <v>76</v>
      </c>
      <c r="C81" s="36" t="s">
        <v>31</v>
      </c>
      <c r="D81" s="138">
        <f t="shared" ca="1" si="2"/>
        <v>75</v>
      </c>
      <c r="E81" s="31">
        <f ca="1">VLOOKUP(A81,Rankings!$B$1:$H$651,6,FALSE)+(RAND()*0.00001)</f>
        <v>339.96997902631836</v>
      </c>
      <c r="F81" s="31">
        <f ca="1">E81-VLOOKUP(Settings!$K$8+Settings!$K$9,D$2:E$251,2,FALSE)</f>
        <v>79.848304805296436</v>
      </c>
      <c r="G81" s="138">
        <f t="shared" ca="1" si="3"/>
        <v>141</v>
      </c>
      <c r="H81" s="31">
        <f ca="1">VLOOKUP(A81,Rankings!$B$1:$H$651,7,FALSE)+(RAND()*0.00001)</f>
        <v>-1.0071111296530861</v>
      </c>
      <c r="I81" s="31">
        <f ca="1">H81-VLOOKUP(Settings!$K$8+Settings!$K$9,G$2:H$251,2,FALSE)</f>
        <v>-0.13953541042548823</v>
      </c>
      <c r="J81" s="31" t="str">
        <f>VLOOKUP(A81,Rankings!B:D,3,FALSE)</f>
        <v>AL</v>
      </c>
    </row>
    <row r="82" spans="1:10" ht="18.600000000000001" customHeight="1">
      <c r="A82" s="26" t="s">
        <v>197</v>
      </c>
      <c r="B82" s="27" t="s">
        <v>99</v>
      </c>
      <c r="C82" s="42" t="s">
        <v>34</v>
      </c>
      <c r="D82" s="138">
        <f t="shared" ca="1" si="2"/>
        <v>77</v>
      </c>
      <c r="E82" s="31">
        <f ca="1">VLOOKUP(A82,Rankings!$B$1:$H$651,6,FALSE)+(RAND()*0.00001)</f>
        <v>337.22833638297237</v>
      </c>
      <c r="F82" s="31">
        <f ca="1">E82-VLOOKUP(Settings!$K$8+Settings!$K$9,D$2:E$251,2,FALSE)</f>
        <v>77.106662161950453</v>
      </c>
      <c r="G82" s="138">
        <f t="shared" ca="1" si="3"/>
        <v>28</v>
      </c>
      <c r="H82" s="31">
        <f ca="1">VLOOKUP(A82,Rankings!$B$1:$H$651,7,FALSE)+(RAND()*0.00001)</f>
        <v>4.3488545579728495</v>
      </c>
      <c r="I82" s="31">
        <f ca="1">H82-VLOOKUP(Settings!$K$8+Settings!$K$9,G$2:H$251,2,FALSE)</f>
        <v>5.2164302772004474</v>
      </c>
      <c r="J82" s="31" t="str">
        <f>VLOOKUP(A82,Rankings!B:D,3,FALSE)</f>
        <v>AL</v>
      </c>
    </row>
    <row r="83" spans="1:10" ht="18.600000000000001" customHeight="1">
      <c r="A83" s="26" t="s">
        <v>256</v>
      </c>
      <c r="B83" s="27" t="s">
        <v>103</v>
      </c>
      <c r="C83" s="42" t="s">
        <v>34</v>
      </c>
      <c r="D83" s="138">
        <f t="shared" ca="1" si="2"/>
        <v>80</v>
      </c>
      <c r="E83" s="31">
        <f ca="1">VLOOKUP(A83,Rankings!$B$1:$H$651,6,FALSE)+(RAND()*0.00001)</f>
        <v>333.71444941913808</v>
      </c>
      <c r="F83" s="31">
        <f ca="1">E83-VLOOKUP(Settings!$K$8+Settings!$K$9,D$2:E$251,2,FALSE)</f>
        <v>73.592775198116158</v>
      </c>
      <c r="G83" s="138">
        <f t="shared" ca="1" si="3"/>
        <v>62</v>
      </c>
      <c r="H83" s="31">
        <f ca="1">VLOOKUP(A83,Rankings!$B$1:$H$651,7,FALSE)+(RAND()*0.00001)</f>
        <v>1.9970437695192127</v>
      </c>
      <c r="I83" s="31">
        <f ca="1">H83-VLOOKUP(Settings!$K$8+Settings!$K$9,G$2:H$251,2,FALSE)</f>
        <v>2.8646194887468104</v>
      </c>
      <c r="J83" s="31" t="str">
        <f>VLOOKUP(A83,Rankings!B:D,3,FALSE)</f>
        <v>AL</v>
      </c>
    </row>
    <row r="84" spans="1:10" ht="18.600000000000001" customHeight="1">
      <c r="A84" s="26" t="s">
        <v>375</v>
      </c>
      <c r="B84" s="27" t="s">
        <v>217</v>
      </c>
      <c r="C84" s="36" t="s">
        <v>31</v>
      </c>
      <c r="D84" s="138">
        <f t="shared" ca="1" si="2"/>
        <v>81</v>
      </c>
      <c r="E84" s="31">
        <f ca="1">VLOOKUP(A84,Rankings!$B$1:$H$651,6,FALSE)+(RAND()*0.00001)</f>
        <v>332.28325430754165</v>
      </c>
      <c r="F84" s="31">
        <f ca="1">E84-VLOOKUP(Settings!$K$8+Settings!$K$9,D$2:E$251,2,FALSE)</f>
        <v>72.161580086519734</v>
      </c>
      <c r="G84" s="138">
        <f t="shared" ca="1" si="3"/>
        <v>113</v>
      </c>
      <c r="H84" s="31">
        <f ca="1">VLOOKUP(A84,Rankings!$B$1:$H$651,7,FALSE)+(RAND()*0.00001)</f>
        <v>-0.42107341093984707</v>
      </c>
      <c r="I84" s="31">
        <f ca="1">H84-VLOOKUP(Settings!$K$8+Settings!$K$9,G$2:H$251,2,FALSE)</f>
        <v>0.44650230828775084</v>
      </c>
      <c r="J84" s="31" t="str">
        <f>VLOOKUP(A84,Rankings!B:D,3,FALSE)</f>
        <v>NL</v>
      </c>
    </row>
    <row r="85" spans="1:10" ht="18.600000000000001" customHeight="1">
      <c r="A85" s="26" t="s">
        <v>441</v>
      </c>
      <c r="B85" s="27" t="s">
        <v>68</v>
      </c>
      <c r="C85" s="36" t="s">
        <v>31</v>
      </c>
      <c r="D85" s="138">
        <f t="shared" ca="1" si="2"/>
        <v>103</v>
      </c>
      <c r="E85" s="31">
        <f ca="1">VLOOKUP(A85,Rankings!$B$1:$H$651,6,FALSE)+(RAND()*0.00001)</f>
        <v>302.65750060189197</v>
      </c>
      <c r="F85" s="31">
        <f ca="1">E85-VLOOKUP(Settings!$K$8+Settings!$K$9,D$2:E$251,2,FALSE)</f>
        <v>42.535826380870049</v>
      </c>
      <c r="G85" s="138">
        <f t="shared" ca="1" si="3"/>
        <v>112</v>
      </c>
      <c r="H85" s="31">
        <f ca="1">VLOOKUP(A85,Rankings!$B$1:$H$651,7,FALSE)+(RAND()*0.00001)</f>
        <v>-0.41411912291340741</v>
      </c>
      <c r="I85" s="31">
        <f ca="1">H85-VLOOKUP(Settings!$K$8+Settings!$K$9,G$2:H$251,2,FALSE)</f>
        <v>0.4534565963141905</v>
      </c>
      <c r="J85" s="31" t="str">
        <f>VLOOKUP(A85,Rankings!B:D,3,FALSE)</f>
        <v>AL</v>
      </c>
    </row>
    <row r="86" spans="1:10" ht="18.600000000000001" customHeight="1">
      <c r="A86" s="26" t="s">
        <v>238</v>
      </c>
      <c r="B86" s="27" t="s">
        <v>103</v>
      </c>
      <c r="C86" s="36" t="s">
        <v>31</v>
      </c>
      <c r="D86" s="138">
        <f t="shared" ca="1" si="2"/>
        <v>84</v>
      </c>
      <c r="E86" s="31">
        <f ca="1">VLOOKUP(A86,Rankings!$B$1:$H$651,6,FALSE)+(RAND()*0.00001)</f>
        <v>327.50723097499383</v>
      </c>
      <c r="F86" s="31">
        <f ca="1">E86-VLOOKUP(Settings!$K$8+Settings!$K$9,D$2:E$251,2,FALSE)</f>
        <v>67.385556753971912</v>
      </c>
      <c r="G86" s="138">
        <f t="shared" ca="1" si="3"/>
        <v>68</v>
      </c>
      <c r="H86" s="31">
        <f ca="1">VLOOKUP(A86,Rankings!$B$1:$H$651,7,FALSE)+(RAND()*0.00001)</f>
        <v>1.7942366439862469</v>
      </c>
      <c r="I86" s="31">
        <f ca="1">H86-VLOOKUP(Settings!$K$8+Settings!$K$9,G$2:H$251,2,FALSE)</f>
        <v>2.6618123632138451</v>
      </c>
      <c r="J86" s="31" t="str">
        <f>VLOOKUP(A86,Rankings!B:D,3,FALSE)</f>
        <v>AL</v>
      </c>
    </row>
    <row r="87" spans="1:10" ht="18.600000000000001" customHeight="1">
      <c r="A87" s="26" t="s">
        <v>378</v>
      </c>
      <c r="B87" s="27" t="s">
        <v>258</v>
      </c>
      <c r="C87" s="36" t="s">
        <v>31</v>
      </c>
      <c r="D87" s="138">
        <f t="shared" ca="1" si="2"/>
        <v>86</v>
      </c>
      <c r="E87" s="31">
        <f ca="1">VLOOKUP(A87,Rankings!$B$1:$H$651,6,FALSE)+(RAND()*0.00001)</f>
        <v>324.15479462975821</v>
      </c>
      <c r="F87" s="31">
        <f ca="1">E87-VLOOKUP(Settings!$K$8+Settings!$K$9,D$2:E$251,2,FALSE)</f>
        <v>64.033120408736295</v>
      </c>
      <c r="G87" s="138">
        <f t="shared" ca="1" si="3"/>
        <v>117</v>
      </c>
      <c r="H87" s="31">
        <f ca="1">VLOOKUP(A87,Rankings!$B$1:$H$651,7,FALSE)+(RAND()*0.00001)</f>
        <v>-0.57005834224060214</v>
      </c>
      <c r="I87" s="31">
        <f ca="1">H87-VLOOKUP(Settings!$K$8+Settings!$K$9,G$2:H$251,2,FALSE)</f>
        <v>0.29751737698699576</v>
      </c>
      <c r="J87" s="31" t="str">
        <f>VLOOKUP(A87,Rankings!B:D,3,FALSE)</f>
        <v>AL</v>
      </c>
    </row>
    <row r="88" spans="1:10" ht="18.600000000000001" customHeight="1">
      <c r="A88" s="26" t="s">
        <v>475</v>
      </c>
      <c r="B88" s="27" t="s">
        <v>103</v>
      </c>
      <c r="C88" s="36" t="s">
        <v>31</v>
      </c>
      <c r="D88" s="138">
        <f t="shared" ca="1" si="2"/>
        <v>85</v>
      </c>
      <c r="E88" s="31">
        <f ca="1">VLOOKUP(A88,Rankings!$B$1:$H$651,6,FALSE)+(RAND()*0.00001)</f>
        <v>326.96889405359798</v>
      </c>
      <c r="F88" s="31">
        <f ca="1">E88-VLOOKUP(Settings!$K$8+Settings!$K$9,D$2:E$251,2,FALSE)</f>
        <v>66.847219832576059</v>
      </c>
      <c r="G88" s="138">
        <f t="shared" ca="1" si="3"/>
        <v>174</v>
      </c>
      <c r="H88" s="31">
        <f ca="1">VLOOKUP(A88,Rankings!$B$1:$H$651,7,FALSE)+(RAND()*0.00001)</f>
        <v>-1.9659776275496887</v>
      </c>
      <c r="I88" s="31">
        <f ca="1">H88-VLOOKUP(Settings!$K$8+Settings!$K$9,G$2:H$251,2,FALSE)</f>
        <v>-1.0984019083220908</v>
      </c>
      <c r="J88" s="31" t="str">
        <f>VLOOKUP(A88,Rankings!B:D,3,FALSE)</f>
        <v>AL</v>
      </c>
    </row>
    <row r="89" spans="1:10" ht="18.600000000000001" customHeight="1">
      <c r="A89" s="26" t="s">
        <v>273</v>
      </c>
      <c r="B89" s="27" t="s">
        <v>86</v>
      </c>
      <c r="C89" s="36" t="s">
        <v>31</v>
      </c>
      <c r="D89" s="138">
        <f t="shared" ca="1" si="2"/>
        <v>88</v>
      </c>
      <c r="E89" s="31">
        <f ca="1">VLOOKUP(A89,Rankings!$B$1:$H$651,6,FALSE)+(RAND()*0.00001)</f>
        <v>322.71000255702154</v>
      </c>
      <c r="F89" s="31">
        <f ca="1">E89-VLOOKUP(Settings!$K$8+Settings!$K$9,D$2:E$251,2,FALSE)</f>
        <v>62.58832833599962</v>
      </c>
      <c r="G89" s="138">
        <f t="shared" ca="1" si="3"/>
        <v>74</v>
      </c>
      <c r="H89" s="31">
        <f ca="1">VLOOKUP(A89,Rankings!$B$1:$H$651,7,FALSE)+(RAND()*0.00001)</f>
        <v>1.4133985112051448</v>
      </c>
      <c r="I89" s="31">
        <f ca="1">H89-VLOOKUP(Settings!$K$8+Settings!$K$9,G$2:H$251,2,FALSE)</f>
        <v>2.2809742304327427</v>
      </c>
      <c r="J89" s="31" t="str">
        <f>VLOOKUP(A89,Rankings!B:D,3,FALSE)</f>
        <v>AL</v>
      </c>
    </row>
    <row r="90" spans="1:10" ht="18.600000000000001" customHeight="1">
      <c r="A90" s="26" t="s">
        <v>295</v>
      </c>
      <c r="B90" s="27" t="s">
        <v>156</v>
      </c>
      <c r="C90" s="36" t="s">
        <v>31</v>
      </c>
      <c r="D90" s="138">
        <f t="shared" ca="1" si="2"/>
        <v>92</v>
      </c>
      <c r="E90" s="31">
        <f ca="1">VLOOKUP(A90,Rankings!$B$1:$H$651,6,FALSE)+(RAND()*0.00001)</f>
        <v>319.11778447585681</v>
      </c>
      <c r="F90" s="31">
        <f ca="1">E90-VLOOKUP(Settings!$K$8+Settings!$K$9,D$2:E$251,2,FALSE)</f>
        <v>58.996110254834889</v>
      </c>
      <c r="G90" s="138">
        <f t="shared" ca="1" si="3"/>
        <v>89</v>
      </c>
      <c r="H90" s="31">
        <f ca="1">VLOOKUP(A90,Rankings!$B$1:$H$651,7,FALSE)+(RAND()*0.00001)</f>
        <v>0.47196327260440257</v>
      </c>
      <c r="I90" s="31">
        <f ca="1">H90-VLOOKUP(Settings!$K$8+Settings!$K$9,G$2:H$251,2,FALSE)</f>
        <v>1.3395389918320004</v>
      </c>
      <c r="J90" s="31" t="str">
        <f>VLOOKUP(A90,Rankings!B:D,3,FALSE)</f>
        <v>AL</v>
      </c>
    </row>
    <row r="91" spans="1:10" ht="18.600000000000001" customHeight="1">
      <c r="A91" s="26" t="s">
        <v>362</v>
      </c>
      <c r="B91" s="27" t="s">
        <v>91</v>
      </c>
      <c r="C91" s="36" t="s">
        <v>31</v>
      </c>
      <c r="D91" s="138">
        <f t="shared" ca="1" si="2"/>
        <v>89</v>
      </c>
      <c r="E91" s="31">
        <f ca="1">VLOOKUP(A91,Rankings!$B$1:$H$651,6,FALSE)+(RAND()*0.00001)</f>
        <v>320.89015614849893</v>
      </c>
      <c r="F91" s="31">
        <f ca="1">E91-VLOOKUP(Settings!$K$8+Settings!$K$9,D$2:E$251,2,FALSE)</f>
        <v>60.768481927477012</v>
      </c>
      <c r="G91" s="138">
        <f t="shared" ca="1" si="3"/>
        <v>144</v>
      </c>
      <c r="H91" s="31">
        <f ca="1">VLOOKUP(A91,Rankings!$B$1:$H$651,7,FALSE)+(RAND()*0.00001)</f>
        <v>-1.1402254611196589</v>
      </c>
      <c r="I91" s="31">
        <f ca="1">H91-VLOOKUP(Settings!$K$8+Settings!$K$9,G$2:H$251,2,FALSE)</f>
        <v>-0.27264974189206104</v>
      </c>
      <c r="J91" s="31" t="str">
        <f>VLOOKUP(A91,Rankings!B:D,3,FALSE)</f>
        <v>NL</v>
      </c>
    </row>
    <row r="92" spans="1:10" ht="18.600000000000001" customHeight="1">
      <c r="A92" s="26" t="s">
        <v>252</v>
      </c>
      <c r="B92" s="27" t="s">
        <v>97</v>
      </c>
      <c r="C92" s="36" t="s">
        <v>31</v>
      </c>
      <c r="D92" s="138">
        <f t="shared" ca="1" si="2"/>
        <v>91</v>
      </c>
      <c r="E92" s="31">
        <f ca="1">VLOOKUP(A92,Rankings!$B$1:$H$651,6,FALSE)+(RAND()*0.00001)</f>
        <v>320.11833361121541</v>
      </c>
      <c r="F92" s="31">
        <f ca="1">E92-VLOOKUP(Settings!$K$8+Settings!$K$9,D$2:E$251,2,FALSE)</f>
        <v>59.996659390193486</v>
      </c>
      <c r="G92" s="138">
        <f t="shared" ca="1" si="3"/>
        <v>72</v>
      </c>
      <c r="H92" s="31">
        <f ca="1">VLOOKUP(A92,Rankings!$B$1:$H$651,7,FALSE)+(RAND()*0.00001)</f>
        <v>1.5241616712923594</v>
      </c>
      <c r="I92" s="31">
        <f ca="1">H92-VLOOKUP(Settings!$K$8+Settings!$K$9,G$2:H$251,2,FALSE)</f>
        <v>2.3917373905199573</v>
      </c>
      <c r="J92" s="31" t="str">
        <f>VLOOKUP(A92,Rankings!B:D,3,FALSE)</f>
        <v>NL</v>
      </c>
    </row>
    <row r="93" spans="1:10" ht="18.600000000000001" customHeight="1">
      <c r="A93" s="26" t="s">
        <v>389</v>
      </c>
      <c r="B93" s="27" t="s">
        <v>97</v>
      </c>
      <c r="C93" s="36" t="s">
        <v>31</v>
      </c>
      <c r="D93" s="138">
        <f t="shared" ca="1" si="2"/>
        <v>90</v>
      </c>
      <c r="E93" s="31">
        <f ca="1">VLOOKUP(A93,Rankings!$B$1:$H$651,6,FALSE)+(RAND()*0.00001)</f>
        <v>320.47505398019246</v>
      </c>
      <c r="F93" s="31">
        <f ca="1">E93-VLOOKUP(Settings!$K$8+Settings!$K$9,D$2:E$251,2,FALSE)</f>
        <v>60.353379759170537</v>
      </c>
      <c r="G93" s="138">
        <f t="shared" ca="1" si="3"/>
        <v>128</v>
      </c>
      <c r="H93" s="31">
        <f ca="1">VLOOKUP(A93,Rankings!$B$1:$H$651,7,FALSE)+(RAND()*0.00001)</f>
        <v>-0.76243452578626647</v>
      </c>
      <c r="I93" s="31">
        <f ca="1">H93-VLOOKUP(Settings!$K$8+Settings!$K$9,G$2:H$251,2,FALSE)</f>
        <v>0.10514119344133144</v>
      </c>
      <c r="J93" s="31" t="str">
        <f>VLOOKUP(A93,Rankings!B:D,3,FALSE)</f>
        <v>NL</v>
      </c>
    </row>
    <row r="94" spans="1:10" ht="18.600000000000001" customHeight="1">
      <c r="A94" s="26" t="s">
        <v>289</v>
      </c>
      <c r="B94" s="27" t="s">
        <v>137</v>
      </c>
      <c r="C94" s="42" t="s">
        <v>34</v>
      </c>
      <c r="D94" s="138">
        <f t="shared" ca="1" si="2"/>
        <v>87</v>
      </c>
      <c r="E94" s="31">
        <f ca="1">VLOOKUP(A94,Rankings!$B$1:$H$651,6,FALSE)+(RAND()*0.00001)</f>
        <v>323.35777849677083</v>
      </c>
      <c r="F94" s="31">
        <f ca="1">E94-VLOOKUP(Settings!$K$8+Settings!$K$9,D$2:E$251,2,FALSE)</f>
        <v>63.236104275748914</v>
      </c>
      <c r="G94" s="138">
        <f t="shared" ca="1" si="3"/>
        <v>47</v>
      </c>
      <c r="H94" s="31">
        <f ca="1">VLOOKUP(A94,Rankings!$B$1:$H$651,7,FALSE)+(RAND()*0.00001)</f>
        <v>2.9712066684816634</v>
      </c>
      <c r="I94" s="31">
        <f ca="1">H94-VLOOKUP(Settings!$K$8+Settings!$K$9,G$2:H$251,2,FALSE)</f>
        <v>3.8387823877092613</v>
      </c>
      <c r="J94" s="31" t="str">
        <f>VLOOKUP(A94,Rankings!B:D,3,FALSE)</f>
        <v>NL</v>
      </c>
    </row>
    <row r="95" spans="1:10" ht="18.600000000000001" customHeight="1">
      <c r="A95" s="26" t="s">
        <v>361</v>
      </c>
      <c r="B95" s="27" t="s">
        <v>95</v>
      </c>
      <c r="C95" s="36" t="s">
        <v>31</v>
      </c>
      <c r="D95" s="138">
        <f t="shared" ca="1" si="2"/>
        <v>93</v>
      </c>
      <c r="E95" s="31">
        <f ca="1">VLOOKUP(A95,Rankings!$B$1:$H$651,6,FALSE)+(RAND()*0.00001)</f>
        <v>317.76637066790124</v>
      </c>
      <c r="F95" s="31">
        <f ca="1">E95-VLOOKUP(Settings!$K$8+Settings!$K$9,D$2:E$251,2,FALSE)</f>
        <v>57.644696446879323</v>
      </c>
      <c r="G95" s="138">
        <f t="shared" ca="1" si="3"/>
        <v>109</v>
      </c>
      <c r="H95" s="31">
        <f ca="1">VLOOKUP(A95,Rankings!$B$1:$H$651,7,FALSE)+(RAND()*0.00001)</f>
        <v>-0.39338252885098912</v>
      </c>
      <c r="I95" s="31">
        <f ca="1">H95-VLOOKUP(Settings!$K$8+Settings!$K$9,G$2:H$251,2,FALSE)</f>
        <v>0.47419319037660879</v>
      </c>
      <c r="J95" s="31" t="str">
        <f>VLOOKUP(A95,Rankings!B:D,3,FALSE)</f>
        <v>NL</v>
      </c>
    </row>
    <row r="96" spans="1:10" ht="18.600000000000001" customHeight="1">
      <c r="A96" s="26" t="s">
        <v>309</v>
      </c>
      <c r="B96" s="27" t="s">
        <v>134</v>
      </c>
      <c r="C96" s="36" t="s">
        <v>31</v>
      </c>
      <c r="D96" s="138">
        <f t="shared" ca="1" si="2"/>
        <v>94</v>
      </c>
      <c r="E96" s="31">
        <f ca="1">VLOOKUP(A96,Rankings!$B$1:$H$651,6,FALSE)+(RAND()*0.00001)</f>
        <v>316.56333839172669</v>
      </c>
      <c r="F96" s="31">
        <f ca="1">E96-VLOOKUP(Settings!$K$8+Settings!$K$9,D$2:E$251,2,FALSE)</f>
        <v>56.441664170704769</v>
      </c>
      <c r="G96" s="138">
        <f t="shared" ca="1" si="3"/>
        <v>95</v>
      </c>
      <c r="H96" s="31">
        <f ca="1">VLOOKUP(A96,Rankings!$B$1:$H$651,7,FALSE)+(RAND()*0.00001)</f>
        <v>0.12728278252147637</v>
      </c>
      <c r="I96" s="31">
        <f ca="1">H96-VLOOKUP(Settings!$K$8+Settings!$K$9,G$2:H$251,2,FALSE)</f>
        <v>0.99485850174907431</v>
      </c>
      <c r="J96" s="31" t="str">
        <f>VLOOKUP(A96,Rankings!B:D,3,FALSE)</f>
        <v>NL</v>
      </c>
    </row>
    <row r="97" spans="1:10" ht="18.600000000000001" customHeight="1">
      <c r="A97" s="26" t="s">
        <v>442</v>
      </c>
      <c r="B97" s="27" t="s">
        <v>140</v>
      </c>
      <c r="C97" s="36" t="s">
        <v>31</v>
      </c>
      <c r="D97" s="138">
        <f t="shared" ca="1" si="2"/>
        <v>121</v>
      </c>
      <c r="E97" s="31">
        <f ca="1">VLOOKUP(A97,Rankings!$B$1:$H$651,6,FALSE)+(RAND()*0.00001)</f>
        <v>273.78564880136764</v>
      </c>
      <c r="F97" s="31">
        <f ca="1">E97-VLOOKUP(Settings!$K$8+Settings!$K$9,D$2:E$251,2,FALSE)</f>
        <v>13.663974580345723</v>
      </c>
      <c r="G97" s="138">
        <f t="shared" ca="1" si="3"/>
        <v>150</v>
      </c>
      <c r="H97" s="31">
        <f ca="1">VLOOKUP(A97,Rankings!$B$1:$H$651,7,FALSE)+(RAND()*0.00001)</f>
        <v>-1.3163626761811893</v>
      </c>
      <c r="I97" s="31">
        <f ca="1">H97-VLOOKUP(Settings!$K$8+Settings!$K$9,G$2:H$251,2,FALSE)</f>
        <v>-0.44878695695359139</v>
      </c>
      <c r="J97" s="31" t="str">
        <f>VLOOKUP(A97,Rankings!B:D,3,FALSE)</f>
        <v>AL</v>
      </c>
    </row>
    <row r="98" spans="1:10" ht="18.600000000000001" customHeight="1">
      <c r="A98" s="26" t="s">
        <v>464</v>
      </c>
      <c r="B98" s="27" t="s">
        <v>99</v>
      </c>
      <c r="C98" s="36" t="s">
        <v>31</v>
      </c>
      <c r="D98" s="138">
        <f t="shared" ca="1" si="2"/>
        <v>97</v>
      </c>
      <c r="E98" s="31">
        <f ca="1">VLOOKUP(A98,Rankings!$B$1:$H$651,6,FALSE)+(RAND()*0.00001)</f>
        <v>310.79502942770654</v>
      </c>
      <c r="F98" s="31">
        <f ca="1">E98-VLOOKUP(Settings!$K$8+Settings!$K$9,D$2:E$251,2,FALSE)</f>
        <v>50.673355206684619</v>
      </c>
      <c r="G98" s="138">
        <f t="shared" ca="1" si="3"/>
        <v>186</v>
      </c>
      <c r="H98" s="31">
        <f ca="1">VLOOKUP(A98,Rankings!$B$1:$H$651,7,FALSE)+(RAND()*0.00001)</f>
        <v>-2.2054947084450585</v>
      </c>
      <c r="I98" s="31">
        <f ca="1">H98-VLOOKUP(Settings!$K$8+Settings!$K$9,G$2:H$251,2,FALSE)</f>
        <v>-1.3379189892174606</v>
      </c>
      <c r="J98" s="31" t="str">
        <f>VLOOKUP(A98,Rankings!B:D,3,FALSE)</f>
        <v>AL</v>
      </c>
    </row>
    <row r="99" spans="1:10" ht="18.600000000000001" customHeight="1">
      <c r="A99" s="26" t="s">
        <v>449</v>
      </c>
      <c r="B99" s="27" t="s">
        <v>99</v>
      </c>
      <c r="C99" s="36" t="s">
        <v>31</v>
      </c>
      <c r="D99" s="138">
        <f t="shared" ca="1" si="2"/>
        <v>96</v>
      </c>
      <c r="E99" s="31">
        <f ca="1">VLOOKUP(A99,Rankings!$B$1:$H$651,6,FALSE)+(RAND()*0.00001)</f>
        <v>312.74002451942783</v>
      </c>
      <c r="F99" s="31">
        <f ca="1">E99-VLOOKUP(Settings!$K$8+Settings!$K$9,D$2:E$251,2,FALSE)</f>
        <v>52.618350298405915</v>
      </c>
      <c r="G99" s="138">
        <f t="shared" ca="1" si="3"/>
        <v>179</v>
      </c>
      <c r="H99" s="31">
        <f ca="1">VLOOKUP(A99,Rankings!$B$1:$H$651,7,FALSE)+(RAND()*0.00001)</f>
        <v>-2.0535946694867127</v>
      </c>
      <c r="I99" s="31">
        <f ca="1">H99-VLOOKUP(Settings!$K$8+Settings!$K$9,G$2:H$251,2,FALSE)</f>
        <v>-1.1860189502591147</v>
      </c>
      <c r="J99" s="31" t="str">
        <f>VLOOKUP(A99,Rankings!B:D,3,FALSE)</f>
        <v>AL</v>
      </c>
    </row>
    <row r="100" spans="1:10" ht="18.600000000000001" customHeight="1">
      <c r="A100" s="26" t="s">
        <v>288</v>
      </c>
      <c r="B100" s="27" t="s">
        <v>68</v>
      </c>
      <c r="C100" s="42" t="s">
        <v>34</v>
      </c>
      <c r="D100" s="138">
        <f t="shared" ca="1" si="2"/>
        <v>99</v>
      </c>
      <c r="E100" s="31">
        <f ca="1">VLOOKUP(A100,Rankings!$B$1:$H$651,6,FALSE)+(RAND()*0.00001)</f>
        <v>308.71445405843292</v>
      </c>
      <c r="F100" s="31">
        <f ca="1">E100-VLOOKUP(Settings!$K$8+Settings!$K$9,D$2:E$251,2,FALSE)</f>
        <v>48.592779837411001</v>
      </c>
      <c r="G100" s="138">
        <f t="shared" ca="1" si="3"/>
        <v>69</v>
      </c>
      <c r="H100" s="31">
        <f ca="1">VLOOKUP(A100,Rankings!$B$1:$H$651,7,FALSE)+(RAND()*0.00001)</f>
        <v>1.7904263368908762</v>
      </c>
      <c r="I100" s="31">
        <f ca="1">H100-VLOOKUP(Settings!$K$8+Settings!$K$9,G$2:H$251,2,FALSE)</f>
        <v>2.6580020561184741</v>
      </c>
      <c r="J100" s="31" t="str">
        <f>VLOOKUP(A100,Rankings!B:D,3,FALSE)</f>
        <v>AL</v>
      </c>
    </row>
    <row r="101" spans="1:10" ht="18.600000000000001" customHeight="1">
      <c r="A101" s="26" t="s">
        <v>382</v>
      </c>
      <c r="B101" s="27" t="s">
        <v>176</v>
      </c>
      <c r="C101" s="42" t="s">
        <v>34</v>
      </c>
      <c r="D101" s="138">
        <f t="shared" ca="1" si="2"/>
        <v>102</v>
      </c>
      <c r="E101" s="31">
        <f ca="1">VLOOKUP(A101,Rankings!$B$1:$H$651,6,FALSE)+(RAND()*0.00001)</f>
        <v>304.00389227521077</v>
      </c>
      <c r="F101" s="31">
        <f ca="1">E101-VLOOKUP(Settings!$K$8+Settings!$K$9,D$2:E$251,2,FALSE)</f>
        <v>43.882218054188854</v>
      </c>
      <c r="G101" s="138">
        <f t="shared" ca="1" si="3"/>
        <v>129</v>
      </c>
      <c r="H101" s="31">
        <f ca="1">VLOOKUP(A101,Rankings!$B$1:$H$651,7,FALSE)+(RAND()*0.00001)</f>
        <v>-0.78052134856295086</v>
      </c>
      <c r="I101" s="31">
        <f ca="1">H101-VLOOKUP(Settings!$K$8+Settings!$K$9,G$2:H$251,2,FALSE)</f>
        <v>8.7054370664647052E-2</v>
      </c>
      <c r="J101" s="31" t="str">
        <f>VLOOKUP(A101,Rankings!B:D,3,FALSE)</f>
        <v>NL</v>
      </c>
    </row>
    <row r="102" spans="1:10" ht="18.600000000000001" customHeight="1">
      <c r="A102" s="26" t="s">
        <v>408</v>
      </c>
      <c r="B102" s="27" t="s">
        <v>101</v>
      </c>
      <c r="C102" s="36" t="s">
        <v>31</v>
      </c>
      <c r="D102" s="138">
        <f t="shared" ca="1" si="2"/>
        <v>101</v>
      </c>
      <c r="E102" s="31">
        <f ca="1">VLOOKUP(A102,Rankings!$B$1:$H$651,6,FALSE)+(RAND()*0.00001)</f>
        <v>306.63089878984624</v>
      </c>
      <c r="F102" s="31">
        <f ca="1">E102-VLOOKUP(Settings!$K$8+Settings!$K$9,D$2:E$251,2,FALSE)</f>
        <v>46.509224568824322</v>
      </c>
      <c r="G102" s="138">
        <f t="shared" ca="1" si="3"/>
        <v>96</v>
      </c>
      <c r="H102" s="31">
        <f ca="1">VLOOKUP(A102,Rankings!$B$1:$H$651,7,FALSE)+(RAND()*0.00001)</f>
        <v>0.11779349484500079</v>
      </c>
      <c r="I102" s="31">
        <f ca="1">H102-VLOOKUP(Settings!$K$8+Settings!$K$9,G$2:H$251,2,FALSE)</f>
        <v>0.9853692140725987</v>
      </c>
      <c r="J102" s="31" t="str">
        <f>VLOOKUP(A102,Rankings!B:D,3,FALSE)</f>
        <v>AL</v>
      </c>
    </row>
    <row r="103" spans="1:10" ht="18.600000000000001" customHeight="1">
      <c r="A103" s="26" t="s">
        <v>430</v>
      </c>
      <c r="B103" s="27" t="s">
        <v>71</v>
      </c>
      <c r="C103" s="36" t="s">
        <v>31</v>
      </c>
      <c r="D103" s="138">
        <f t="shared" ca="1" si="2"/>
        <v>98</v>
      </c>
      <c r="E103" s="31">
        <f ca="1">VLOOKUP(A103,Rankings!$B$1:$H$651,6,FALSE)+(RAND()*0.00001)</f>
        <v>308.73202707375998</v>
      </c>
      <c r="F103" s="31">
        <f ca="1">E103-VLOOKUP(Settings!$K$8+Settings!$K$9,D$2:E$251,2,FALSE)</f>
        <v>48.61035285273806</v>
      </c>
      <c r="G103" s="138">
        <f t="shared" ca="1" si="3"/>
        <v>194</v>
      </c>
      <c r="H103" s="31">
        <f ca="1">VLOOKUP(A103,Rankings!$B$1:$H$651,7,FALSE)+(RAND()*0.00001)</f>
        <v>-2.2769457415297047</v>
      </c>
      <c r="I103" s="31">
        <f ca="1">H103-VLOOKUP(Settings!$K$8+Settings!$K$9,G$2:H$251,2,FALSE)</f>
        <v>-1.4093700223021068</v>
      </c>
      <c r="J103" s="31" t="str">
        <f>VLOOKUP(A103,Rankings!B:D,3,FALSE)</f>
        <v>AL</v>
      </c>
    </row>
    <row r="104" spans="1:10" ht="18.600000000000001" customHeight="1">
      <c r="A104" s="26" t="s">
        <v>463</v>
      </c>
      <c r="B104" s="27" t="s">
        <v>137</v>
      </c>
      <c r="C104" s="36" t="s">
        <v>31</v>
      </c>
      <c r="D104" s="138">
        <f t="shared" ca="1" si="2"/>
        <v>109</v>
      </c>
      <c r="E104" s="31">
        <f ca="1">VLOOKUP(A104,Rankings!$B$1:$H$651,6,FALSE)+(RAND()*0.00001)</f>
        <v>293.34070958541582</v>
      </c>
      <c r="F104" s="31">
        <f ca="1">E104-VLOOKUP(Settings!$K$8+Settings!$K$9,D$2:E$251,2,FALSE)</f>
        <v>33.219035364393903</v>
      </c>
      <c r="G104" s="138">
        <f t="shared" ca="1" si="3"/>
        <v>182</v>
      </c>
      <c r="H104" s="31">
        <f ca="1">VLOOKUP(A104,Rankings!$B$1:$H$651,7,FALSE)+(RAND()*0.00001)</f>
        <v>-2.1357501179649296</v>
      </c>
      <c r="I104" s="31">
        <f ca="1">H104-VLOOKUP(Settings!$K$8+Settings!$K$9,G$2:H$251,2,FALSE)</f>
        <v>-1.2681743987373317</v>
      </c>
      <c r="J104" s="31" t="str">
        <f>VLOOKUP(A104,Rankings!B:D,3,FALSE)</f>
        <v>NL</v>
      </c>
    </row>
    <row r="105" spans="1:10" ht="18.600000000000001" customHeight="1">
      <c r="A105" s="26" t="s">
        <v>494</v>
      </c>
      <c r="B105" s="27" t="s">
        <v>103</v>
      </c>
      <c r="C105" s="36" t="s">
        <v>31</v>
      </c>
      <c r="D105" s="138">
        <f t="shared" ca="1" si="2"/>
        <v>107</v>
      </c>
      <c r="E105" s="31">
        <f ca="1">VLOOKUP(A105,Rankings!$B$1:$H$651,6,FALSE)+(RAND()*0.00001)</f>
        <v>297.66462614201504</v>
      </c>
      <c r="F105" s="31">
        <f ca="1">E105-VLOOKUP(Settings!$K$8+Settings!$K$9,D$2:E$251,2,FALSE)</f>
        <v>37.542951920993119</v>
      </c>
      <c r="G105" s="138">
        <f t="shared" ca="1" si="3"/>
        <v>178</v>
      </c>
      <c r="H105" s="31">
        <f ca="1">VLOOKUP(A105,Rankings!$B$1:$H$651,7,FALSE)+(RAND()*0.00001)</f>
        <v>-2.0215951844001707</v>
      </c>
      <c r="I105" s="31">
        <f ca="1">H105-VLOOKUP(Settings!$K$8+Settings!$K$9,G$2:H$251,2,FALSE)</f>
        <v>-1.1540194651725728</v>
      </c>
      <c r="J105" s="31" t="str">
        <f>VLOOKUP(A105,Rankings!B:D,3,FALSE)</f>
        <v>AL</v>
      </c>
    </row>
    <row r="106" spans="1:10" ht="18.600000000000001" customHeight="1">
      <c r="A106" s="26" t="s">
        <v>406</v>
      </c>
      <c r="B106" s="27" t="s">
        <v>123</v>
      </c>
      <c r="C106" s="36" t="s">
        <v>31</v>
      </c>
      <c r="D106" s="138">
        <f t="shared" ca="1" si="2"/>
        <v>104</v>
      </c>
      <c r="E106" s="31">
        <f ca="1">VLOOKUP(A106,Rankings!$B$1:$H$651,6,FALSE)+(RAND()*0.00001)</f>
        <v>301.37126241986573</v>
      </c>
      <c r="F106" s="31">
        <f ca="1">E106-VLOOKUP(Settings!$K$8+Settings!$K$9,D$2:E$251,2,FALSE)</f>
        <v>41.24958819884381</v>
      </c>
      <c r="G106" s="138">
        <f t="shared" ca="1" si="3"/>
        <v>110</v>
      </c>
      <c r="H106" s="31">
        <f ca="1">VLOOKUP(A106,Rankings!$B$1:$H$651,7,FALSE)+(RAND()*0.00001)</f>
        <v>-0.40927002460189471</v>
      </c>
      <c r="I106" s="31">
        <f ca="1">H106-VLOOKUP(Settings!$K$8+Settings!$K$9,G$2:H$251,2,FALSE)</f>
        <v>0.4583056946257032</v>
      </c>
      <c r="J106" s="31" t="str">
        <f>VLOOKUP(A106,Rankings!B:D,3,FALSE)</f>
        <v>NL</v>
      </c>
    </row>
    <row r="107" spans="1:10" ht="18.600000000000001" customHeight="1">
      <c r="A107" s="26" t="s">
        <v>333</v>
      </c>
      <c r="B107" s="27" t="s">
        <v>158</v>
      </c>
      <c r="C107" s="36" t="s">
        <v>31</v>
      </c>
      <c r="D107" s="138">
        <f t="shared" ca="1" si="2"/>
        <v>110</v>
      </c>
      <c r="E107" s="31">
        <f ca="1">VLOOKUP(A107,Rankings!$B$1:$H$651,6,FALSE)+(RAND()*0.00001)</f>
        <v>293.20658683272438</v>
      </c>
      <c r="F107" s="31">
        <f ca="1">E107-VLOOKUP(Settings!$K$8+Settings!$K$9,D$2:E$251,2,FALSE)</f>
        <v>33.084912611702464</v>
      </c>
      <c r="G107" s="138">
        <f t="shared" ca="1" si="3"/>
        <v>142</v>
      </c>
      <c r="H107" s="31">
        <f ca="1">VLOOKUP(A107,Rankings!$B$1:$H$651,7,FALSE)+(RAND()*0.00001)</f>
        <v>-1.0543636614375693</v>
      </c>
      <c r="I107" s="31">
        <f ca="1">H107-VLOOKUP(Settings!$K$8+Settings!$K$9,G$2:H$251,2,FALSE)</f>
        <v>-0.18678794220997141</v>
      </c>
      <c r="J107" s="31" t="str">
        <f>VLOOKUP(A107,Rankings!B:D,3,FALSE)</f>
        <v>NL</v>
      </c>
    </row>
    <row r="108" spans="1:10" ht="18.600000000000001" customHeight="1">
      <c r="A108" s="26" t="s">
        <v>579</v>
      </c>
      <c r="B108" s="27" t="s">
        <v>306</v>
      </c>
      <c r="C108" s="36" t="s">
        <v>31</v>
      </c>
      <c r="D108" s="138">
        <f t="shared" ca="1" si="2"/>
        <v>108</v>
      </c>
      <c r="E108" s="31">
        <f ca="1">VLOOKUP(A108,Rankings!$B$1:$H$651,6,FALSE)+(RAND()*0.00001)</f>
        <v>294.19778187572734</v>
      </c>
      <c r="F108" s="31">
        <f ca="1">E108-VLOOKUP(Settings!$K$8+Settings!$K$9,D$2:E$251,2,FALSE)</f>
        <v>34.076107654705424</v>
      </c>
      <c r="G108" s="138">
        <f t="shared" ca="1" si="3"/>
        <v>207</v>
      </c>
      <c r="H108" s="31">
        <f ca="1">VLOOKUP(A108,Rankings!$B$1:$H$651,7,FALSE)+(RAND()*0.00001)</f>
        <v>-2.510327548072135</v>
      </c>
      <c r="I108" s="31">
        <f ca="1">H108-VLOOKUP(Settings!$K$8+Settings!$K$9,G$2:H$251,2,FALSE)</f>
        <v>-1.6427518288445371</v>
      </c>
      <c r="J108" s="31" t="str">
        <f>VLOOKUP(A108,Rankings!B:D,3,FALSE)</f>
        <v>NL</v>
      </c>
    </row>
    <row r="109" spans="1:10" ht="18.600000000000001" customHeight="1">
      <c r="A109" s="26" t="s">
        <v>356</v>
      </c>
      <c r="B109" s="27" t="s">
        <v>78</v>
      </c>
      <c r="C109" s="36" t="s">
        <v>31</v>
      </c>
      <c r="D109" s="138">
        <f t="shared" ca="1" si="2"/>
        <v>122</v>
      </c>
      <c r="E109" s="31">
        <f ca="1">VLOOKUP(A109,Rankings!$B$1:$H$651,6,FALSE)+(RAND()*0.00001)</f>
        <v>272.73389501395889</v>
      </c>
      <c r="F109" s="31">
        <f ca="1">E109-VLOOKUP(Settings!$K$8+Settings!$K$9,D$2:E$251,2,FALSE)</f>
        <v>12.612220792936967</v>
      </c>
      <c r="G109" s="138">
        <f t="shared" ca="1" si="3"/>
        <v>136</v>
      </c>
      <c r="H109" s="31">
        <f ca="1">VLOOKUP(A109,Rankings!$B$1:$H$651,7,FALSE)+(RAND()*0.00001)</f>
        <v>-0.86814180185894885</v>
      </c>
      <c r="I109" s="31">
        <f ca="1">H109-VLOOKUP(Settings!$K$8+Settings!$K$9,G$2:H$251,2,FALSE)</f>
        <v>-5.6608263135093928E-4</v>
      </c>
      <c r="J109" s="31" t="str">
        <f>VLOOKUP(A109,Rankings!B:D,3,FALSE)</f>
        <v>AL</v>
      </c>
    </row>
    <row r="110" spans="1:10" ht="18.600000000000001" customHeight="1">
      <c r="A110" s="26" t="s">
        <v>431</v>
      </c>
      <c r="B110" s="27" t="s">
        <v>81</v>
      </c>
      <c r="C110" s="36" t="s">
        <v>31</v>
      </c>
      <c r="D110" s="138">
        <f t="shared" ca="1" si="2"/>
        <v>111</v>
      </c>
      <c r="E110" s="31">
        <f ca="1">VLOOKUP(A110,Rankings!$B$1:$H$651,6,FALSE)+(RAND()*0.00001)</f>
        <v>290.54875681749508</v>
      </c>
      <c r="F110" s="31">
        <f ca="1">E110-VLOOKUP(Settings!$K$8+Settings!$K$9,D$2:E$251,2,FALSE)</f>
        <v>30.427082596473156</v>
      </c>
      <c r="G110" s="138">
        <f t="shared" ca="1" si="3"/>
        <v>156</v>
      </c>
      <c r="H110" s="31">
        <f ca="1">VLOOKUP(A110,Rankings!$B$1:$H$651,7,FALSE)+(RAND()*0.00001)</f>
        <v>-1.5580032226614973</v>
      </c>
      <c r="I110" s="31">
        <f ca="1">H110-VLOOKUP(Settings!$K$8+Settings!$K$9,G$2:H$251,2,FALSE)</f>
        <v>-0.69042750343389936</v>
      </c>
      <c r="J110" s="31" t="str">
        <f>VLOOKUP(A110,Rankings!B:D,3,FALSE)</f>
        <v>NL</v>
      </c>
    </row>
    <row r="111" spans="1:10" ht="18.600000000000001" customHeight="1">
      <c r="A111" s="26" t="s">
        <v>269</v>
      </c>
      <c r="B111" s="27" t="s">
        <v>101</v>
      </c>
      <c r="C111" s="42" t="s">
        <v>34</v>
      </c>
      <c r="D111" s="138">
        <f t="shared" ca="1" si="2"/>
        <v>128</v>
      </c>
      <c r="E111" s="31">
        <f ca="1">VLOOKUP(A111,Rankings!$B$1:$H$651,6,FALSE)+(RAND()*0.00001)</f>
        <v>266.58889700994075</v>
      </c>
      <c r="F111" s="31">
        <f ca="1">E111-VLOOKUP(Settings!$K$8+Settings!$K$9,D$2:E$251,2,FALSE)</f>
        <v>6.4672227889188321</v>
      </c>
      <c r="G111" s="138">
        <f t="shared" ca="1" si="3"/>
        <v>44</v>
      </c>
      <c r="H111" s="31">
        <f ca="1">VLOOKUP(A111,Rankings!$B$1:$H$651,7,FALSE)+(RAND()*0.00001)</f>
        <v>3.0725029455434338</v>
      </c>
      <c r="I111" s="31">
        <f ca="1">H111-VLOOKUP(Settings!$K$8+Settings!$K$9,G$2:H$251,2,FALSE)</f>
        <v>3.9400786647710317</v>
      </c>
      <c r="J111" s="31" t="str">
        <f>VLOOKUP(A111,Rankings!B:D,3,FALSE)</f>
        <v>AL</v>
      </c>
    </row>
    <row r="112" spans="1:10" ht="18.600000000000001" customHeight="1">
      <c r="A112" s="26" t="s">
        <v>411</v>
      </c>
      <c r="B112" s="27" t="s">
        <v>103</v>
      </c>
      <c r="C112" s="42" t="s">
        <v>34</v>
      </c>
      <c r="D112" s="138">
        <f t="shared" ca="1" si="2"/>
        <v>114</v>
      </c>
      <c r="E112" s="31">
        <f ca="1">VLOOKUP(A112,Rankings!$B$1:$H$651,6,FALSE)+(RAND()*0.00001)</f>
        <v>283.79110893939702</v>
      </c>
      <c r="F112" s="31">
        <f ca="1">E112-VLOOKUP(Settings!$K$8+Settings!$K$9,D$2:E$251,2,FALSE)</f>
        <v>23.669434718375101</v>
      </c>
      <c r="G112" s="138">
        <f t="shared" ca="1" si="3"/>
        <v>93</v>
      </c>
      <c r="H112" s="31">
        <f ca="1">VLOOKUP(A112,Rankings!$B$1:$H$651,7,FALSE)+(RAND()*0.00001)</f>
        <v>0.17958342979361547</v>
      </c>
      <c r="I112" s="31">
        <f ca="1">H112-VLOOKUP(Settings!$K$8+Settings!$K$9,G$2:H$251,2,FALSE)</f>
        <v>1.0471591490212133</v>
      </c>
      <c r="J112" s="31" t="str">
        <f>VLOOKUP(A112,Rankings!B:D,3,FALSE)</f>
        <v>AL</v>
      </c>
    </row>
    <row r="113" spans="1:10" ht="18.600000000000001" customHeight="1">
      <c r="A113" s="26" t="s">
        <v>301</v>
      </c>
      <c r="B113" s="27" t="s">
        <v>117</v>
      </c>
      <c r="C113" s="42" t="s">
        <v>34</v>
      </c>
      <c r="D113" s="138">
        <f t="shared" ca="1" si="2"/>
        <v>112</v>
      </c>
      <c r="E113" s="31">
        <f ca="1">VLOOKUP(A113,Rankings!$B$1:$H$651,6,FALSE)+(RAND()*0.00001)</f>
        <v>286.8933416272144</v>
      </c>
      <c r="F113" s="31">
        <f ca="1">E113-VLOOKUP(Settings!$K$8+Settings!$K$9,D$2:E$251,2,FALSE)</f>
        <v>26.771667406192478</v>
      </c>
      <c r="G113" s="138">
        <f t="shared" ca="1" si="3"/>
        <v>84</v>
      </c>
      <c r="H113" s="31">
        <f ca="1">VLOOKUP(A113,Rankings!$B$1:$H$651,7,FALSE)+(RAND()*0.00001)</f>
        <v>0.97940214085517352</v>
      </c>
      <c r="I113" s="31">
        <f ca="1">H113-VLOOKUP(Settings!$K$8+Settings!$K$9,G$2:H$251,2,FALSE)</f>
        <v>1.8469778600827715</v>
      </c>
      <c r="J113" s="31" t="str">
        <f>VLOOKUP(A113,Rankings!B:D,3,FALSE)</f>
        <v>AL</v>
      </c>
    </row>
    <row r="114" spans="1:10" ht="20.100000000000001" customHeight="1">
      <c r="A114" s="26" t="s">
        <v>347</v>
      </c>
      <c r="B114" s="27" t="s">
        <v>223</v>
      </c>
      <c r="C114" s="42" t="s">
        <v>34</v>
      </c>
      <c r="D114" s="138">
        <f t="shared" ca="1" si="2"/>
        <v>105</v>
      </c>
      <c r="E114" s="31">
        <f ca="1">VLOOKUP(A114,Rankings!$B$1:$H$651,6,FALSE)+(RAND()*0.00001)</f>
        <v>301.11778188079393</v>
      </c>
      <c r="F114" s="31">
        <f ca="1">E114-VLOOKUP(Settings!$K$8+Settings!$K$9,D$2:E$251,2,FALSE)</f>
        <v>40.996107659772008</v>
      </c>
      <c r="G114" s="138">
        <f t="shared" ca="1" si="3"/>
        <v>70</v>
      </c>
      <c r="H114" s="31">
        <f ca="1">VLOOKUP(A114,Rankings!$B$1:$H$651,7,FALSE)+(RAND()*0.00001)</f>
        <v>1.7315762564745178</v>
      </c>
      <c r="I114" s="31">
        <f ca="1">H114-VLOOKUP(Settings!$K$8+Settings!$K$9,G$2:H$251,2,FALSE)</f>
        <v>2.5991519757021155</v>
      </c>
      <c r="J114" s="31" t="str">
        <f>VLOOKUP(A114,Rankings!B:D,3,FALSE)</f>
        <v>NL</v>
      </c>
    </row>
    <row r="115" spans="1:10" ht="18.600000000000001" customHeight="1">
      <c r="A115" s="26" t="s">
        <v>453</v>
      </c>
      <c r="B115" s="27" t="s">
        <v>137</v>
      </c>
      <c r="C115" s="36" t="s">
        <v>31</v>
      </c>
      <c r="D115" s="138">
        <f t="shared" ca="1" si="2"/>
        <v>116</v>
      </c>
      <c r="E115" s="31">
        <f ca="1">VLOOKUP(A115,Rankings!$B$1:$H$651,6,FALSE)+(RAND()*0.00001)</f>
        <v>281.63403681050636</v>
      </c>
      <c r="F115" s="31">
        <f ca="1">E115-VLOOKUP(Settings!$K$8+Settings!$K$9,D$2:E$251,2,FALSE)</f>
        <v>21.512362589484439</v>
      </c>
      <c r="G115" s="138">
        <f t="shared" ca="1" si="3"/>
        <v>222</v>
      </c>
      <c r="H115" s="31">
        <f ca="1">VLOOKUP(A115,Rankings!$B$1:$H$651,7,FALSE)+(RAND()*0.00001)</f>
        <v>-3.1501025767698114</v>
      </c>
      <c r="I115" s="31">
        <f ca="1">H115-VLOOKUP(Settings!$K$8+Settings!$K$9,G$2:H$251,2,FALSE)</f>
        <v>-2.2825268575422135</v>
      </c>
      <c r="J115" s="31" t="str">
        <f>VLOOKUP(A115,Rankings!B:D,3,FALSE)</f>
        <v>NL</v>
      </c>
    </row>
    <row r="116" spans="1:10" ht="18.600000000000001" customHeight="1">
      <c r="A116" s="26" t="s">
        <v>433</v>
      </c>
      <c r="B116" s="27" t="s">
        <v>137</v>
      </c>
      <c r="C116" s="36" t="s">
        <v>31</v>
      </c>
      <c r="D116" s="138">
        <f t="shared" ca="1" si="2"/>
        <v>113</v>
      </c>
      <c r="E116" s="31">
        <f ca="1">VLOOKUP(A116,Rankings!$B$1:$H$651,6,FALSE)+(RAND()*0.00001)</f>
        <v>285.03500276430702</v>
      </c>
      <c r="F116" s="31">
        <f ca="1">E116-VLOOKUP(Settings!$K$8+Settings!$K$9,D$2:E$251,2,FALSE)</f>
        <v>24.913328543285104</v>
      </c>
      <c r="G116" s="138">
        <f t="shared" ca="1" si="3"/>
        <v>159</v>
      </c>
      <c r="H116" s="31">
        <f ca="1">VLOOKUP(A116,Rankings!$B$1:$H$651,7,FALSE)+(RAND()*0.00001)</f>
        <v>-1.626291952997805</v>
      </c>
      <c r="I116" s="31">
        <f ca="1">H116-VLOOKUP(Settings!$K$8+Settings!$K$9,G$2:H$251,2,FALSE)</f>
        <v>-0.75871623377020714</v>
      </c>
      <c r="J116" s="31" t="str">
        <f>VLOOKUP(A116,Rankings!B:D,3,FALSE)</f>
        <v>NL</v>
      </c>
    </row>
    <row r="117" spans="1:10" ht="18.600000000000001" customHeight="1">
      <c r="A117" s="26" t="s">
        <v>538</v>
      </c>
      <c r="B117" s="27" t="s">
        <v>114</v>
      </c>
      <c r="C117" s="36" t="s">
        <v>31</v>
      </c>
      <c r="D117" s="138">
        <f t="shared" ca="1" si="2"/>
        <v>127</v>
      </c>
      <c r="E117" s="31">
        <f ca="1">VLOOKUP(A117,Rankings!$B$1:$H$651,6,FALSE)+(RAND()*0.00001)</f>
        <v>267.54444616538063</v>
      </c>
      <c r="F117" s="31">
        <f ca="1">E117-VLOOKUP(Settings!$K$8+Settings!$K$9,D$2:E$251,2,FALSE)</f>
        <v>7.4227719443587148</v>
      </c>
      <c r="G117" s="138">
        <f t="shared" ca="1" si="3"/>
        <v>161</v>
      </c>
      <c r="H117" s="31">
        <f ca="1">VLOOKUP(A117,Rankings!$B$1:$H$651,7,FALSE)+(RAND()*0.00001)</f>
        <v>-1.7187702560018132</v>
      </c>
      <c r="I117" s="31">
        <f ca="1">H117-VLOOKUP(Settings!$K$8+Settings!$K$9,G$2:H$251,2,FALSE)</f>
        <v>-0.8511945367742153</v>
      </c>
      <c r="J117" s="31" t="str">
        <f>VLOOKUP(A117,Rankings!B:D,3,FALSE)</f>
        <v>AL</v>
      </c>
    </row>
    <row r="118" spans="1:10" ht="18.600000000000001" customHeight="1">
      <c r="A118" s="26" t="s">
        <v>346</v>
      </c>
      <c r="B118" s="27" t="s">
        <v>217</v>
      </c>
      <c r="C118" s="36" t="s">
        <v>31</v>
      </c>
      <c r="D118" s="138">
        <f t="shared" ca="1" si="2"/>
        <v>117</v>
      </c>
      <c r="E118" s="31">
        <f ca="1">VLOOKUP(A118,Rankings!$B$1:$H$651,6,FALSE)+(RAND()*0.00001)</f>
        <v>280.82345334307945</v>
      </c>
      <c r="F118" s="31">
        <f ca="1">E118-VLOOKUP(Settings!$K$8+Settings!$K$9,D$2:E$251,2,FALSE)</f>
        <v>20.70177912205753</v>
      </c>
      <c r="G118" s="138">
        <f t="shared" ca="1" si="3"/>
        <v>145</v>
      </c>
      <c r="H118" s="31">
        <f ca="1">VLOOKUP(A118,Rankings!$B$1:$H$651,7,FALSE)+(RAND()*0.00001)</f>
        <v>-1.1596560670086546</v>
      </c>
      <c r="I118" s="31">
        <f ca="1">H118-VLOOKUP(Settings!$K$8+Settings!$K$9,G$2:H$251,2,FALSE)</f>
        <v>-0.29208034778105674</v>
      </c>
      <c r="J118" s="31" t="str">
        <f>VLOOKUP(A118,Rankings!B:D,3,FALSE)</f>
        <v>NL</v>
      </c>
    </row>
    <row r="119" spans="1:10" ht="18.600000000000001" customHeight="1">
      <c r="A119" s="26" t="s">
        <v>351</v>
      </c>
      <c r="B119" s="27" t="s">
        <v>76</v>
      </c>
      <c r="C119" s="36" t="s">
        <v>31</v>
      </c>
      <c r="D119" s="138">
        <f t="shared" ca="1" si="2"/>
        <v>118</v>
      </c>
      <c r="E119" s="31">
        <f ca="1">VLOOKUP(A119,Rankings!$B$1:$H$651,6,FALSE)+(RAND()*0.00001)</f>
        <v>280.40017666047959</v>
      </c>
      <c r="F119" s="31">
        <f ca="1">E119-VLOOKUP(Settings!$K$8+Settings!$K$9,D$2:E$251,2,FALSE)</f>
        <v>20.278502439457668</v>
      </c>
      <c r="G119" s="138">
        <f t="shared" ca="1" si="3"/>
        <v>126</v>
      </c>
      <c r="H119" s="31">
        <f ca="1">VLOOKUP(A119,Rankings!$B$1:$H$651,7,FALSE)+(RAND()*0.00001)</f>
        <v>-0.74618917529837003</v>
      </c>
      <c r="I119" s="31">
        <f ca="1">H119-VLOOKUP(Settings!$K$8+Settings!$K$9,G$2:H$251,2,FALSE)</f>
        <v>0.12138654392922787</v>
      </c>
      <c r="J119" s="31" t="str">
        <f>VLOOKUP(A119,Rankings!B:D,3,FALSE)</f>
        <v>AL</v>
      </c>
    </row>
    <row r="120" spans="1:10" ht="18.600000000000001" customHeight="1">
      <c r="A120" s="26" t="s">
        <v>255</v>
      </c>
      <c r="B120" s="27" t="s">
        <v>71</v>
      </c>
      <c r="C120" s="42" t="s">
        <v>34</v>
      </c>
      <c r="D120" s="138">
        <f t="shared" ca="1" si="2"/>
        <v>115</v>
      </c>
      <c r="E120" s="31">
        <f ca="1">VLOOKUP(A120,Rankings!$B$1:$H$651,6,FALSE)+(RAND()*0.00001)</f>
        <v>282.31834146253624</v>
      </c>
      <c r="F120" s="31">
        <f ca="1">E120-VLOOKUP(Settings!$K$8+Settings!$K$9,D$2:E$251,2,FALSE)</f>
        <v>22.196667241514319</v>
      </c>
      <c r="G120" s="138">
        <f t="shared" ca="1" si="3"/>
        <v>50</v>
      </c>
      <c r="H120" s="31">
        <f ca="1">VLOOKUP(A120,Rankings!$B$1:$H$651,7,FALSE)+(RAND()*0.00001)</f>
        <v>2.7811638366196694</v>
      </c>
      <c r="I120" s="31">
        <f ca="1">H120-VLOOKUP(Settings!$K$8+Settings!$K$9,G$2:H$251,2,FALSE)</f>
        <v>3.6487395558472673</v>
      </c>
      <c r="J120" s="31" t="str">
        <f>VLOOKUP(A120,Rankings!B:D,3,FALSE)</f>
        <v>AL</v>
      </c>
    </row>
    <row r="121" spans="1:10" ht="18.600000000000001" customHeight="1">
      <c r="A121" s="26" t="s">
        <v>393</v>
      </c>
      <c r="B121" s="27" t="s">
        <v>99</v>
      </c>
      <c r="C121" s="36" t="s">
        <v>31</v>
      </c>
      <c r="D121" s="138">
        <f t="shared" ca="1" si="2"/>
        <v>30</v>
      </c>
      <c r="E121" s="31">
        <f ca="1">VLOOKUP(A121,Rankings!$B$1:$H$651,6,FALSE)+(RAND()*0.00001)</f>
        <v>421.44389238802319</v>
      </c>
      <c r="F121" s="31">
        <f ca="1">E121-VLOOKUP(Settings!$K$8+Settings!$K$9,D$2:E$251,2,FALSE)</f>
        <v>161.32221816700127</v>
      </c>
      <c r="G121" s="138">
        <f t="shared" ca="1" si="3"/>
        <v>34</v>
      </c>
      <c r="H121" s="31">
        <f ca="1">VLOOKUP(A121,Rankings!$B$1:$H$651,7,FALSE)+(RAND()*0.00001)</f>
        <v>3.9554985654088601</v>
      </c>
      <c r="I121" s="31">
        <f ca="1">H121-VLOOKUP(Settings!$K$8+Settings!$K$9,G$2:H$251,2,FALSE)</f>
        <v>4.8230742846364585</v>
      </c>
      <c r="J121" s="31" t="str">
        <f>VLOOKUP(A121,Rankings!B:D,3,FALSE)</f>
        <v>AL</v>
      </c>
    </row>
    <row r="122" spans="1:10" ht="20.100000000000001" customHeight="1">
      <c r="A122" s="26" t="s">
        <v>427</v>
      </c>
      <c r="B122" s="27" t="s">
        <v>156</v>
      </c>
      <c r="C122" s="36" t="s">
        <v>31</v>
      </c>
      <c r="D122" s="138">
        <f t="shared" ca="1" si="2"/>
        <v>120</v>
      </c>
      <c r="E122" s="31">
        <f ca="1">VLOOKUP(A122,Rankings!$B$1:$H$651,6,FALSE)+(RAND()*0.00001)</f>
        <v>276.91027178901578</v>
      </c>
      <c r="F122" s="31">
        <f ca="1">E122-VLOOKUP(Settings!$K$8+Settings!$K$9,D$2:E$251,2,FALSE)</f>
        <v>16.788597567993861</v>
      </c>
      <c r="G122" s="138">
        <f t="shared" ca="1" si="3"/>
        <v>130</v>
      </c>
      <c r="H122" s="31">
        <f ca="1">VLOOKUP(A122,Rankings!$B$1:$H$651,7,FALSE)+(RAND()*0.00001)</f>
        <v>-0.81049362442534634</v>
      </c>
      <c r="I122" s="31">
        <f ca="1">H122-VLOOKUP(Settings!$K$8+Settings!$K$9,G$2:H$251,2,FALSE)</f>
        <v>5.7082094802251571E-2</v>
      </c>
      <c r="J122" s="31" t="str">
        <f>VLOOKUP(A122,Rankings!B:D,3,FALSE)</f>
        <v>AL</v>
      </c>
    </row>
    <row r="123" spans="1:10" ht="20.100000000000001" customHeight="1">
      <c r="A123" s="26" t="s">
        <v>472</v>
      </c>
      <c r="B123" s="27" t="s">
        <v>63</v>
      </c>
      <c r="C123" s="36" t="s">
        <v>31</v>
      </c>
      <c r="D123" s="138">
        <f t="shared" ca="1" si="2"/>
        <v>119</v>
      </c>
      <c r="E123" s="31">
        <f ca="1">VLOOKUP(A123,Rankings!$B$1:$H$651,6,FALSE)+(RAND()*0.00001)</f>
        <v>277.4429834279444</v>
      </c>
      <c r="F123" s="31">
        <f ca="1">E123-VLOOKUP(Settings!$K$8+Settings!$K$9,D$2:E$251,2,FALSE)</f>
        <v>17.321309206922479</v>
      </c>
      <c r="G123" s="138">
        <f t="shared" ca="1" si="3"/>
        <v>180</v>
      </c>
      <c r="H123" s="31">
        <f ca="1">VLOOKUP(A123,Rankings!$B$1:$H$651,7,FALSE)+(RAND()*0.00001)</f>
        <v>-2.0548380836979812</v>
      </c>
      <c r="I123" s="31">
        <f ca="1">H123-VLOOKUP(Settings!$K$8+Settings!$K$9,G$2:H$251,2,FALSE)</f>
        <v>-1.1872623644703832</v>
      </c>
      <c r="J123" s="31" t="str">
        <f>VLOOKUP(A123,Rankings!B:D,3,FALSE)</f>
        <v>NL</v>
      </c>
    </row>
    <row r="124" spans="1:10" ht="20.100000000000001" customHeight="1">
      <c r="A124" s="26" t="s">
        <v>511</v>
      </c>
      <c r="B124" s="27" t="s">
        <v>134</v>
      </c>
      <c r="C124" s="36" t="s">
        <v>31</v>
      </c>
      <c r="D124" s="138">
        <f t="shared" ca="1" si="2"/>
        <v>123</v>
      </c>
      <c r="E124" s="31">
        <f ca="1">VLOOKUP(A124,Rankings!$B$1:$H$651,6,FALSE)+(RAND()*0.00001)</f>
        <v>271.83191447857172</v>
      </c>
      <c r="F124" s="31">
        <f ca="1">E124-VLOOKUP(Settings!$K$8+Settings!$K$9,D$2:E$251,2,FALSE)</f>
        <v>11.710240257549799</v>
      </c>
      <c r="G124" s="138">
        <f t="shared" ca="1" si="3"/>
        <v>220</v>
      </c>
      <c r="H124" s="31">
        <f ca="1">VLOOKUP(A124,Rankings!$B$1:$H$651,7,FALSE)+(RAND()*0.00001)</f>
        <v>-3.0703257187805288</v>
      </c>
      <c r="I124" s="31">
        <f ca="1">H124-VLOOKUP(Settings!$K$8+Settings!$K$9,G$2:H$251,2,FALSE)</f>
        <v>-2.2027499995529309</v>
      </c>
      <c r="J124" s="31" t="str">
        <f>VLOOKUP(A124,Rankings!B:D,3,FALSE)</f>
        <v>NL</v>
      </c>
    </row>
    <row r="125" spans="1:10" ht="18.600000000000001" customHeight="1">
      <c r="A125" s="26" t="s">
        <v>496</v>
      </c>
      <c r="B125" s="27" t="s">
        <v>99</v>
      </c>
      <c r="C125" s="36" t="s">
        <v>31</v>
      </c>
      <c r="D125" s="138">
        <f t="shared" ca="1" si="2"/>
        <v>125</v>
      </c>
      <c r="E125" s="31">
        <f ca="1">VLOOKUP(A125,Rankings!$B$1:$H$651,6,FALSE)+(RAND()*0.00001)</f>
        <v>268.63397162318859</v>
      </c>
      <c r="F125" s="31">
        <f ca="1">E125-VLOOKUP(Settings!$K$8+Settings!$K$9,D$2:E$251,2,FALSE)</f>
        <v>8.5122974021666664</v>
      </c>
      <c r="G125" s="138">
        <f t="shared" ca="1" si="3"/>
        <v>192</v>
      </c>
      <c r="H125" s="31">
        <f ca="1">VLOOKUP(A125,Rankings!$B$1:$H$651,7,FALSE)+(RAND()*0.00001)</f>
        <v>-2.2604596312842307</v>
      </c>
      <c r="I125" s="31">
        <f ca="1">H125-VLOOKUP(Settings!$K$8+Settings!$K$9,G$2:H$251,2,FALSE)</f>
        <v>-1.3928839120566328</v>
      </c>
      <c r="J125" s="31" t="str">
        <f>VLOOKUP(A125,Rankings!B:D,3,FALSE)</f>
        <v>AL</v>
      </c>
    </row>
    <row r="126" spans="1:10" ht="18.600000000000001" customHeight="1">
      <c r="A126" s="26" t="s">
        <v>518</v>
      </c>
      <c r="B126" s="27" t="s">
        <v>140</v>
      </c>
      <c r="C126" s="36" t="s">
        <v>31</v>
      </c>
      <c r="D126" s="138">
        <f t="shared" ca="1" si="2"/>
        <v>132</v>
      </c>
      <c r="E126" s="31">
        <f ca="1">VLOOKUP(A126,Rankings!$B$1:$H$651,6,FALSE)+(RAND()*0.00001)</f>
        <v>261.50564295041852</v>
      </c>
      <c r="F126" s="31">
        <f ca="1">E126-VLOOKUP(Settings!$K$8+Settings!$K$9,D$2:E$251,2,FALSE)</f>
        <v>1.3839687293965994</v>
      </c>
      <c r="G126" s="138">
        <f t="shared" ca="1" si="3"/>
        <v>221</v>
      </c>
      <c r="H126" s="31">
        <f ca="1">VLOOKUP(A126,Rankings!$B$1:$H$651,7,FALSE)+(RAND()*0.00001)</f>
        <v>-3.1225755037821057</v>
      </c>
      <c r="I126" s="31">
        <f ca="1">H126-VLOOKUP(Settings!$K$8+Settings!$K$9,G$2:H$251,2,FALSE)</f>
        <v>-2.2549997845545078</v>
      </c>
      <c r="J126" s="31" t="str">
        <f>VLOOKUP(A126,Rankings!B:D,3,FALSE)</f>
        <v>AL</v>
      </c>
    </row>
    <row r="127" spans="1:10" ht="20.100000000000001" customHeight="1">
      <c r="A127" s="26" t="s">
        <v>572</v>
      </c>
      <c r="B127" s="27" t="s">
        <v>99</v>
      </c>
      <c r="C127" s="36" t="s">
        <v>31</v>
      </c>
      <c r="D127" s="138">
        <f t="shared" ca="1" si="2"/>
        <v>126</v>
      </c>
      <c r="E127" s="31">
        <f ca="1">VLOOKUP(A127,Rankings!$B$1:$H$651,6,FALSE)+(RAND()*0.00001)</f>
        <v>268.03753762950828</v>
      </c>
      <c r="F127" s="31">
        <f ca="1">E127-VLOOKUP(Settings!$K$8+Settings!$K$9,D$2:E$251,2,FALSE)</f>
        <v>7.9158634084863593</v>
      </c>
      <c r="G127" s="138">
        <f t="shared" ca="1" si="3"/>
        <v>198</v>
      </c>
      <c r="H127" s="31">
        <f ca="1">VLOOKUP(A127,Rankings!$B$1:$H$651,7,FALSE)+(RAND()*0.00001)</f>
        <v>-2.4253347390164519</v>
      </c>
      <c r="I127" s="31">
        <f ca="1">H127-VLOOKUP(Settings!$K$8+Settings!$K$9,G$2:H$251,2,FALSE)</f>
        <v>-1.557759019788854</v>
      </c>
      <c r="J127" s="31" t="str">
        <f>VLOOKUP(A127,Rankings!B:D,3,FALSE)</f>
        <v>AL</v>
      </c>
    </row>
    <row r="128" spans="1:10" ht="18.600000000000001" customHeight="1">
      <c r="A128" s="26" t="s">
        <v>426</v>
      </c>
      <c r="B128" s="27" t="s">
        <v>217</v>
      </c>
      <c r="C128" s="36" t="s">
        <v>31</v>
      </c>
      <c r="D128" s="138">
        <f t="shared" ca="1" si="2"/>
        <v>124</v>
      </c>
      <c r="E128" s="31">
        <f ca="1">VLOOKUP(A128,Rankings!$B$1:$H$651,6,FALSE)+(RAND()*0.00001)</f>
        <v>269.48250180765194</v>
      </c>
      <c r="F128" s="31">
        <f ca="1">E128-VLOOKUP(Settings!$K$8+Settings!$K$9,D$2:E$251,2,FALSE)</f>
        <v>9.3608275866300232</v>
      </c>
      <c r="G128" s="138">
        <f t="shared" ca="1" si="3"/>
        <v>105</v>
      </c>
      <c r="H128" s="31">
        <f ca="1">VLOOKUP(A128,Rankings!$B$1:$H$651,7,FALSE)+(RAND()*0.00001)</f>
        <v>-0.22838148131603173</v>
      </c>
      <c r="I128" s="31">
        <f ca="1">H128-VLOOKUP(Settings!$K$8+Settings!$K$9,G$2:H$251,2,FALSE)</f>
        <v>0.63919423791156615</v>
      </c>
      <c r="J128" s="31" t="str">
        <f>VLOOKUP(A128,Rankings!B:D,3,FALSE)</f>
        <v>NL</v>
      </c>
    </row>
    <row r="129" spans="1:10" ht="20.100000000000001" customHeight="1">
      <c r="A129" s="26" t="s">
        <v>636</v>
      </c>
      <c r="B129" s="27" t="s">
        <v>117</v>
      </c>
      <c r="C129" s="36" t="s">
        <v>31</v>
      </c>
      <c r="D129" s="138">
        <f t="shared" ca="1" si="2"/>
        <v>130</v>
      </c>
      <c r="E129" s="31">
        <f ca="1">VLOOKUP(A129,Rankings!$B$1:$H$651,6,FALSE)+(RAND()*0.00001)</f>
        <v>263.54904847570447</v>
      </c>
      <c r="F129" s="31">
        <f ca="1">E129-VLOOKUP(Settings!$K$8+Settings!$K$9,D$2:E$251,2,FALSE)</f>
        <v>3.4273742546825474</v>
      </c>
      <c r="G129" s="138">
        <f t="shared" ca="1" si="3"/>
        <v>244</v>
      </c>
      <c r="H129" s="31">
        <f ca="1">VLOOKUP(A129,Rankings!$B$1:$H$651,7,FALSE)+(RAND()*0.00001)</f>
        <v>-4.5611128627163389</v>
      </c>
      <c r="I129" s="31">
        <f ca="1">H129-VLOOKUP(Settings!$K$8+Settings!$K$9,G$2:H$251,2,FALSE)</f>
        <v>-3.693537143488741</v>
      </c>
      <c r="J129" s="31" t="str">
        <f>VLOOKUP(A129,Rankings!B:D,3,FALSE)</f>
        <v>AL</v>
      </c>
    </row>
    <row r="130" spans="1:10" ht="18.600000000000001" customHeight="1">
      <c r="A130" s="26" t="s">
        <v>440</v>
      </c>
      <c r="B130" s="27" t="s">
        <v>258</v>
      </c>
      <c r="C130" s="36" t="s">
        <v>31</v>
      </c>
      <c r="D130" s="138">
        <f t="shared" ref="D130:D193" ca="1" si="4">RANK(E130,E$2:E$251)</f>
        <v>134</v>
      </c>
      <c r="E130" s="31">
        <f ca="1">VLOOKUP(A130,Rankings!$B$1:$H$651,6,FALSE)+(RAND()*0.00001)</f>
        <v>260.36540900622072</v>
      </c>
      <c r="F130" s="31">
        <f ca="1">E130-VLOOKUP(Settings!$K$8+Settings!$K$9,D$2:E$251,2,FALSE)</f>
        <v>0.24373478519879654</v>
      </c>
      <c r="G130" s="138">
        <f t="shared" ref="G130:G193" ca="1" si="5">RANK(H130,H$2:H$251)</f>
        <v>171</v>
      </c>
      <c r="H130" s="31">
        <f ca="1">VLOOKUP(A130,Rankings!$B$1:$H$651,7,FALSE)+(RAND()*0.00001)</f>
        <v>-1.9061702971121341</v>
      </c>
      <c r="I130" s="31">
        <f ca="1">H130-VLOOKUP(Settings!$K$8+Settings!$K$9,G$2:H$251,2,FALSE)</f>
        <v>-1.0385945778845362</v>
      </c>
      <c r="J130" s="31" t="str">
        <f>VLOOKUP(A130,Rankings!B:D,3,FALSE)</f>
        <v>AL</v>
      </c>
    </row>
    <row r="131" spans="1:10" ht="18.600000000000001" customHeight="1">
      <c r="A131" s="26" t="s">
        <v>350</v>
      </c>
      <c r="B131" s="27" t="s">
        <v>95</v>
      </c>
      <c r="C131" s="36" t="s">
        <v>31</v>
      </c>
      <c r="D131" s="138">
        <f t="shared" ca="1" si="4"/>
        <v>164</v>
      </c>
      <c r="E131" s="31">
        <f ca="1">VLOOKUP(A131,Rankings!$B$1:$H$651,6,FALSE)+(RAND()*0.00001)</f>
        <v>214.13054158334316</v>
      </c>
      <c r="F131" s="31">
        <f ca="1">E131-VLOOKUP(Settings!$K$8+Settings!$K$9,D$2:E$251,2,FALSE)</f>
        <v>-45.99113263767876</v>
      </c>
      <c r="G131" s="138">
        <f t="shared" ca="1" si="5"/>
        <v>208</v>
      </c>
      <c r="H131" s="31">
        <f ca="1">VLOOKUP(A131,Rankings!$B$1:$H$651,7,FALSE)+(RAND()*0.00001)</f>
        <v>-2.5211478956378177</v>
      </c>
      <c r="I131" s="31">
        <f ca="1">H131-VLOOKUP(Settings!$K$8+Settings!$K$9,G$2:H$251,2,FALSE)</f>
        <v>-1.6535721764102198</v>
      </c>
      <c r="J131" s="31" t="str">
        <f>VLOOKUP(A131,Rankings!B:D,3,FALSE)</f>
        <v>NL</v>
      </c>
    </row>
    <row r="132" spans="1:10" ht="18.600000000000001" customHeight="1">
      <c r="A132" s="26" t="s">
        <v>645</v>
      </c>
      <c r="B132" s="27" t="s">
        <v>176</v>
      </c>
      <c r="C132" s="36" t="s">
        <v>31</v>
      </c>
      <c r="D132" s="138">
        <f t="shared" ca="1" si="4"/>
        <v>131</v>
      </c>
      <c r="E132" s="31">
        <f ca="1">VLOOKUP(A132,Rankings!$B$1:$H$651,6,FALSE)+(RAND()*0.00001)</f>
        <v>261.71031237097225</v>
      </c>
      <c r="F132" s="31">
        <f ca="1">E132-VLOOKUP(Settings!$K$8+Settings!$K$9,D$2:E$251,2,FALSE)</f>
        <v>1.5886381499503273</v>
      </c>
      <c r="G132" s="138">
        <f t="shared" ca="1" si="5"/>
        <v>249</v>
      </c>
      <c r="H132" s="31">
        <f ca="1">VLOOKUP(A132,Rankings!$B$1:$H$651,7,FALSE)+(RAND()*0.00001)</f>
        <v>-5.2149478638650795</v>
      </c>
      <c r="I132" s="31">
        <f ca="1">H132-VLOOKUP(Settings!$K$8+Settings!$K$9,G$2:H$251,2,FALSE)</f>
        <v>-4.3473721446374816</v>
      </c>
      <c r="J132" s="31" t="str">
        <f>VLOOKUP(A132,Rankings!B:D,3,FALSE)</f>
        <v>NL</v>
      </c>
    </row>
    <row r="133" spans="1:10" ht="18.600000000000001" customHeight="1">
      <c r="A133" s="26" t="s">
        <v>386</v>
      </c>
      <c r="B133" s="27" t="s">
        <v>134</v>
      </c>
      <c r="C133" s="36" t="s">
        <v>31</v>
      </c>
      <c r="D133" s="138">
        <f t="shared" ca="1" si="4"/>
        <v>135</v>
      </c>
      <c r="E133" s="31">
        <f ca="1">VLOOKUP(A133,Rankings!$B$1:$H$651,6,FALSE)+(RAND()*0.00001)</f>
        <v>260.12167422102192</v>
      </c>
      <c r="F133" s="31">
        <f ca="1">E133-VLOOKUP(Settings!$K$8+Settings!$K$9,D$2:E$251,2,FALSE)</f>
        <v>0</v>
      </c>
      <c r="G133" s="138">
        <f t="shared" ca="1" si="5"/>
        <v>152</v>
      </c>
      <c r="H133" s="31">
        <f ca="1">VLOOKUP(A133,Rankings!$B$1:$H$651,7,FALSE)+(RAND()*0.00001)</f>
        <v>-1.5045998821856406</v>
      </c>
      <c r="I133" s="31">
        <f ca="1">H133-VLOOKUP(Settings!$K$8+Settings!$K$9,G$2:H$251,2,FALSE)</f>
        <v>-0.63702416295804265</v>
      </c>
      <c r="J133" s="31" t="str">
        <f>VLOOKUP(A133,Rankings!B:D,3,FALSE)</f>
        <v>NL</v>
      </c>
    </row>
    <row r="134" spans="1:10" ht="20.100000000000001" customHeight="1">
      <c r="A134" s="26" t="s">
        <v>458</v>
      </c>
      <c r="B134" s="27" t="s">
        <v>123</v>
      </c>
      <c r="C134" s="36" t="s">
        <v>31</v>
      </c>
      <c r="D134" s="138">
        <f t="shared" ca="1" si="4"/>
        <v>137</v>
      </c>
      <c r="E134" s="31">
        <f ca="1">VLOOKUP(A134,Rankings!$B$1:$H$651,6,FALSE)+(RAND()*0.00001)</f>
        <v>255.91282234024342</v>
      </c>
      <c r="F134" s="31">
        <f ca="1">E134-VLOOKUP(Settings!$K$8+Settings!$K$9,D$2:E$251,2,FALSE)</f>
        <v>-4.2088518807784965</v>
      </c>
      <c r="G134" s="138">
        <f t="shared" ca="1" si="5"/>
        <v>138</v>
      </c>
      <c r="H134" s="31">
        <f ca="1">VLOOKUP(A134,Rankings!$B$1:$H$651,7,FALSE)+(RAND()*0.00001)</f>
        <v>-0.88962025298252556</v>
      </c>
      <c r="I134" s="31">
        <f ca="1">H134-VLOOKUP(Settings!$K$8+Settings!$K$9,G$2:H$251,2,FALSE)</f>
        <v>-2.2044533754927653E-2</v>
      </c>
      <c r="J134" s="31" t="str">
        <f>VLOOKUP(A134,Rankings!B:D,3,FALSE)</f>
        <v>NL</v>
      </c>
    </row>
    <row r="135" spans="1:10" ht="20.100000000000001" customHeight="1">
      <c r="A135" s="26" t="s">
        <v>555</v>
      </c>
      <c r="B135" s="27" t="s">
        <v>84</v>
      </c>
      <c r="C135" s="36" t="s">
        <v>31</v>
      </c>
      <c r="D135" s="138">
        <f t="shared" ca="1" si="4"/>
        <v>129</v>
      </c>
      <c r="E135" s="31">
        <f ca="1">VLOOKUP(A135,Rankings!$B$1:$H$651,6,FALSE)+(RAND()*0.00001)</f>
        <v>264.5714750248257</v>
      </c>
      <c r="F135" s="31">
        <f ca="1">E135-VLOOKUP(Settings!$K$8+Settings!$K$9,D$2:E$251,2,FALSE)</f>
        <v>4.4498008038037824</v>
      </c>
      <c r="G135" s="138">
        <f t="shared" ca="1" si="5"/>
        <v>190</v>
      </c>
      <c r="H135" s="31">
        <f ca="1">VLOOKUP(A135,Rankings!$B$1:$H$651,7,FALSE)+(RAND()*0.00001)</f>
        <v>-2.2405393150499089</v>
      </c>
      <c r="I135" s="31">
        <f ca="1">H135-VLOOKUP(Settings!$K$8+Settings!$K$9,G$2:H$251,2,FALSE)</f>
        <v>-1.372963595822311</v>
      </c>
      <c r="J135" s="31" t="str">
        <f>VLOOKUP(A135,Rankings!B:D,3,FALSE)</f>
        <v>AL</v>
      </c>
    </row>
    <row r="136" spans="1:10" ht="18.600000000000001" customHeight="1">
      <c r="A136" s="26" t="s">
        <v>549</v>
      </c>
      <c r="B136" s="27" t="s">
        <v>223</v>
      </c>
      <c r="C136" s="36" t="s">
        <v>31</v>
      </c>
      <c r="D136" s="138">
        <f t="shared" ca="1" si="4"/>
        <v>68</v>
      </c>
      <c r="E136" s="31">
        <f ca="1">VLOOKUP(A136,Rankings!$B$1:$H$651,6,FALSE)+(RAND()*0.00001)</f>
        <v>346.90611420821944</v>
      </c>
      <c r="F136" s="31">
        <f ca="1">E136-VLOOKUP(Settings!$K$8+Settings!$K$9,D$2:E$251,2,FALSE)</f>
        <v>86.784439987197516</v>
      </c>
      <c r="G136" s="138">
        <f t="shared" ca="1" si="5"/>
        <v>121</v>
      </c>
      <c r="H136" s="31">
        <f ca="1">VLOOKUP(A136,Rankings!$B$1:$H$651,7,FALSE)+(RAND()*0.00001)</f>
        <v>-0.61449432680173721</v>
      </c>
      <c r="I136" s="31">
        <f ca="1">H136-VLOOKUP(Settings!$K$8+Settings!$K$9,G$2:H$251,2,FALSE)</f>
        <v>0.2530813924258607</v>
      </c>
      <c r="J136" s="31" t="str">
        <f>VLOOKUP(A136,Rankings!B:D,3,FALSE)</f>
        <v>NL</v>
      </c>
    </row>
    <row r="137" spans="1:10" ht="18.600000000000001" customHeight="1">
      <c r="A137" s="26" t="s">
        <v>557</v>
      </c>
      <c r="B137" s="27" t="s">
        <v>258</v>
      </c>
      <c r="C137" s="42" t="s">
        <v>34</v>
      </c>
      <c r="D137" s="138">
        <f t="shared" ca="1" si="4"/>
        <v>136</v>
      </c>
      <c r="E137" s="31">
        <f ca="1">VLOOKUP(A137,Rankings!$B$1:$H$651,6,FALSE)+(RAND()*0.00001)</f>
        <v>256.95500554888878</v>
      </c>
      <c r="F137" s="31">
        <f ca="1">E137-VLOOKUP(Settings!$K$8+Settings!$K$9,D$2:E$251,2,FALSE)</f>
        <v>-3.1666686721331416</v>
      </c>
      <c r="G137" s="138">
        <f t="shared" ca="1" si="5"/>
        <v>120</v>
      </c>
      <c r="H137" s="31">
        <f ca="1">VLOOKUP(A137,Rankings!$B$1:$H$651,7,FALSE)+(RAND()*0.00001)</f>
        <v>-0.58871360566989672</v>
      </c>
      <c r="I137" s="31">
        <f ca="1">H137-VLOOKUP(Settings!$K$8+Settings!$K$9,G$2:H$251,2,FALSE)</f>
        <v>0.27886211355770119</v>
      </c>
      <c r="J137" s="31" t="str">
        <f>VLOOKUP(A137,Rankings!B:D,3,FALSE)</f>
        <v>AL</v>
      </c>
    </row>
    <row r="138" spans="1:10" ht="20.100000000000001" customHeight="1">
      <c r="A138" s="26" t="s">
        <v>359</v>
      </c>
      <c r="B138" s="27" t="s">
        <v>134</v>
      </c>
      <c r="C138" s="36" t="s">
        <v>31</v>
      </c>
      <c r="D138" s="138">
        <f t="shared" ca="1" si="4"/>
        <v>140</v>
      </c>
      <c r="E138" s="31">
        <f ca="1">VLOOKUP(A138,Rankings!$B$1:$H$651,6,FALSE)+(RAND()*0.00001)</f>
        <v>253.2275075527011</v>
      </c>
      <c r="F138" s="31">
        <f ca="1">E138-VLOOKUP(Settings!$K$8+Settings!$K$9,D$2:E$251,2,FALSE)</f>
        <v>-6.8941666683208211</v>
      </c>
      <c r="G138" s="138">
        <f t="shared" ca="1" si="5"/>
        <v>163</v>
      </c>
      <c r="H138" s="31">
        <f ca="1">VLOOKUP(A138,Rankings!$B$1:$H$651,7,FALSE)+(RAND()*0.00001)</f>
        <v>-1.7337668733311817</v>
      </c>
      <c r="I138" s="31">
        <f ca="1">H138-VLOOKUP(Settings!$K$8+Settings!$K$9,G$2:H$251,2,FALSE)</f>
        <v>-0.86619115410358383</v>
      </c>
      <c r="J138" s="31" t="str">
        <f>VLOOKUP(A138,Rankings!B:D,3,FALSE)</f>
        <v>NL</v>
      </c>
    </row>
    <row r="139" spans="1:10" ht="18.600000000000001" customHeight="1">
      <c r="A139" s="26" t="s">
        <v>520</v>
      </c>
      <c r="B139" s="27" t="s">
        <v>76</v>
      </c>
      <c r="C139" s="36" t="s">
        <v>31</v>
      </c>
      <c r="D139" s="138">
        <f t="shared" ca="1" si="4"/>
        <v>138</v>
      </c>
      <c r="E139" s="31">
        <f ca="1">VLOOKUP(A139,Rankings!$B$1:$H$651,6,FALSE)+(RAND()*0.00001)</f>
        <v>255.57235570279752</v>
      </c>
      <c r="F139" s="31">
        <f ca="1">E139-VLOOKUP(Settings!$K$8+Settings!$K$9,D$2:E$251,2,FALSE)</f>
        <v>-4.5493185182243963</v>
      </c>
      <c r="G139" s="138">
        <f t="shared" ca="1" si="5"/>
        <v>204</v>
      </c>
      <c r="H139" s="31">
        <f ca="1">VLOOKUP(A139,Rankings!$B$1:$H$651,7,FALSE)+(RAND()*0.00001)</f>
        <v>-2.4831463045941162</v>
      </c>
      <c r="I139" s="31">
        <f ca="1">H139-VLOOKUP(Settings!$K$8+Settings!$K$9,G$2:H$251,2,FALSE)</f>
        <v>-1.6155705853665183</v>
      </c>
      <c r="J139" s="31" t="str">
        <f>VLOOKUP(A139,Rankings!B:D,3,FALSE)</f>
        <v>AL</v>
      </c>
    </row>
    <row r="140" spans="1:10" ht="20.100000000000001" customHeight="1">
      <c r="A140" s="26" t="s">
        <v>529</v>
      </c>
      <c r="B140" s="27" t="s">
        <v>95</v>
      </c>
      <c r="C140" s="42" t="s">
        <v>34</v>
      </c>
      <c r="D140" s="138">
        <f t="shared" ca="1" si="4"/>
        <v>145</v>
      </c>
      <c r="E140" s="31">
        <f ca="1">VLOOKUP(A140,Rankings!$B$1:$H$651,6,FALSE)+(RAND()*0.00001)</f>
        <v>242.50667248484368</v>
      </c>
      <c r="F140" s="31">
        <f ca="1">E140-VLOOKUP(Settings!$K$8+Settings!$K$9,D$2:E$251,2,FALSE)</f>
        <v>-17.615001736178243</v>
      </c>
      <c r="G140" s="138">
        <f t="shared" ca="1" si="5"/>
        <v>102</v>
      </c>
      <c r="H140" s="31">
        <f ca="1">VLOOKUP(A140,Rankings!$B$1:$H$651,7,FALSE)+(RAND()*0.00001)</f>
        <v>-0.12305186342475065</v>
      </c>
      <c r="I140" s="31">
        <f ca="1">H140-VLOOKUP(Settings!$K$8+Settings!$K$9,G$2:H$251,2,FALSE)</f>
        <v>0.7445238558028473</v>
      </c>
      <c r="J140" s="31" t="str">
        <f>VLOOKUP(A140,Rankings!B:D,3,FALSE)</f>
        <v>NL</v>
      </c>
    </row>
    <row r="141" spans="1:10" ht="18.600000000000001" customHeight="1">
      <c r="A141" s="26" t="s">
        <v>462</v>
      </c>
      <c r="B141" s="27" t="s">
        <v>156</v>
      </c>
      <c r="C141" s="42" t="s">
        <v>34</v>
      </c>
      <c r="D141" s="138">
        <f t="shared" ca="1" si="4"/>
        <v>143</v>
      </c>
      <c r="E141" s="31">
        <f ca="1">VLOOKUP(A141,Rankings!$B$1:$H$651,6,FALSE)+(RAND()*0.00001)</f>
        <v>244.88666846958725</v>
      </c>
      <c r="F141" s="31">
        <f ca="1">E141-VLOOKUP(Settings!$K$8+Settings!$K$9,D$2:E$251,2,FALSE)</f>
        <v>-15.23500575143467</v>
      </c>
      <c r="G141" s="138">
        <f t="shared" ca="1" si="5"/>
        <v>160</v>
      </c>
      <c r="H141" s="31">
        <f ca="1">VLOOKUP(A141,Rankings!$B$1:$H$651,7,FALSE)+(RAND()*0.00001)</f>
        <v>-1.6988388345528018</v>
      </c>
      <c r="I141" s="31">
        <f ca="1">H141-VLOOKUP(Settings!$K$8+Settings!$K$9,G$2:H$251,2,FALSE)</f>
        <v>-0.83126311532520392</v>
      </c>
      <c r="J141" s="31" t="str">
        <f>VLOOKUP(A141,Rankings!B:D,3,FALSE)</f>
        <v>AL</v>
      </c>
    </row>
    <row r="142" spans="1:10" ht="18.600000000000001" customHeight="1">
      <c r="A142" s="26" t="s">
        <v>752</v>
      </c>
      <c r="B142" s="27" t="s">
        <v>68</v>
      </c>
      <c r="C142" s="36" t="s">
        <v>31</v>
      </c>
      <c r="D142" s="138">
        <f t="shared" ca="1" si="4"/>
        <v>153</v>
      </c>
      <c r="E142" s="31">
        <f ca="1">VLOOKUP(A142,Rankings!$B$1:$H$651,6,FALSE)+(RAND()*0.00001)</f>
        <v>230.57347165012484</v>
      </c>
      <c r="F142" s="31">
        <f ca="1">E142-VLOOKUP(Settings!$K$8+Settings!$K$9,D$2:E$251,2,FALSE)</f>
        <v>-29.548202570897075</v>
      </c>
      <c r="G142" s="138">
        <f t="shared" ca="1" si="5"/>
        <v>143</v>
      </c>
      <c r="H142" s="31">
        <f ca="1">VLOOKUP(A142,Rankings!$B$1:$H$651,7,FALSE)+(RAND()*0.00001)</f>
        <v>-1.0669993501731776</v>
      </c>
      <c r="I142" s="31">
        <f ca="1">H142-VLOOKUP(Settings!$K$8+Settings!$K$9,G$2:H$251,2,FALSE)</f>
        <v>-0.19942363094557969</v>
      </c>
      <c r="J142" s="31" t="str">
        <f>VLOOKUP(A142,Rankings!B:D,3,FALSE)</f>
        <v>AL</v>
      </c>
    </row>
    <row r="143" spans="1:10" ht="20.100000000000001" customHeight="1">
      <c r="A143" s="26" t="s">
        <v>649</v>
      </c>
      <c r="B143" s="27" t="s">
        <v>306</v>
      </c>
      <c r="C143" s="36" t="s">
        <v>31</v>
      </c>
      <c r="D143" s="138">
        <f t="shared" ca="1" si="4"/>
        <v>156</v>
      </c>
      <c r="E143" s="31">
        <f ca="1">VLOOKUP(A143,Rankings!$B$1:$H$651,6,FALSE)+(RAND()*0.00001)</f>
        <v>224.99913342075101</v>
      </c>
      <c r="F143" s="31">
        <f ca="1">E143-VLOOKUP(Settings!$K$8+Settings!$K$9,D$2:E$251,2,FALSE)</f>
        <v>-35.122540800270912</v>
      </c>
      <c r="G143" s="138">
        <f t="shared" ca="1" si="5"/>
        <v>237</v>
      </c>
      <c r="H143" s="31">
        <f ca="1">VLOOKUP(A143,Rankings!$B$1:$H$651,7,FALSE)+(RAND()*0.00001)</f>
        <v>-3.7206043295609335</v>
      </c>
      <c r="I143" s="31">
        <f ca="1">H143-VLOOKUP(Settings!$K$8+Settings!$K$9,G$2:H$251,2,FALSE)</f>
        <v>-2.8530286103333355</v>
      </c>
      <c r="J143" s="31" t="str">
        <f>VLOOKUP(A143,Rankings!B:D,3,FALSE)</f>
        <v>NL</v>
      </c>
    </row>
    <row r="144" spans="1:10" ht="20.100000000000001" customHeight="1">
      <c r="A144" s="26" t="s">
        <v>556</v>
      </c>
      <c r="B144" s="27" t="s">
        <v>306</v>
      </c>
      <c r="C144" s="42" t="s">
        <v>34</v>
      </c>
      <c r="D144" s="138">
        <f t="shared" ca="1" si="4"/>
        <v>133</v>
      </c>
      <c r="E144" s="31">
        <f ca="1">VLOOKUP(A144,Rankings!$B$1:$H$651,6,FALSE)+(RAND()*0.00001)</f>
        <v>260.43111486339939</v>
      </c>
      <c r="F144" s="31">
        <f ca="1">E144-VLOOKUP(Settings!$K$8+Settings!$K$9,D$2:E$251,2,FALSE)</f>
        <v>0.30944064237746716</v>
      </c>
      <c r="G144" s="138">
        <f t="shared" ca="1" si="5"/>
        <v>147</v>
      </c>
      <c r="H144" s="31">
        <f ca="1">VLOOKUP(A144,Rankings!$B$1:$H$651,7,FALSE)+(RAND()*0.00001)</f>
        <v>-1.2202671154967313</v>
      </c>
      <c r="I144" s="31">
        <f ca="1">H144-VLOOKUP(Settings!$K$8+Settings!$K$9,G$2:H$251,2,FALSE)</f>
        <v>-0.35269139626913337</v>
      </c>
      <c r="J144" s="31" t="str">
        <f>VLOOKUP(A144,Rankings!B:D,3,FALSE)</f>
        <v>NL</v>
      </c>
    </row>
    <row r="145" spans="1:10" ht="20.100000000000001" customHeight="1">
      <c r="A145" s="26" t="s">
        <v>391</v>
      </c>
      <c r="B145" s="27" t="s">
        <v>63</v>
      </c>
      <c r="C145" s="36" t="s">
        <v>31</v>
      </c>
      <c r="D145" s="138">
        <f t="shared" ca="1" si="4"/>
        <v>142</v>
      </c>
      <c r="E145" s="31">
        <f ca="1">VLOOKUP(A145,Rankings!$B$1:$H$651,6,FALSE)+(RAND()*0.00001)</f>
        <v>246.77111126422599</v>
      </c>
      <c r="F145" s="31">
        <f ca="1">E145-VLOOKUP(Settings!$K$8+Settings!$K$9,D$2:E$251,2,FALSE)</f>
        <v>-13.350562956795926</v>
      </c>
      <c r="G145" s="138">
        <f t="shared" ca="1" si="5"/>
        <v>215</v>
      </c>
      <c r="H145" s="31">
        <f ca="1">VLOOKUP(A145,Rankings!$B$1:$H$651,7,FALSE)+(RAND()*0.00001)</f>
        <v>-2.7196372130307118</v>
      </c>
      <c r="I145" s="31">
        <f ca="1">H145-VLOOKUP(Settings!$K$8+Settings!$K$9,G$2:H$251,2,FALSE)</f>
        <v>-1.8520614938031139</v>
      </c>
      <c r="J145" s="31" t="str">
        <f>VLOOKUP(A145,Rankings!B:D,3,FALSE)</f>
        <v>NL</v>
      </c>
    </row>
    <row r="146" spans="1:10" ht="18.600000000000001" customHeight="1">
      <c r="A146" s="26" t="s">
        <v>701</v>
      </c>
      <c r="B146" s="27" t="s">
        <v>306</v>
      </c>
      <c r="C146" s="36" t="s">
        <v>31</v>
      </c>
      <c r="D146" s="138">
        <f t="shared" ca="1" si="4"/>
        <v>150</v>
      </c>
      <c r="E146" s="31">
        <f ca="1">VLOOKUP(A146,Rankings!$B$1:$H$651,6,FALSE)+(RAND()*0.00001)</f>
        <v>236.53376292309082</v>
      </c>
      <c r="F146" s="31">
        <f ca="1">E146-VLOOKUP(Settings!$K$8+Settings!$K$9,D$2:E$251,2,FALSE)</f>
        <v>-23.5879112979311</v>
      </c>
      <c r="G146" s="138">
        <f t="shared" ca="1" si="5"/>
        <v>250</v>
      </c>
      <c r="H146" s="31">
        <f ca="1">VLOOKUP(A146,Rankings!$B$1:$H$651,7,FALSE)+(RAND()*0.00001)</f>
        <v>-5.344437169814432</v>
      </c>
      <c r="I146" s="31">
        <f ca="1">H146-VLOOKUP(Settings!$K$8+Settings!$K$9,G$2:H$251,2,FALSE)</f>
        <v>-4.476861450586834</v>
      </c>
      <c r="J146" s="31" t="str">
        <f>VLOOKUP(A146,Rankings!B:D,3,FALSE)</f>
        <v>NL</v>
      </c>
    </row>
    <row r="147" spans="1:10" ht="18.600000000000001" customHeight="1">
      <c r="A147" s="26" t="s">
        <v>634</v>
      </c>
      <c r="B147" s="27" t="s">
        <v>140</v>
      </c>
      <c r="C147" s="36" t="s">
        <v>31</v>
      </c>
      <c r="D147" s="138">
        <f t="shared" ca="1" si="4"/>
        <v>144</v>
      </c>
      <c r="E147" s="31">
        <f ca="1">VLOOKUP(A147,Rankings!$B$1:$H$651,6,FALSE)+(RAND()*0.00001)</f>
        <v>243.06000625938748</v>
      </c>
      <c r="F147" s="31">
        <f ca="1">E147-VLOOKUP(Settings!$K$8+Settings!$K$9,D$2:E$251,2,FALSE)</f>
        <v>-17.061667961634441</v>
      </c>
      <c r="G147" s="138">
        <f t="shared" ca="1" si="5"/>
        <v>199</v>
      </c>
      <c r="H147" s="31">
        <f ca="1">VLOOKUP(A147,Rankings!$B$1:$H$651,7,FALSE)+(RAND()*0.00001)</f>
        <v>-2.4313099150327502</v>
      </c>
      <c r="I147" s="31">
        <f ca="1">H147-VLOOKUP(Settings!$K$8+Settings!$K$9,G$2:H$251,2,FALSE)</f>
        <v>-1.5637341958051523</v>
      </c>
      <c r="J147" s="31" t="str">
        <f>VLOOKUP(A147,Rankings!B:D,3,FALSE)</f>
        <v>AL</v>
      </c>
    </row>
    <row r="148" spans="1:10" ht="20.100000000000001" customHeight="1">
      <c r="A148" s="26" t="s">
        <v>630</v>
      </c>
      <c r="B148" s="27" t="s">
        <v>258</v>
      </c>
      <c r="C148" s="36" t="s">
        <v>31</v>
      </c>
      <c r="D148" s="138">
        <f t="shared" ca="1" si="4"/>
        <v>147</v>
      </c>
      <c r="E148" s="31">
        <f ca="1">VLOOKUP(A148,Rankings!$B$1:$H$651,6,FALSE)+(RAND()*0.00001)</f>
        <v>237.01962899562224</v>
      </c>
      <c r="F148" s="31">
        <f ca="1">E148-VLOOKUP(Settings!$K$8+Settings!$K$9,D$2:E$251,2,FALSE)</f>
        <v>-23.102045225399678</v>
      </c>
      <c r="G148" s="138">
        <f t="shared" ca="1" si="5"/>
        <v>232</v>
      </c>
      <c r="H148" s="31">
        <f ca="1">VLOOKUP(A148,Rankings!$B$1:$H$651,7,FALSE)+(RAND()*0.00001)</f>
        <v>-3.447150201293947</v>
      </c>
      <c r="I148" s="31">
        <f ca="1">H148-VLOOKUP(Settings!$K$8+Settings!$K$9,G$2:H$251,2,FALSE)</f>
        <v>-2.5795744820663491</v>
      </c>
      <c r="J148" s="31" t="str">
        <f>VLOOKUP(A148,Rankings!B:D,3,FALSE)</f>
        <v>AL</v>
      </c>
    </row>
    <row r="149" spans="1:10" ht="18.600000000000001" customHeight="1">
      <c r="A149" s="26" t="s">
        <v>668</v>
      </c>
      <c r="B149" s="27" t="s">
        <v>120</v>
      </c>
      <c r="C149" s="36" t="s">
        <v>31</v>
      </c>
      <c r="D149" s="138">
        <f t="shared" ca="1" si="4"/>
        <v>152</v>
      </c>
      <c r="E149" s="31">
        <f ca="1">VLOOKUP(A149,Rankings!$B$1:$H$651,6,FALSE)+(RAND()*0.00001)</f>
        <v>234.93574155436968</v>
      </c>
      <c r="F149" s="31">
        <f ca="1">E149-VLOOKUP(Settings!$K$8+Settings!$K$9,D$2:E$251,2,FALSE)</f>
        <v>-25.185932666652235</v>
      </c>
      <c r="G149" s="138">
        <f t="shared" ca="1" si="5"/>
        <v>248</v>
      </c>
      <c r="H149" s="31">
        <f ca="1">VLOOKUP(A149,Rankings!$B$1:$H$651,7,FALSE)+(RAND()*0.00001)</f>
        <v>-5.0384026143236937</v>
      </c>
      <c r="I149" s="31">
        <f ca="1">H149-VLOOKUP(Settings!$K$8+Settings!$K$9,G$2:H$251,2,FALSE)</f>
        <v>-4.1708268950960958</v>
      </c>
      <c r="J149" s="31" t="str">
        <f>VLOOKUP(A149,Rankings!B:D,3,FALSE)</f>
        <v>NL</v>
      </c>
    </row>
    <row r="150" spans="1:10" ht="18.600000000000001" customHeight="1">
      <c r="A150" s="26" t="s">
        <v>500</v>
      </c>
      <c r="B150" s="27" t="s">
        <v>86</v>
      </c>
      <c r="C150" s="42" t="s">
        <v>34</v>
      </c>
      <c r="D150" s="138">
        <f t="shared" ca="1" si="4"/>
        <v>148</v>
      </c>
      <c r="E150" s="31">
        <f ca="1">VLOOKUP(A150,Rankings!$B$1:$H$651,6,FALSE)+(RAND()*0.00001)</f>
        <v>236.98888946826423</v>
      </c>
      <c r="F150" s="31">
        <f ca="1">E150-VLOOKUP(Settings!$K$8+Settings!$K$9,D$2:E$251,2,FALSE)</f>
        <v>-23.132784752757686</v>
      </c>
      <c r="G150" s="138">
        <f t="shared" ca="1" si="5"/>
        <v>146</v>
      </c>
      <c r="H150" s="31">
        <f ca="1">VLOOKUP(A150,Rankings!$B$1:$H$651,7,FALSE)+(RAND()*0.00001)</f>
        <v>-1.1716250416392331</v>
      </c>
      <c r="I150" s="31">
        <f ca="1">H150-VLOOKUP(Settings!$K$8+Settings!$K$9,G$2:H$251,2,FALSE)</f>
        <v>-0.30404932241163518</v>
      </c>
      <c r="J150" s="31" t="str">
        <f>VLOOKUP(A150,Rankings!B:D,3,FALSE)</f>
        <v>AL</v>
      </c>
    </row>
    <row r="151" spans="1:10" ht="20.100000000000001" customHeight="1">
      <c r="A151" s="26" t="s">
        <v>274</v>
      </c>
      <c r="B151" s="27" t="s">
        <v>78</v>
      </c>
      <c r="C151" s="36" t="s">
        <v>31</v>
      </c>
      <c r="D151" s="138">
        <f t="shared" ca="1" si="4"/>
        <v>146</v>
      </c>
      <c r="E151" s="31">
        <f ca="1">VLOOKUP(A151,Rankings!$B$1:$H$651,6,FALSE)+(RAND()*0.00001)</f>
        <v>238.64709158380933</v>
      </c>
      <c r="F151" s="31">
        <f ca="1">E151-VLOOKUP(Settings!$K$8+Settings!$K$9,D$2:E$251,2,FALSE)</f>
        <v>-21.474582637212592</v>
      </c>
      <c r="G151" s="138">
        <f t="shared" ca="1" si="5"/>
        <v>119</v>
      </c>
      <c r="H151" s="31">
        <f ca="1">VLOOKUP(A151,Rankings!$B$1:$H$651,7,FALSE)+(RAND()*0.00001)</f>
        <v>-0.58743384405330468</v>
      </c>
      <c r="I151" s="31">
        <f ca="1">H151-VLOOKUP(Settings!$K$8+Settings!$K$9,G$2:H$251,2,FALSE)</f>
        <v>0.28014187517429323</v>
      </c>
      <c r="J151" s="31" t="str">
        <f>VLOOKUP(A151,Rankings!B:D,3,FALSE)</f>
        <v>AL</v>
      </c>
    </row>
    <row r="152" spans="1:10" ht="20.100000000000001" customHeight="1">
      <c r="A152" s="26" t="s">
        <v>552</v>
      </c>
      <c r="B152" s="27" t="s">
        <v>103</v>
      </c>
      <c r="C152" s="36" t="s">
        <v>31</v>
      </c>
      <c r="D152" s="138">
        <f t="shared" ca="1" si="4"/>
        <v>149</v>
      </c>
      <c r="E152" s="31">
        <f ca="1">VLOOKUP(A152,Rankings!$B$1:$H$651,6,FALSE)+(RAND()*0.00001)</f>
        <v>236.60000690425829</v>
      </c>
      <c r="F152" s="31">
        <f ca="1">E152-VLOOKUP(Settings!$K$8+Settings!$K$9,D$2:E$251,2,FALSE)</f>
        <v>-23.521667316763626</v>
      </c>
      <c r="G152" s="138">
        <f t="shared" ca="1" si="5"/>
        <v>212</v>
      </c>
      <c r="H152" s="31">
        <f ca="1">VLOOKUP(A152,Rankings!$B$1:$H$651,7,FALSE)+(RAND()*0.00001)</f>
        <v>-2.6648966009753448</v>
      </c>
      <c r="I152" s="31">
        <f ca="1">H152-VLOOKUP(Settings!$K$8+Settings!$K$9,G$2:H$251,2,FALSE)</f>
        <v>-1.7973208817477468</v>
      </c>
      <c r="J152" s="31" t="str">
        <f>VLOOKUP(A152,Rankings!B:D,3,FALSE)</f>
        <v>AL</v>
      </c>
    </row>
    <row r="153" spans="1:10" ht="20.100000000000001" customHeight="1">
      <c r="A153" s="26" t="s">
        <v>638</v>
      </c>
      <c r="B153" s="27" t="s">
        <v>140</v>
      </c>
      <c r="C153" s="36" t="s">
        <v>31</v>
      </c>
      <c r="D153" s="138">
        <f t="shared" ca="1" si="4"/>
        <v>151</v>
      </c>
      <c r="E153" s="31">
        <f ca="1">VLOOKUP(A153,Rankings!$B$1:$H$651,6,FALSE)+(RAND()*0.00001)</f>
        <v>236.39607424361881</v>
      </c>
      <c r="F153" s="31">
        <f ca="1">E153-VLOOKUP(Settings!$K$8+Settings!$K$9,D$2:E$251,2,FALSE)</f>
        <v>-23.725599977403107</v>
      </c>
      <c r="G153" s="138">
        <f t="shared" ca="1" si="5"/>
        <v>239</v>
      </c>
      <c r="H153" s="31">
        <f ca="1">VLOOKUP(A153,Rankings!$B$1:$H$651,7,FALSE)+(RAND()*0.00001)</f>
        <v>-3.9673151575557366</v>
      </c>
      <c r="I153" s="31">
        <f ca="1">H153-VLOOKUP(Settings!$K$8+Settings!$K$9,G$2:H$251,2,FALSE)</f>
        <v>-3.0997394383281387</v>
      </c>
      <c r="J153" s="31" t="str">
        <f>VLOOKUP(A153,Rankings!B:D,3,FALSE)</f>
        <v>AL</v>
      </c>
    </row>
    <row r="154" spans="1:10" ht="20.100000000000001" customHeight="1">
      <c r="A154" s="26" t="s">
        <v>547</v>
      </c>
      <c r="B154" s="27" t="s">
        <v>117</v>
      </c>
      <c r="C154" s="36" t="s">
        <v>31</v>
      </c>
      <c r="D154" s="138">
        <f t="shared" ca="1" si="4"/>
        <v>155</v>
      </c>
      <c r="E154" s="31">
        <f ca="1">VLOOKUP(A154,Rankings!$B$1:$H$651,6,FALSE)+(RAND()*0.00001)</f>
        <v>229.06213843588603</v>
      </c>
      <c r="F154" s="31">
        <f ca="1">E154-VLOOKUP(Settings!$K$8+Settings!$K$9,D$2:E$251,2,FALSE)</f>
        <v>-31.059535785135893</v>
      </c>
      <c r="G154" s="138">
        <f t="shared" ca="1" si="5"/>
        <v>238</v>
      </c>
      <c r="H154" s="31">
        <f ca="1">VLOOKUP(A154,Rankings!$B$1:$H$651,7,FALSE)+(RAND()*0.00001)</f>
        <v>-3.8620409452541686</v>
      </c>
      <c r="I154" s="31">
        <f ca="1">H154-VLOOKUP(Settings!$K$8+Settings!$K$9,G$2:H$251,2,FALSE)</f>
        <v>-2.9944652260265707</v>
      </c>
      <c r="J154" s="31" t="str">
        <f>VLOOKUP(A154,Rankings!B:D,3,FALSE)</f>
        <v>AL</v>
      </c>
    </row>
    <row r="155" spans="1:10" ht="18.600000000000001" customHeight="1">
      <c r="A155" s="26" t="s">
        <v>237</v>
      </c>
      <c r="B155" s="27" t="s">
        <v>71</v>
      </c>
      <c r="C155" s="42" t="s">
        <v>34</v>
      </c>
      <c r="D155" s="138">
        <f t="shared" ca="1" si="4"/>
        <v>154</v>
      </c>
      <c r="E155" s="31">
        <f ca="1">VLOOKUP(A155,Rankings!$B$1:$H$651,6,FALSE)+(RAND()*0.00001)</f>
        <v>230.43833973671249</v>
      </c>
      <c r="F155" s="31">
        <f ca="1">E155-VLOOKUP(Settings!$K$8+Settings!$K$9,D$2:E$251,2,FALSE)</f>
        <v>-29.683334484309427</v>
      </c>
      <c r="G155" s="138">
        <f t="shared" ca="1" si="5"/>
        <v>26</v>
      </c>
      <c r="H155" s="31">
        <f ca="1">VLOOKUP(A155,Rankings!$B$1:$H$651,7,FALSE)+(RAND()*0.00001)</f>
        <v>4.4421931501067045</v>
      </c>
      <c r="I155" s="31">
        <f ca="1">H155-VLOOKUP(Settings!$K$8+Settings!$K$9,G$2:H$251,2,FALSE)</f>
        <v>5.3097688693343024</v>
      </c>
      <c r="J155" s="31" t="str">
        <f>VLOOKUP(A155,Rankings!B:D,3,FALSE)</f>
        <v>AL</v>
      </c>
    </row>
    <row r="156" spans="1:10" ht="20.100000000000001" customHeight="1">
      <c r="A156" s="26" t="s">
        <v>450</v>
      </c>
      <c r="B156" s="27" t="s">
        <v>158</v>
      </c>
      <c r="C156" s="42" t="s">
        <v>34</v>
      </c>
      <c r="D156" s="138">
        <f t="shared" ca="1" si="4"/>
        <v>169</v>
      </c>
      <c r="E156" s="31">
        <f ca="1">VLOOKUP(A156,Rankings!$B$1:$H$651,6,FALSE)+(RAND()*0.00001)</f>
        <v>209.45556282967908</v>
      </c>
      <c r="F156" s="31">
        <f ca="1">E156-VLOOKUP(Settings!$K$8+Settings!$K$9,D$2:E$251,2,FALSE)</f>
        <v>-50.666111391342838</v>
      </c>
      <c r="G156" s="138">
        <f t="shared" ca="1" si="5"/>
        <v>135</v>
      </c>
      <c r="H156" s="31">
        <f ca="1">VLOOKUP(A156,Rankings!$B$1:$H$651,7,FALSE)+(RAND()*0.00001)</f>
        <v>-0.86757571922759791</v>
      </c>
      <c r="I156" s="31">
        <f ca="1">H156-VLOOKUP(Settings!$K$8+Settings!$K$9,G$2:H$251,2,FALSE)</f>
        <v>0</v>
      </c>
      <c r="J156" s="31" t="str">
        <f>VLOOKUP(A156,Rankings!B:D,3,FALSE)</f>
        <v>NL</v>
      </c>
    </row>
    <row r="157" spans="1:10" ht="20.100000000000001" customHeight="1">
      <c r="A157" s="26" t="s">
        <v>443</v>
      </c>
      <c r="B157" s="27" t="s">
        <v>91</v>
      </c>
      <c r="C157" s="42" t="s">
        <v>34</v>
      </c>
      <c r="D157" s="138">
        <f t="shared" ca="1" si="4"/>
        <v>160</v>
      </c>
      <c r="E157" s="31">
        <f ca="1">VLOOKUP(A157,Rankings!$B$1:$H$651,6,FALSE)+(RAND()*0.00001)</f>
        <v>218.68167277235875</v>
      </c>
      <c r="F157" s="31">
        <f ca="1">E157-VLOOKUP(Settings!$K$8+Settings!$K$9,D$2:E$251,2,FALSE)</f>
        <v>-41.440001448663168</v>
      </c>
      <c r="G157" s="138">
        <f t="shared" ca="1" si="5"/>
        <v>124</v>
      </c>
      <c r="H157" s="31">
        <f ca="1">VLOOKUP(A157,Rankings!$B$1:$H$651,7,FALSE)+(RAND()*0.00001)</f>
        <v>-0.70276336113388571</v>
      </c>
      <c r="I157" s="31">
        <f ca="1">H157-VLOOKUP(Settings!$K$8+Settings!$K$9,G$2:H$251,2,FALSE)</f>
        <v>0.1648123580937122</v>
      </c>
      <c r="J157" s="31" t="str">
        <f>VLOOKUP(A157,Rankings!B:D,3,FALSE)</f>
        <v>NL</v>
      </c>
    </row>
    <row r="158" spans="1:10" ht="20.100000000000001" customHeight="1">
      <c r="A158" s="26" t="s">
        <v>607</v>
      </c>
      <c r="B158" s="27" t="s">
        <v>258</v>
      </c>
      <c r="C158" s="36" t="s">
        <v>31</v>
      </c>
      <c r="D158" s="138">
        <f t="shared" ca="1" si="4"/>
        <v>159</v>
      </c>
      <c r="E158" s="31">
        <f ca="1">VLOOKUP(A158,Rankings!$B$1:$H$651,6,FALSE)+(RAND()*0.00001)</f>
        <v>218.74767220449866</v>
      </c>
      <c r="F158" s="31">
        <f ca="1">E158-VLOOKUP(Settings!$K$8+Settings!$K$9,D$2:E$251,2,FALSE)</f>
        <v>-41.374002016523264</v>
      </c>
      <c r="G158" s="138">
        <f t="shared" ca="1" si="5"/>
        <v>205</v>
      </c>
      <c r="H158" s="31">
        <f ca="1">VLOOKUP(A158,Rankings!$B$1:$H$651,7,FALSE)+(RAND()*0.00001)</f>
        <v>-2.502377577159653</v>
      </c>
      <c r="I158" s="31">
        <f ca="1">H158-VLOOKUP(Settings!$K$8+Settings!$K$9,G$2:H$251,2,FALSE)</f>
        <v>-1.6348018579320551</v>
      </c>
      <c r="J158" s="31" t="str">
        <f>VLOOKUP(A158,Rankings!B:D,3,FALSE)</f>
        <v>AL</v>
      </c>
    </row>
    <row r="159" spans="1:10" ht="18.600000000000001" customHeight="1">
      <c r="A159" s="26" t="s">
        <v>484</v>
      </c>
      <c r="B159" s="27" t="s">
        <v>103</v>
      </c>
      <c r="C159" s="36" t="s">
        <v>31</v>
      </c>
      <c r="D159" s="138">
        <f t="shared" ca="1" si="4"/>
        <v>163</v>
      </c>
      <c r="E159" s="31">
        <f ca="1">VLOOKUP(A159,Rankings!$B$1:$H$651,6,FALSE)+(RAND()*0.00001)</f>
        <v>215.49040570031667</v>
      </c>
      <c r="F159" s="31">
        <f ca="1">E159-VLOOKUP(Settings!$K$8+Settings!$K$9,D$2:E$251,2,FALSE)</f>
        <v>-44.631268520705248</v>
      </c>
      <c r="G159" s="138">
        <f t="shared" ca="1" si="5"/>
        <v>202</v>
      </c>
      <c r="H159" s="31">
        <f ca="1">VLOOKUP(A159,Rankings!$B$1:$H$651,7,FALSE)+(RAND()*0.00001)</f>
        <v>-2.4425515724817575</v>
      </c>
      <c r="I159" s="31">
        <f ca="1">H159-VLOOKUP(Settings!$K$8+Settings!$K$9,G$2:H$251,2,FALSE)</f>
        <v>-1.5749758532541596</v>
      </c>
      <c r="J159" s="31" t="str">
        <f>VLOOKUP(A159,Rankings!B:D,3,FALSE)</f>
        <v>AL</v>
      </c>
    </row>
    <row r="160" spans="1:10" ht="18.600000000000001" customHeight="1">
      <c r="A160" s="26" t="s">
        <v>562</v>
      </c>
      <c r="B160" s="27" t="s">
        <v>94</v>
      </c>
      <c r="C160" s="36" t="s">
        <v>31</v>
      </c>
      <c r="D160" s="138">
        <f t="shared" ca="1" si="4"/>
        <v>157</v>
      </c>
      <c r="E160" s="31">
        <f ca="1">VLOOKUP(A160,Rankings!$B$1:$H$651,6,FALSE)+(RAND()*0.00001)</f>
        <v>219.43667534892904</v>
      </c>
      <c r="F160" s="31">
        <f ca="1">E160-VLOOKUP(Settings!$K$8+Settings!$K$9,D$2:E$251,2,FALSE)</f>
        <v>-40.684998872092876</v>
      </c>
      <c r="G160" s="138">
        <f t="shared" ca="1" si="5"/>
        <v>224</v>
      </c>
      <c r="H160" s="31">
        <f ca="1">VLOOKUP(A160,Rankings!$B$1:$H$651,7,FALSE)+(RAND()*0.00001)</f>
        <v>-3.2289559577800895</v>
      </c>
      <c r="I160" s="31">
        <f ca="1">H160-VLOOKUP(Settings!$K$8+Settings!$K$9,G$2:H$251,2,FALSE)</f>
        <v>-2.3613802385524916</v>
      </c>
      <c r="J160" s="31" t="str">
        <f>VLOOKUP(A160,Rankings!B:D,3,FALSE)</f>
        <v>AL</v>
      </c>
    </row>
    <row r="161" spans="1:10" ht="18.600000000000001" customHeight="1">
      <c r="A161" s="26" t="s">
        <v>437</v>
      </c>
      <c r="B161" s="27" t="s">
        <v>114</v>
      </c>
      <c r="C161" s="36" t="s">
        <v>31</v>
      </c>
      <c r="D161" s="138">
        <f t="shared" ca="1" si="4"/>
        <v>158</v>
      </c>
      <c r="E161" s="31">
        <f ca="1">VLOOKUP(A161,Rankings!$B$1:$H$651,6,FALSE)+(RAND()*0.00001)</f>
        <v>219.19817839692359</v>
      </c>
      <c r="F161" s="31">
        <f ca="1">E161-VLOOKUP(Settings!$K$8+Settings!$K$9,D$2:E$251,2,FALSE)</f>
        <v>-40.923495824098325</v>
      </c>
      <c r="G161" s="138">
        <f t="shared" ca="1" si="5"/>
        <v>231</v>
      </c>
      <c r="H161" s="31">
        <f ca="1">VLOOKUP(A161,Rankings!$B$1:$H$651,7,FALSE)+(RAND()*0.00001)</f>
        <v>-3.4431291811111007</v>
      </c>
      <c r="I161" s="31">
        <f ca="1">H161-VLOOKUP(Settings!$K$8+Settings!$K$9,G$2:H$251,2,FALSE)</f>
        <v>-2.5755534618835028</v>
      </c>
      <c r="J161" s="31" t="str">
        <f>VLOOKUP(A161,Rankings!B:D,3,FALSE)</f>
        <v>AL</v>
      </c>
    </row>
    <row r="162" spans="1:10" ht="20.100000000000001" customHeight="1">
      <c r="A162" s="26" t="s">
        <v>757</v>
      </c>
      <c r="B162" s="27" t="s">
        <v>140</v>
      </c>
      <c r="C162" s="36" t="s">
        <v>31</v>
      </c>
      <c r="D162" s="138">
        <f t="shared" ca="1" si="4"/>
        <v>141</v>
      </c>
      <c r="E162" s="31">
        <f ca="1">VLOOKUP(A162,Rankings!$B$1:$H$651,6,FALSE)+(RAND()*0.00001)</f>
        <v>248.7908424384411</v>
      </c>
      <c r="F162" s="31">
        <f ca="1">E162-VLOOKUP(Settings!$K$8+Settings!$K$9,D$2:E$251,2,FALSE)</f>
        <v>-11.330831782580816</v>
      </c>
      <c r="G162" s="138">
        <f t="shared" ca="1" si="5"/>
        <v>223</v>
      </c>
      <c r="H162" s="31">
        <f ca="1">VLOOKUP(A162,Rankings!$B$1:$H$651,7,FALSE)+(RAND()*0.00001)</f>
        <v>-3.2034213972952248</v>
      </c>
      <c r="I162" s="31">
        <f ca="1">H162-VLOOKUP(Settings!$K$8+Settings!$K$9,G$2:H$251,2,FALSE)</f>
        <v>-2.3358456780676269</v>
      </c>
      <c r="J162" s="31" t="str">
        <f>VLOOKUP(A162,Rankings!B:D,3,FALSE)</f>
        <v>NL</v>
      </c>
    </row>
    <row r="163" spans="1:10" ht="20.100000000000001" customHeight="1">
      <c r="A163" s="26" t="s">
        <v>337</v>
      </c>
      <c r="B163" s="27" t="s">
        <v>120</v>
      </c>
      <c r="C163" s="36" t="s">
        <v>31</v>
      </c>
      <c r="D163" s="138">
        <f t="shared" ca="1" si="4"/>
        <v>176</v>
      </c>
      <c r="E163" s="31">
        <f ca="1">VLOOKUP(A163,Rankings!$B$1:$H$651,6,FALSE)+(RAND()*0.00001)</f>
        <v>199.20837085388726</v>
      </c>
      <c r="F163" s="31">
        <f ca="1">E163-VLOOKUP(Settings!$K$8+Settings!$K$9,D$2:E$251,2,FALSE)</f>
        <v>-60.91330336713466</v>
      </c>
      <c r="G163" s="138">
        <f t="shared" ca="1" si="5"/>
        <v>240</v>
      </c>
      <c r="H163" s="31">
        <f ca="1">VLOOKUP(A163,Rankings!$B$1:$H$651,7,FALSE)+(RAND()*0.00001)</f>
        <v>-4.0120908951228644</v>
      </c>
      <c r="I163" s="31">
        <f ca="1">H163-VLOOKUP(Settings!$K$8+Settings!$K$9,G$2:H$251,2,FALSE)</f>
        <v>-3.1445151758952665</v>
      </c>
      <c r="J163" s="31" t="str">
        <f>VLOOKUP(A163,Rankings!B:D,3,FALSE)</f>
        <v>NL</v>
      </c>
    </row>
    <row r="164" spans="1:10" ht="20.100000000000001" customHeight="1">
      <c r="A164" s="26" t="s">
        <v>524</v>
      </c>
      <c r="B164" s="27" t="s">
        <v>63</v>
      </c>
      <c r="C164" s="36" t="s">
        <v>31</v>
      </c>
      <c r="D164" s="138">
        <f t="shared" ca="1" si="4"/>
        <v>139</v>
      </c>
      <c r="E164" s="31">
        <f ca="1">VLOOKUP(A164,Rankings!$B$1:$H$651,6,FALSE)+(RAND()*0.00001)</f>
        <v>255.06666941514553</v>
      </c>
      <c r="F164" s="31">
        <f ca="1">E164-VLOOKUP(Settings!$K$8+Settings!$K$9,D$2:E$251,2,FALSE)</f>
        <v>-5.0550048058763934</v>
      </c>
      <c r="G164" s="138">
        <f t="shared" ca="1" si="5"/>
        <v>114</v>
      </c>
      <c r="H164" s="31">
        <f ca="1">VLOOKUP(A164,Rankings!$B$1:$H$651,7,FALSE)+(RAND()*0.00001)</f>
        <v>-0.48896088325383597</v>
      </c>
      <c r="I164" s="31">
        <f ca="1">H164-VLOOKUP(Settings!$K$8+Settings!$K$9,G$2:H$251,2,FALSE)</f>
        <v>0.37861483597376194</v>
      </c>
      <c r="J164" s="31" t="str">
        <f>VLOOKUP(A164,Rankings!B:D,3,FALSE)</f>
        <v>NL</v>
      </c>
    </row>
    <row r="165" spans="1:10" ht="20.100000000000001" customHeight="1">
      <c r="A165" s="26" t="s">
        <v>525</v>
      </c>
      <c r="B165" s="27" t="s">
        <v>158</v>
      </c>
      <c r="C165" s="36" t="s">
        <v>31</v>
      </c>
      <c r="D165" s="138">
        <f t="shared" ca="1" si="4"/>
        <v>162</v>
      </c>
      <c r="E165" s="31">
        <f ca="1">VLOOKUP(A165,Rankings!$B$1:$H$651,6,FALSE)+(RAND()*0.00001)</f>
        <v>216.4295864452674</v>
      </c>
      <c r="F165" s="31">
        <f ca="1">E165-VLOOKUP(Settings!$K$8+Settings!$K$9,D$2:E$251,2,FALSE)</f>
        <v>-43.692087775754516</v>
      </c>
      <c r="G165" s="138">
        <f t="shared" ca="1" si="5"/>
        <v>226</v>
      </c>
      <c r="H165" s="31">
        <f ca="1">VLOOKUP(A165,Rankings!$B$1:$H$651,7,FALSE)+(RAND()*0.00001)</f>
        <v>-3.2330648324381577</v>
      </c>
      <c r="I165" s="31">
        <f ca="1">H165-VLOOKUP(Settings!$K$8+Settings!$K$9,G$2:H$251,2,FALSE)</f>
        <v>-2.3654891132105598</v>
      </c>
      <c r="J165" s="31" t="str">
        <f>VLOOKUP(A165,Rankings!B:D,3,FALSE)</f>
        <v>NL</v>
      </c>
    </row>
    <row r="166" spans="1:10" ht="18.600000000000001" customHeight="1">
      <c r="A166" s="26" t="s">
        <v>512</v>
      </c>
      <c r="B166" s="27" t="s">
        <v>114</v>
      </c>
      <c r="C166" s="42" t="s">
        <v>34</v>
      </c>
      <c r="D166" s="138">
        <f t="shared" ca="1" si="4"/>
        <v>172</v>
      </c>
      <c r="E166" s="31">
        <f ca="1">VLOOKUP(A166,Rankings!$B$1:$H$651,6,FALSE)+(RAND()*0.00001)</f>
        <v>204.34055790856758</v>
      </c>
      <c r="F166" s="31">
        <f ca="1">E166-VLOOKUP(Settings!$K$8+Settings!$K$9,D$2:E$251,2,FALSE)</f>
        <v>-55.781116312454344</v>
      </c>
      <c r="G166" s="138">
        <f t="shared" ca="1" si="5"/>
        <v>172</v>
      </c>
      <c r="H166" s="31">
        <f ca="1">VLOOKUP(A166,Rankings!$B$1:$H$651,7,FALSE)+(RAND()*0.00001)</f>
        <v>-1.928260963267844</v>
      </c>
      <c r="I166" s="31">
        <f ca="1">H166-VLOOKUP(Settings!$K$8+Settings!$K$9,G$2:H$251,2,FALSE)</f>
        <v>-1.0606852440402461</v>
      </c>
      <c r="J166" s="31" t="str">
        <f>VLOOKUP(A166,Rankings!B:D,3,FALSE)</f>
        <v>AL</v>
      </c>
    </row>
    <row r="167" spans="1:10" ht="18.600000000000001" customHeight="1">
      <c r="A167" s="26" t="s">
        <v>674</v>
      </c>
      <c r="B167" s="27" t="s">
        <v>84</v>
      </c>
      <c r="C167" s="42" t="s">
        <v>34</v>
      </c>
      <c r="D167" s="138">
        <f t="shared" ca="1" si="4"/>
        <v>166</v>
      </c>
      <c r="E167" s="31">
        <f ca="1">VLOOKUP(A167,Rankings!$B$1:$H$651,6,FALSE)+(RAND()*0.00001)</f>
        <v>211.74166858987314</v>
      </c>
      <c r="F167" s="31">
        <f ca="1">E167-VLOOKUP(Settings!$K$8+Settings!$K$9,D$2:E$251,2,FALSE)</f>
        <v>-48.380005631148777</v>
      </c>
      <c r="G167" s="138">
        <f t="shared" ca="1" si="5"/>
        <v>184</v>
      </c>
      <c r="H167" s="31">
        <f ca="1">VLOOKUP(A167,Rankings!$B$1:$H$651,7,FALSE)+(RAND()*0.00001)</f>
        <v>-2.1565175830830317</v>
      </c>
      <c r="I167" s="31">
        <f ca="1">H167-VLOOKUP(Settings!$K$8+Settings!$K$9,G$2:H$251,2,FALSE)</f>
        <v>-1.2889418638554337</v>
      </c>
      <c r="J167" s="31" t="str">
        <f>VLOOKUP(A167,Rankings!B:D,3,FALSE)</f>
        <v>AL</v>
      </c>
    </row>
    <row r="168" spans="1:10" ht="18.600000000000001" customHeight="1">
      <c r="A168" s="26" t="s">
        <v>539</v>
      </c>
      <c r="B168" s="27" t="s">
        <v>134</v>
      </c>
      <c r="C168" s="42" t="s">
        <v>34</v>
      </c>
      <c r="D168" s="138">
        <f t="shared" ca="1" si="4"/>
        <v>174</v>
      </c>
      <c r="E168" s="31">
        <f ca="1">VLOOKUP(A168,Rankings!$B$1:$H$651,6,FALSE)+(RAND()*0.00001)</f>
        <v>202.47862310291106</v>
      </c>
      <c r="F168" s="31">
        <f ca="1">E168-VLOOKUP(Settings!$K$8+Settings!$K$9,D$2:E$251,2,FALSE)</f>
        <v>-57.643051118110861</v>
      </c>
      <c r="G168" s="138">
        <f t="shared" ca="1" si="5"/>
        <v>158</v>
      </c>
      <c r="H168" s="31">
        <f ca="1">VLOOKUP(A168,Rankings!$B$1:$H$651,7,FALSE)+(RAND()*0.00001)</f>
        <v>-1.6069683737606917</v>
      </c>
      <c r="I168" s="31">
        <f ca="1">H168-VLOOKUP(Settings!$K$8+Settings!$K$9,G$2:H$251,2,FALSE)</f>
        <v>-0.73939265453309377</v>
      </c>
      <c r="J168" s="31" t="str">
        <f>VLOOKUP(A168,Rankings!B:D,3,FALSE)</f>
        <v>NL</v>
      </c>
    </row>
    <row r="169" spans="1:10" ht="20.100000000000001" customHeight="1">
      <c r="A169" s="26" t="s">
        <v>527</v>
      </c>
      <c r="B169" s="27" t="s">
        <v>91</v>
      </c>
      <c r="C169" s="42" t="s">
        <v>34</v>
      </c>
      <c r="D169" s="138">
        <f t="shared" ca="1" si="4"/>
        <v>167</v>
      </c>
      <c r="E169" s="31">
        <f ca="1">VLOOKUP(A169,Rankings!$B$1:$H$651,6,FALSE)+(RAND()*0.00001)</f>
        <v>211.73111765017924</v>
      </c>
      <c r="F169" s="31">
        <f ca="1">E169-VLOOKUP(Settings!$K$8+Settings!$K$9,D$2:E$251,2,FALSE)</f>
        <v>-48.390556570842676</v>
      </c>
      <c r="G169" s="138">
        <f t="shared" ca="1" si="5"/>
        <v>122</v>
      </c>
      <c r="H169" s="31">
        <f ca="1">VLOOKUP(A169,Rankings!$B$1:$H$651,7,FALSE)+(RAND()*0.00001)</f>
        <v>-0.62480069506445446</v>
      </c>
      <c r="I169" s="31">
        <f ca="1">H169-VLOOKUP(Settings!$K$8+Settings!$K$9,G$2:H$251,2,FALSE)</f>
        <v>0.24277502416314345</v>
      </c>
      <c r="J169" s="31" t="str">
        <f>VLOOKUP(A169,Rankings!B:D,3,FALSE)</f>
        <v>NL</v>
      </c>
    </row>
    <row r="170" spans="1:10" ht="18.600000000000001" customHeight="1">
      <c r="A170" s="26" t="s">
        <v>606</v>
      </c>
      <c r="B170" s="27" t="s">
        <v>158</v>
      </c>
      <c r="C170" s="36" t="s">
        <v>31</v>
      </c>
      <c r="D170" s="138">
        <f t="shared" ca="1" si="4"/>
        <v>182</v>
      </c>
      <c r="E170" s="31">
        <f ca="1">VLOOKUP(A170,Rankings!$B$1:$H$651,6,FALSE)+(RAND()*0.00001)</f>
        <v>186.98577933483563</v>
      </c>
      <c r="F170" s="31">
        <f ca="1">E170-VLOOKUP(Settings!$K$8+Settings!$K$9,D$2:E$251,2,FALSE)</f>
        <v>-73.135894886186293</v>
      </c>
      <c r="G170" s="138">
        <f t="shared" ca="1" si="5"/>
        <v>247</v>
      </c>
      <c r="H170" s="31">
        <f ca="1">VLOOKUP(A170,Rankings!$B$1:$H$651,7,FALSE)+(RAND()*0.00001)</f>
        <v>-5.0363400772718627</v>
      </c>
      <c r="I170" s="31">
        <f ca="1">H170-VLOOKUP(Settings!$K$8+Settings!$K$9,G$2:H$251,2,FALSE)</f>
        <v>-4.1687643580442648</v>
      </c>
      <c r="J170" s="31" t="str">
        <f>VLOOKUP(A170,Rankings!B:D,3,FALSE)</f>
        <v>NL</v>
      </c>
    </row>
    <row r="171" spans="1:10" ht="20.100000000000001" customHeight="1">
      <c r="A171" s="26" t="s">
        <v>358</v>
      </c>
      <c r="B171" s="27" t="s">
        <v>81</v>
      </c>
      <c r="C171" s="42" t="s">
        <v>34</v>
      </c>
      <c r="D171" s="138">
        <f t="shared" ca="1" si="4"/>
        <v>168</v>
      </c>
      <c r="E171" s="31">
        <f ca="1">VLOOKUP(A171,Rankings!$B$1:$H$651,6,FALSE)+(RAND()*0.00001)</f>
        <v>211.24056307732508</v>
      </c>
      <c r="F171" s="31">
        <f ca="1">E171-VLOOKUP(Settings!$K$8+Settings!$K$9,D$2:E$251,2,FALSE)</f>
        <v>-48.881111143696842</v>
      </c>
      <c r="G171" s="138">
        <f t="shared" ca="1" si="5"/>
        <v>77</v>
      </c>
      <c r="H171" s="31">
        <f ca="1">VLOOKUP(A171,Rankings!$B$1:$H$651,7,FALSE)+(RAND()*0.00001)</f>
        <v>1.2857500663322934</v>
      </c>
      <c r="I171" s="31">
        <f ca="1">H171-VLOOKUP(Settings!$K$8+Settings!$K$9,G$2:H$251,2,FALSE)</f>
        <v>2.1533257855598915</v>
      </c>
      <c r="J171" s="31" t="str">
        <f>VLOOKUP(A171,Rankings!B:D,3,FALSE)</f>
        <v>NL</v>
      </c>
    </row>
    <row r="172" spans="1:10" ht="20.100000000000001" customHeight="1">
      <c r="A172" s="26" t="s">
        <v>417</v>
      </c>
      <c r="B172" s="27" t="s">
        <v>81</v>
      </c>
      <c r="C172" s="42" t="s">
        <v>34</v>
      </c>
      <c r="D172" s="138">
        <f t="shared" ca="1" si="4"/>
        <v>175</v>
      </c>
      <c r="E172" s="31">
        <f ca="1">VLOOKUP(A172,Rankings!$B$1:$H$651,6,FALSE)+(RAND()*0.00001)</f>
        <v>200.54584121584708</v>
      </c>
      <c r="F172" s="31">
        <f ca="1">E172-VLOOKUP(Settings!$K$8+Settings!$K$9,D$2:E$251,2,FALSE)</f>
        <v>-59.575833005174843</v>
      </c>
      <c r="G172" s="138">
        <f t="shared" ca="1" si="5"/>
        <v>106</v>
      </c>
      <c r="H172" s="31">
        <f ca="1">VLOOKUP(A172,Rankings!$B$1:$H$651,7,FALSE)+(RAND()*0.00001)</f>
        <v>-0.23253847743804187</v>
      </c>
      <c r="I172" s="31">
        <f ca="1">H172-VLOOKUP(Settings!$K$8+Settings!$K$9,G$2:H$251,2,FALSE)</f>
        <v>0.63503724178955601</v>
      </c>
      <c r="J172" s="31" t="str">
        <f>VLOOKUP(A172,Rankings!B:D,3,FALSE)</f>
        <v>NL</v>
      </c>
    </row>
    <row r="173" spans="1:10" ht="20.100000000000001" customHeight="1">
      <c r="A173" s="26" t="s">
        <v>536</v>
      </c>
      <c r="B173" s="27" t="s">
        <v>140</v>
      </c>
      <c r="C173" s="42" t="s">
        <v>34</v>
      </c>
      <c r="D173" s="138">
        <f t="shared" ca="1" si="4"/>
        <v>173</v>
      </c>
      <c r="E173" s="31">
        <f ca="1">VLOOKUP(A173,Rankings!$B$1:$H$651,6,FALSE)+(RAND()*0.00001)</f>
        <v>203.97000958860755</v>
      </c>
      <c r="F173" s="31">
        <f ca="1">E173-VLOOKUP(Settings!$K$8+Settings!$K$9,D$2:E$251,2,FALSE)</f>
        <v>-56.151664632414366</v>
      </c>
      <c r="G173" s="138">
        <f t="shared" ca="1" si="5"/>
        <v>164</v>
      </c>
      <c r="H173" s="31">
        <f ca="1">VLOOKUP(A173,Rankings!$B$1:$H$651,7,FALSE)+(RAND()*0.00001)</f>
        <v>-1.736531850845713</v>
      </c>
      <c r="I173" s="31">
        <f ca="1">H173-VLOOKUP(Settings!$K$8+Settings!$K$9,G$2:H$251,2,FALSE)</f>
        <v>-0.86895613161811514</v>
      </c>
      <c r="J173" s="31" t="str">
        <f>VLOOKUP(A173,Rankings!B:D,3,FALSE)</f>
        <v>AL</v>
      </c>
    </row>
    <row r="174" spans="1:10" ht="18.600000000000001" customHeight="1">
      <c r="A174" s="26" t="s">
        <v>352</v>
      </c>
      <c r="B174" s="27" t="s">
        <v>101</v>
      </c>
      <c r="C174" s="42" t="s">
        <v>34</v>
      </c>
      <c r="D174" s="138">
        <f t="shared" ca="1" si="4"/>
        <v>171</v>
      </c>
      <c r="E174" s="31">
        <f ca="1">VLOOKUP(A174,Rankings!$B$1:$H$651,6,FALSE)+(RAND()*0.00001)</f>
        <v>204.64277905172452</v>
      </c>
      <c r="F174" s="31">
        <f ca="1">E174-VLOOKUP(Settings!$K$8+Settings!$K$9,D$2:E$251,2,FALSE)</f>
        <v>-55.478895169297402</v>
      </c>
      <c r="G174" s="138">
        <f t="shared" ca="1" si="5"/>
        <v>75</v>
      </c>
      <c r="H174" s="31">
        <f ca="1">VLOOKUP(A174,Rankings!$B$1:$H$651,7,FALSE)+(RAND()*0.00001)</f>
        <v>1.3727223793391745</v>
      </c>
      <c r="I174" s="31">
        <f ca="1">H174-VLOOKUP(Settings!$K$8+Settings!$K$9,G$2:H$251,2,FALSE)</f>
        <v>2.2402980985667726</v>
      </c>
      <c r="J174" s="31" t="str">
        <f>VLOOKUP(A174,Rankings!B:D,3,FALSE)</f>
        <v>AL</v>
      </c>
    </row>
    <row r="175" spans="1:10" ht="20.100000000000001" customHeight="1">
      <c r="A175" s="26" t="s">
        <v>592</v>
      </c>
      <c r="B175" s="27" t="s">
        <v>91</v>
      </c>
      <c r="C175" s="36" t="s">
        <v>31</v>
      </c>
      <c r="D175" s="138">
        <f t="shared" ca="1" si="4"/>
        <v>207</v>
      </c>
      <c r="E175" s="31">
        <f ca="1">VLOOKUP(A175,Rankings!$B$1:$H$651,6,FALSE)+(RAND()*0.00001)</f>
        <v>158.37917180242212</v>
      </c>
      <c r="F175" s="31">
        <f ca="1">E175-VLOOKUP(Settings!$K$8+Settings!$K$9,D$2:E$251,2,FALSE)</f>
        <v>-101.7425024185998</v>
      </c>
      <c r="G175" s="138">
        <f t="shared" ca="1" si="5"/>
        <v>90</v>
      </c>
      <c r="H175" s="31">
        <f ca="1">VLOOKUP(A175,Rankings!$B$1:$H$651,7,FALSE)+(RAND()*0.00001)</f>
        <v>0.34300895454278751</v>
      </c>
      <c r="I175" s="31">
        <f ca="1">H175-VLOOKUP(Settings!$K$8+Settings!$K$9,G$2:H$251,2,FALSE)</f>
        <v>1.2105846737703854</v>
      </c>
      <c r="J175" s="31" t="str">
        <f>VLOOKUP(A175,Rankings!B:D,3,FALSE)</f>
        <v>NL</v>
      </c>
    </row>
    <row r="176" spans="1:10" ht="18.600000000000001" customHeight="1">
      <c r="A176" s="26" t="s">
        <v>540</v>
      </c>
      <c r="B176" s="27" t="s">
        <v>91</v>
      </c>
      <c r="C176" s="36" t="s">
        <v>31</v>
      </c>
      <c r="D176" s="138">
        <f t="shared" ca="1" si="4"/>
        <v>161</v>
      </c>
      <c r="E176" s="31">
        <f ca="1">VLOOKUP(A176,Rankings!$B$1:$H$651,6,FALSE)+(RAND()*0.00001)</f>
        <v>217.18644844667557</v>
      </c>
      <c r="F176" s="31">
        <f ca="1">E176-VLOOKUP(Settings!$K$8+Settings!$K$9,D$2:E$251,2,FALSE)</f>
        <v>-42.93522577434635</v>
      </c>
      <c r="G176" s="138">
        <f t="shared" ca="1" si="5"/>
        <v>162</v>
      </c>
      <c r="H176" s="31">
        <f ca="1">VLOOKUP(A176,Rankings!$B$1:$H$651,7,FALSE)+(RAND()*0.00001)</f>
        <v>-1.733275062852456</v>
      </c>
      <c r="I176" s="31">
        <f ca="1">H176-VLOOKUP(Settings!$K$8+Settings!$K$9,G$2:H$251,2,FALSE)</f>
        <v>-0.86569934362485812</v>
      </c>
      <c r="J176" s="31" t="str">
        <f>VLOOKUP(A176,Rankings!B:D,3,FALSE)</f>
        <v>NL</v>
      </c>
    </row>
    <row r="177" spans="1:10" ht="18.600000000000001" customHeight="1">
      <c r="A177" s="26" t="s">
        <v>609</v>
      </c>
      <c r="B177" s="27" t="s">
        <v>140</v>
      </c>
      <c r="C177" s="36" t="s">
        <v>31</v>
      </c>
      <c r="D177" s="138">
        <f t="shared" ca="1" si="4"/>
        <v>181</v>
      </c>
      <c r="E177" s="31">
        <f ca="1">VLOOKUP(A177,Rankings!$B$1:$H$651,6,FALSE)+(RAND()*0.00001)</f>
        <v>191.47697043724719</v>
      </c>
      <c r="F177" s="31">
        <f ca="1">E177-VLOOKUP(Settings!$K$8+Settings!$K$9,D$2:E$251,2,FALSE)</f>
        <v>-68.64470378377473</v>
      </c>
      <c r="G177" s="138">
        <f t="shared" ca="1" si="5"/>
        <v>233</v>
      </c>
      <c r="H177" s="31">
        <f ca="1">VLOOKUP(A177,Rankings!$B$1:$H$651,7,FALSE)+(RAND()*0.00001)</f>
        <v>-3.4508669522163569</v>
      </c>
      <c r="I177" s="31">
        <f ca="1">H177-VLOOKUP(Settings!$K$8+Settings!$K$9,G$2:H$251,2,FALSE)</f>
        <v>-2.583291232988759</v>
      </c>
      <c r="J177" s="31" t="str">
        <f>VLOOKUP(A177,Rankings!B:D,3,FALSE)</f>
        <v>AL</v>
      </c>
    </row>
    <row r="178" spans="1:10" ht="18.600000000000001" customHeight="1">
      <c r="A178" s="26" t="s">
        <v>554</v>
      </c>
      <c r="B178" s="27" t="s">
        <v>134</v>
      </c>
      <c r="C178" s="36" t="s">
        <v>31</v>
      </c>
      <c r="D178" s="138">
        <f t="shared" ca="1" si="4"/>
        <v>177</v>
      </c>
      <c r="E178" s="31">
        <f ca="1">VLOOKUP(A178,Rankings!$B$1:$H$651,6,FALSE)+(RAND()*0.00001)</f>
        <v>195.95799203436604</v>
      </c>
      <c r="F178" s="31">
        <f ca="1">E178-VLOOKUP(Settings!$K$8+Settings!$K$9,D$2:E$251,2,FALSE)</f>
        <v>-64.163682186655876</v>
      </c>
      <c r="G178" s="138">
        <f t="shared" ca="1" si="5"/>
        <v>227</v>
      </c>
      <c r="H178" s="31">
        <f ca="1">VLOOKUP(A178,Rankings!$B$1:$H$651,7,FALSE)+(RAND()*0.00001)</f>
        <v>-3.3773933692354783</v>
      </c>
      <c r="I178" s="31">
        <f ca="1">H178-VLOOKUP(Settings!$K$8+Settings!$K$9,G$2:H$251,2,FALSE)</f>
        <v>-2.5098176500078804</v>
      </c>
      <c r="J178" s="31" t="str">
        <f>VLOOKUP(A178,Rankings!B:D,3,FALSE)</f>
        <v>NL</v>
      </c>
    </row>
    <row r="179" spans="1:10" ht="20.100000000000001" customHeight="1">
      <c r="A179" s="26" t="s">
        <v>331</v>
      </c>
      <c r="B179" s="27" t="s">
        <v>123</v>
      </c>
      <c r="C179" s="42" t="s">
        <v>34</v>
      </c>
      <c r="D179" s="138">
        <f t="shared" ca="1" si="4"/>
        <v>180</v>
      </c>
      <c r="E179" s="31">
        <f ca="1">VLOOKUP(A179,Rankings!$B$1:$H$651,6,FALSE)+(RAND()*0.00001)</f>
        <v>194.38833543802755</v>
      </c>
      <c r="F179" s="31">
        <f ca="1">E179-VLOOKUP(Settings!$K$8+Settings!$K$9,D$2:E$251,2,FALSE)</f>
        <v>-65.733338782994366</v>
      </c>
      <c r="G179" s="138">
        <f t="shared" ca="1" si="5"/>
        <v>79</v>
      </c>
      <c r="H179" s="31">
        <f ca="1">VLOOKUP(A179,Rankings!$B$1:$H$651,7,FALSE)+(RAND()*0.00001)</f>
        <v>1.2699714564954532</v>
      </c>
      <c r="I179" s="31">
        <f ca="1">H179-VLOOKUP(Settings!$K$8+Settings!$K$9,G$2:H$251,2,FALSE)</f>
        <v>2.1375471757230509</v>
      </c>
      <c r="J179" s="31" t="str">
        <f>VLOOKUP(A179,Rankings!B:D,3,FALSE)</f>
        <v>NL</v>
      </c>
    </row>
    <row r="180" spans="1:10" ht="20.100000000000001" customHeight="1">
      <c r="A180" s="26" t="s">
        <v>400</v>
      </c>
      <c r="B180" s="27" t="s">
        <v>156</v>
      </c>
      <c r="C180" s="36" t="s">
        <v>31</v>
      </c>
      <c r="D180" s="138">
        <f t="shared" ca="1" si="4"/>
        <v>179</v>
      </c>
      <c r="E180" s="31">
        <f ca="1">VLOOKUP(A180,Rankings!$B$1:$H$651,6,FALSE)+(RAND()*0.00001)</f>
        <v>194.81734739460424</v>
      </c>
      <c r="F180" s="31">
        <f ca="1">E180-VLOOKUP(Settings!$K$8+Settings!$K$9,D$2:E$251,2,FALSE)</f>
        <v>-65.304326826417679</v>
      </c>
      <c r="G180" s="138">
        <f t="shared" ca="1" si="5"/>
        <v>154</v>
      </c>
      <c r="H180" s="31">
        <f ca="1">VLOOKUP(A180,Rankings!$B$1:$H$651,7,FALSE)+(RAND()*0.00001)</f>
        <v>-1.5449387376504449</v>
      </c>
      <c r="I180" s="31">
        <f ca="1">H180-VLOOKUP(Settings!$K$8+Settings!$K$9,G$2:H$251,2,FALSE)</f>
        <v>-0.67736301842284696</v>
      </c>
      <c r="J180" s="31" t="str">
        <f>VLOOKUP(A180,Rankings!B:D,3,FALSE)</f>
        <v>AL</v>
      </c>
    </row>
    <row r="181" spans="1:10" ht="20.100000000000001" customHeight="1">
      <c r="A181" s="26" t="s">
        <v>553</v>
      </c>
      <c r="B181" s="27" t="s">
        <v>137</v>
      </c>
      <c r="C181" s="36" t="s">
        <v>31</v>
      </c>
      <c r="D181" s="138">
        <f t="shared" ca="1" si="4"/>
        <v>178</v>
      </c>
      <c r="E181" s="31">
        <f ca="1">VLOOKUP(A181,Rankings!$B$1:$H$651,6,FALSE)+(RAND()*0.00001)</f>
        <v>195.23157843907924</v>
      </c>
      <c r="F181" s="31">
        <f ca="1">E181-VLOOKUP(Settings!$K$8+Settings!$K$9,D$2:E$251,2,FALSE)</f>
        <v>-64.890095781942676</v>
      </c>
      <c r="G181" s="138">
        <f t="shared" ca="1" si="5"/>
        <v>241</v>
      </c>
      <c r="H181" s="31">
        <f ca="1">VLOOKUP(A181,Rankings!$B$1:$H$651,7,FALSE)+(RAND()*0.00001)</f>
        <v>-4.1073476601536774</v>
      </c>
      <c r="I181" s="31">
        <f ca="1">H181-VLOOKUP(Settings!$K$8+Settings!$K$9,G$2:H$251,2,FALSE)</f>
        <v>-3.2397719409260795</v>
      </c>
      <c r="J181" s="31" t="str">
        <f>VLOOKUP(A181,Rankings!B:D,3,FALSE)</f>
        <v>NL</v>
      </c>
    </row>
    <row r="182" spans="1:10" ht="20.100000000000001" customHeight="1">
      <c r="A182" s="26" t="s">
        <v>506</v>
      </c>
      <c r="B182" s="27" t="s">
        <v>95</v>
      </c>
      <c r="C182" s="42" t="s">
        <v>34</v>
      </c>
      <c r="D182" s="138">
        <f t="shared" ca="1" si="4"/>
        <v>185</v>
      </c>
      <c r="E182" s="31">
        <f ca="1">VLOOKUP(A182,Rankings!$B$1:$H$651,6,FALSE)+(RAND()*0.00001)</f>
        <v>180.62333968827949</v>
      </c>
      <c r="F182" s="31">
        <f ca="1">E182-VLOOKUP(Settings!$K$8+Settings!$K$9,D$2:E$251,2,FALSE)</f>
        <v>-79.498334532742433</v>
      </c>
      <c r="G182" s="138">
        <f t="shared" ca="1" si="5"/>
        <v>131</v>
      </c>
      <c r="H182" s="31">
        <f ca="1">VLOOKUP(A182,Rankings!$B$1:$H$651,7,FALSE)+(RAND()*0.00001)</f>
        <v>-0.82110404147812233</v>
      </c>
      <c r="I182" s="31">
        <f ca="1">H182-VLOOKUP(Settings!$K$8+Settings!$K$9,G$2:H$251,2,FALSE)</f>
        <v>4.6471677749475582E-2</v>
      </c>
      <c r="J182" s="31" t="str">
        <f>VLOOKUP(A182,Rankings!B:D,3,FALSE)</f>
        <v>NL</v>
      </c>
    </row>
    <row r="183" spans="1:10" ht="20.100000000000001" customHeight="1">
      <c r="A183" s="26" t="s">
        <v>481</v>
      </c>
      <c r="B183" s="27" t="s">
        <v>99</v>
      </c>
      <c r="C183" s="36" t="s">
        <v>31</v>
      </c>
      <c r="D183" s="138">
        <f t="shared" ca="1" si="4"/>
        <v>183</v>
      </c>
      <c r="E183" s="31">
        <f ca="1">VLOOKUP(A183,Rankings!$B$1:$H$651,6,FALSE)+(RAND()*0.00001)</f>
        <v>185.28656339374669</v>
      </c>
      <c r="F183" s="31">
        <f ca="1">E183-VLOOKUP(Settings!$K$8+Settings!$K$9,D$2:E$251,2,FALSE)</f>
        <v>-74.83511082727523</v>
      </c>
      <c r="G183" s="138">
        <f t="shared" ca="1" si="5"/>
        <v>218</v>
      </c>
      <c r="H183" s="31">
        <f ca="1">VLOOKUP(A183,Rankings!$B$1:$H$651,7,FALSE)+(RAND()*0.00001)</f>
        <v>-2.930893282401311</v>
      </c>
      <c r="I183" s="31">
        <f ca="1">H183-VLOOKUP(Settings!$K$8+Settings!$K$9,G$2:H$251,2,FALSE)</f>
        <v>-2.0633175631737131</v>
      </c>
      <c r="J183" s="31" t="str">
        <f>VLOOKUP(A183,Rankings!B:D,3,FALSE)</f>
        <v>AL</v>
      </c>
    </row>
    <row r="184" spans="1:10" ht="18.600000000000001" customHeight="1">
      <c r="A184" s="26" t="s">
        <v>584</v>
      </c>
      <c r="B184" s="27" t="s">
        <v>94</v>
      </c>
      <c r="C184" s="36" t="s">
        <v>31</v>
      </c>
      <c r="D184" s="138">
        <f t="shared" ca="1" si="4"/>
        <v>213</v>
      </c>
      <c r="E184" s="31">
        <f ca="1">VLOOKUP(A184,Rankings!$B$1:$H$651,6,FALSE)+(RAND()*0.00001)</f>
        <v>154.56334307883063</v>
      </c>
      <c r="F184" s="31">
        <f ca="1">E184-VLOOKUP(Settings!$K$8+Settings!$K$9,D$2:E$251,2,FALSE)</f>
        <v>-105.55833114219129</v>
      </c>
      <c r="G184" s="138">
        <f t="shared" ca="1" si="5"/>
        <v>236</v>
      </c>
      <c r="H184" s="31">
        <f ca="1">VLOOKUP(A184,Rankings!$B$1:$H$651,7,FALSE)+(RAND()*0.00001)</f>
        <v>-3.4927325882734879</v>
      </c>
      <c r="I184" s="31">
        <f ca="1">H184-VLOOKUP(Settings!$K$8+Settings!$K$9,G$2:H$251,2,FALSE)</f>
        <v>-2.62515686904589</v>
      </c>
      <c r="J184" s="31" t="str">
        <f>VLOOKUP(A184,Rankings!B:D,3,FALSE)</f>
        <v>AL</v>
      </c>
    </row>
    <row r="185" spans="1:10" ht="20.100000000000001" customHeight="1">
      <c r="A185" s="26" t="s">
        <v>445</v>
      </c>
      <c r="B185" s="27" t="s">
        <v>217</v>
      </c>
      <c r="C185" s="42" t="s">
        <v>34</v>
      </c>
      <c r="D185" s="138">
        <f t="shared" ca="1" si="4"/>
        <v>186</v>
      </c>
      <c r="E185" s="31">
        <f ca="1">VLOOKUP(A185,Rankings!$B$1:$H$651,6,FALSE)+(RAND()*0.00001)</f>
        <v>180.15223155833641</v>
      </c>
      <c r="F185" s="31">
        <f ca="1">E185-VLOOKUP(Settings!$K$8+Settings!$K$9,D$2:E$251,2,FALSE)</f>
        <v>-79.969442662685509</v>
      </c>
      <c r="G185" s="138">
        <f t="shared" ca="1" si="5"/>
        <v>101</v>
      </c>
      <c r="H185" s="31">
        <f ca="1">VLOOKUP(A185,Rankings!$B$1:$H$651,7,FALSE)+(RAND()*0.00001)</f>
        <v>-0.12289882917366569</v>
      </c>
      <c r="I185" s="31">
        <f ca="1">H185-VLOOKUP(Settings!$K$8+Settings!$K$9,G$2:H$251,2,FALSE)</f>
        <v>0.74467689005393223</v>
      </c>
      <c r="J185" s="31" t="str">
        <f>VLOOKUP(A185,Rankings!B:D,3,FALSE)</f>
        <v>NL</v>
      </c>
    </row>
    <row r="186" spans="1:10" ht="18.600000000000001" customHeight="1">
      <c r="A186" s="26" t="s">
        <v>755</v>
      </c>
      <c r="B186" s="27" t="s">
        <v>158</v>
      </c>
      <c r="C186" s="42" t="s">
        <v>34</v>
      </c>
      <c r="D186" s="138">
        <f t="shared" ca="1" si="4"/>
        <v>190</v>
      </c>
      <c r="E186" s="31">
        <f ca="1">VLOOKUP(A186,Rankings!$B$1:$H$651,6,FALSE)+(RAND()*0.00001)</f>
        <v>176.92723156960471</v>
      </c>
      <c r="F186" s="31">
        <f ca="1">E186-VLOOKUP(Settings!$K$8+Settings!$K$9,D$2:E$251,2,FALSE)</f>
        <v>-83.194442651417205</v>
      </c>
      <c r="G186" s="138">
        <f t="shared" ca="1" si="5"/>
        <v>225</v>
      </c>
      <c r="H186" s="31">
        <f ca="1">VLOOKUP(A186,Rankings!$B$1:$H$651,7,FALSE)+(RAND()*0.00001)</f>
        <v>-3.2290174545659083</v>
      </c>
      <c r="I186" s="31">
        <f ca="1">H186-VLOOKUP(Settings!$K$8+Settings!$K$9,G$2:H$251,2,FALSE)</f>
        <v>-2.3614417353383104</v>
      </c>
      <c r="J186" s="31" t="str">
        <f>VLOOKUP(A186,Rankings!B:D,3,FALSE)</f>
        <v>NL</v>
      </c>
    </row>
    <row r="187" spans="1:10" ht="20.100000000000001" customHeight="1">
      <c r="A187" s="26" t="s">
        <v>534</v>
      </c>
      <c r="B187" s="27" t="s">
        <v>140</v>
      </c>
      <c r="C187" s="36" t="s">
        <v>31</v>
      </c>
      <c r="D187" s="138">
        <f t="shared" ca="1" si="4"/>
        <v>184</v>
      </c>
      <c r="E187" s="31">
        <f ca="1">VLOOKUP(A187,Rankings!$B$1:$H$651,6,FALSE)+(RAND()*0.00001)</f>
        <v>183.57527026615739</v>
      </c>
      <c r="F187" s="31">
        <f ca="1">E187-VLOOKUP(Settings!$K$8+Settings!$K$9,D$2:E$251,2,FALSE)</f>
        <v>-76.54640395486453</v>
      </c>
      <c r="G187" s="138">
        <f t="shared" ca="1" si="5"/>
        <v>203</v>
      </c>
      <c r="H187" s="31">
        <f ca="1">VLOOKUP(A187,Rankings!$B$1:$H$651,7,FALSE)+(RAND()*0.00001)</f>
        <v>-2.4460961267126939</v>
      </c>
      <c r="I187" s="31">
        <f ca="1">H187-VLOOKUP(Settings!$K$8+Settings!$K$9,G$2:H$251,2,FALSE)</f>
        <v>-1.578520407485096</v>
      </c>
      <c r="J187" s="31" t="str">
        <f>VLOOKUP(A187,Rankings!B:D,3,FALSE)</f>
        <v>AL</v>
      </c>
    </row>
    <row r="188" spans="1:10" ht="20.100000000000001" customHeight="1">
      <c r="A188" s="26" t="s">
        <v>571</v>
      </c>
      <c r="B188" s="27" t="s">
        <v>84</v>
      </c>
      <c r="C188" s="42" t="s">
        <v>34</v>
      </c>
      <c r="D188" s="138">
        <f t="shared" ca="1" si="4"/>
        <v>189</v>
      </c>
      <c r="E188" s="31">
        <f ca="1">VLOOKUP(A188,Rankings!$B$1:$H$651,6,FALSE)+(RAND()*0.00001)</f>
        <v>178.14181786767762</v>
      </c>
      <c r="F188" s="31">
        <f ca="1">E188-VLOOKUP(Settings!$K$8+Settings!$K$9,D$2:E$251,2,FALSE)</f>
        <v>-81.979856353344303</v>
      </c>
      <c r="G188" s="138">
        <f t="shared" ca="1" si="5"/>
        <v>196</v>
      </c>
      <c r="H188" s="31">
        <f ca="1">VLOOKUP(A188,Rankings!$B$1:$H$651,7,FALSE)+(RAND()*0.00001)</f>
        <v>-2.3732631463701983</v>
      </c>
      <c r="I188" s="31">
        <f ca="1">H188-VLOOKUP(Settings!$K$8+Settings!$K$9,G$2:H$251,2,FALSE)</f>
        <v>-1.5056874271426004</v>
      </c>
      <c r="J188" s="31" t="str">
        <f>VLOOKUP(A188,Rankings!B:D,3,FALSE)</f>
        <v>AL</v>
      </c>
    </row>
    <row r="189" spans="1:10" ht="20.100000000000001" customHeight="1">
      <c r="A189" s="26" t="s">
        <v>495</v>
      </c>
      <c r="B189" s="27" t="s">
        <v>81</v>
      </c>
      <c r="C189" s="42" t="s">
        <v>34</v>
      </c>
      <c r="D189" s="138">
        <f t="shared" ca="1" si="4"/>
        <v>187</v>
      </c>
      <c r="E189" s="31">
        <f ca="1">VLOOKUP(A189,Rankings!$B$1:$H$651,6,FALSE)+(RAND()*0.00001)</f>
        <v>179.30333890809294</v>
      </c>
      <c r="F189" s="31">
        <f ca="1">E189-VLOOKUP(Settings!$K$8+Settings!$K$9,D$2:E$251,2,FALSE)</f>
        <v>-80.81833531292898</v>
      </c>
      <c r="G189" s="138">
        <f t="shared" ca="1" si="5"/>
        <v>94</v>
      </c>
      <c r="H189" s="31">
        <f ca="1">VLOOKUP(A189,Rankings!$B$1:$H$651,7,FALSE)+(RAND()*0.00001)</f>
        <v>0.17700314428780078</v>
      </c>
      <c r="I189" s="31">
        <f ca="1">H189-VLOOKUP(Settings!$K$8+Settings!$K$9,G$2:H$251,2,FALSE)</f>
        <v>1.0445788635153987</v>
      </c>
      <c r="J189" s="31" t="str">
        <f>VLOOKUP(A189,Rankings!B:D,3,FALSE)</f>
        <v>NL</v>
      </c>
    </row>
    <row r="190" spans="1:10" ht="20.100000000000001" customHeight="1">
      <c r="A190" s="26" t="s">
        <v>502</v>
      </c>
      <c r="B190" s="27" t="s">
        <v>81</v>
      </c>
      <c r="C190" s="42" t="s">
        <v>34</v>
      </c>
      <c r="D190" s="138">
        <f t="shared" ca="1" si="4"/>
        <v>191</v>
      </c>
      <c r="E190" s="31">
        <f ca="1">VLOOKUP(A190,Rankings!$B$1:$H$651,6,FALSE)+(RAND()*0.00001)</f>
        <v>172.60940541241098</v>
      </c>
      <c r="F190" s="31">
        <f ca="1">E190-VLOOKUP(Settings!$K$8+Settings!$K$9,D$2:E$251,2,FALSE)</f>
        <v>-87.512268808610941</v>
      </c>
      <c r="G190" s="138">
        <f t="shared" ca="1" si="5"/>
        <v>107</v>
      </c>
      <c r="H190" s="31">
        <f ca="1">VLOOKUP(A190,Rankings!$B$1:$H$651,7,FALSE)+(RAND()*0.00001)</f>
        <v>-0.30836009783837054</v>
      </c>
      <c r="I190" s="31">
        <f ca="1">H190-VLOOKUP(Settings!$K$8+Settings!$K$9,G$2:H$251,2,FALSE)</f>
        <v>0.55921562138922742</v>
      </c>
      <c r="J190" s="31" t="str">
        <f>VLOOKUP(A190,Rankings!B:D,3,FALSE)</f>
        <v>NL</v>
      </c>
    </row>
    <row r="191" spans="1:10" ht="20.100000000000001" customHeight="1">
      <c r="A191" s="26" t="s">
        <v>364</v>
      </c>
      <c r="B191" s="27" t="s">
        <v>73</v>
      </c>
      <c r="C191" s="42" t="s">
        <v>34</v>
      </c>
      <c r="D191" s="138">
        <f t="shared" ca="1" si="4"/>
        <v>165</v>
      </c>
      <c r="E191" s="31">
        <f ca="1">VLOOKUP(A191,Rankings!$B$1:$H$651,6,FALSE)+(RAND()*0.00001)</f>
        <v>213.32806176363803</v>
      </c>
      <c r="F191" s="31">
        <f ca="1">E191-VLOOKUP(Settings!$K$8+Settings!$K$9,D$2:E$251,2,FALSE)</f>
        <v>-46.793612457383887</v>
      </c>
      <c r="G191" s="138">
        <f t="shared" ca="1" si="5"/>
        <v>65</v>
      </c>
      <c r="H191" s="31">
        <f ca="1">VLOOKUP(A191,Rankings!$B$1:$H$651,7,FALSE)+(RAND()*0.00001)</f>
        <v>1.8652032275562211</v>
      </c>
      <c r="I191" s="31">
        <f ca="1">H191-VLOOKUP(Settings!$K$8+Settings!$K$9,G$2:H$251,2,FALSE)</f>
        <v>2.7327789467838191</v>
      </c>
      <c r="J191" s="31" t="str">
        <f>VLOOKUP(A191,Rankings!B:D,3,FALSE)</f>
        <v>NL</v>
      </c>
    </row>
    <row r="192" spans="1:10" ht="20.100000000000001" customHeight="1">
      <c r="A192" s="26" t="s">
        <v>567</v>
      </c>
      <c r="B192" s="27" t="s">
        <v>140</v>
      </c>
      <c r="C192" s="42" t="s">
        <v>34</v>
      </c>
      <c r="D192" s="138">
        <f t="shared" ca="1" si="4"/>
        <v>188</v>
      </c>
      <c r="E192" s="31">
        <f ca="1">VLOOKUP(A192,Rankings!$B$1:$H$651,6,FALSE)+(RAND()*0.00001)</f>
        <v>179.14805735149545</v>
      </c>
      <c r="F192" s="31">
        <f ca="1">E192-VLOOKUP(Settings!$K$8+Settings!$K$9,D$2:E$251,2,FALSE)</f>
        <v>-80.973616869526467</v>
      </c>
      <c r="G192" s="138">
        <f t="shared" ca="1" si="5"/>
        <v>149</v>
      </c>
      <c r="H192" s="31">
        <f ca="1">VLOOKUP(A192,Rankings!$B$1:$H$651,7,FALSE)+(RAND()*0.00001)</f>
        <v>-1.2867311066118809</v>
      </c>
      <c r="I192" s="31">
        <f ca="1">H192-VLOOKUP(Settings!$K$8+Settings!$K$9,G$2:H$251,2,FALSE)</f>
        <v>-0.41915538738428304</v>
      </c>
      <c r="J192" s="31" t="str">
        <f>VLOOKUP(A192,Rankings!B:D,3,FALSE)</f>
        <v>AL</v>
      </c>
    </row>
    <row r="193" spans="1:10" ht="20.100000000000001" customHeight="1">
      <c r="A193" s="26" t="s">
        <v>467</v>
      </c>
      <c r="B193" s="27" t="s">
        <v>97</v>
      </c>
      <c r="C193" s="36" t="s">
        <v>31</v>
      </c>
      <c r="D193" s="138">
        <f t="shared" ca="1" si="4"/>
        <v>196</v>
      </c>
      <c r="E193" s="31">
        <f ca="1">VLOOKUP(A193,Rankings!$B$1:$H$651,6,FALSE)+(RAND()*0.00001)</f>
        <v>164.16431547727481</v>
      </c>
      <c r="F193" s="31">
        <f ca="1">E193-VLOOKUP(Settings!$K$8+Settings!$K$9,D$2:E$251,2,FALSE)</f>
        <v>-95.957358743747108</v>
      </c>
      <c r="G193" s="138">
        <f t="shared" ca="1" si="5"/>
        <v>169</v>
      </c>
      <c r="H193" s="31">
        <f ca="1">VLOOKUP(A193,Rankings!$B$1:$H$651,7,FALSE)+(RAND()*0.00001)</f>
        <v>-1.8788473647610202</v>
      </c>
      <c r="I193" s="31">
        <f ca="1">H193-VLOOKUP(Settings!$K$8+Settings!$K$9,G$2:H$251,2,FALSE)</f>
        <v>-1.0112716455334223</v>
      </c>
      <c r="J193" s="31" t="str">
        <f>VLOOKUP(A193,Rankings!B:D,3,FALSE)</f>
        <v>NL</v>
      </c>
    </row>
    <row r="194" spans="1:10" ht="20.100000000000001" customHeight="1">
      <c r="A194" s="26" t="s">
        <v>410</v>
      </c>
      <c r="B194" s="27" t="s">
        <v>95</v>
      </c>
      <c r="C194" s="36" t="s">
        <v>31</v>
      </c>
      <c r="D194" s="138">
        <f t="shared" ref="D194:D251" ca="1" si="6">RANK(E194,E$2:E$251)</f>
        <v>170</v>
      </c>
      <c r="E194" s="31">
        <f ca="1">VLOOKUP(A194,Rankings!$B$1:$H$651,6,FALSE)+(RAND()*0.00001)</f>
        <v>208.10055953332855</v>
      </c>
      <c r="F194" s="31">
        <f ca="1">E194-VLOOKUP(Settings!$K$8+Settings!$K$9,D$2:E$251,2,FALSE)</f>
        <v>-52.02111468769337</v>
      </c>
      <c r="G194" s="138">
        <f t="shared" ref="G194:G251" ca="1" si="7">RANK(H194,H$2:H$251)</f>
        <v>115</v>
      </c>
      <c r="H194" s="31">
        <f ca="1">VLOOKUP(A194,Rankings!$B$1:$H$651,7,FALSE)+(RAND()*0.00001)</f>
        <v>-0.4953397491260132</v>
      </c>
      <c r="I194" s="31">
        <f ca="1">H194-VLOOKUP(Settings!$K$8+Settings!$K$9,G$2:H$251,2,FALSE)</f>
        <v>0.37223597010158471</v>
      </c>
      <c r="J194" s="31" t="str">
        <f>VLOOKUP(A194,Rankings!B:D,3,FALSE)</f>
        <v>NL</v>
      </c>
    </row>
    <row r="195" spans="1:10" ht="20.100000000000001" customHeight="1">
      <c r="A195" s="26" t="s">
        <v>526</v>
      </c>
      <c r="B195" s="27" t="s">
        <v>78</v>
      </c>
      <c r="C195" s="42" t="s">
        <v>34</v>
      </c>
      <c r="D195" s="138">
        <f t="shared" ca="1" si="6"/>
        <v>197</v>
      </c>
      <c r="E195" s="31">
        <f ca="1">VLOOKUP(A195,Rankings!$B$1:$H$651,6,FALSE)+(RAND()*0.00001)</f>
        <v>163.08000366085614</v>
      </c>
      <c r="F195" s="31">
        <f ca="1">E195-VLOOKUP(Settings!$K$8+Settings!$K$9,D$2:E$251,2,FALSE)</f>
        <v>-97.041670560165784</v>
      </c>
      <c r="G195" s="138">
        <f t="shared" ca="1" si="7"/>
        <v>170</v>
      </c>
      <c r="H195" s="31">
        <f ca="1">VLOOKUP(A195,Rankings!$B$1:$H$651,7,FALSE)+(RAND()*0.00001)</f>
        <v>-1.8949716465101005</v>
      </c>
      <c r="I195" s="31">
        <f ca="1">H195-VLOOKUP(Settings!$K$8+Settings!$K$9,G$2:H$251,2,FALSE)</f>
        <v>-1.0273959272825026</v>
      </c>
      <c r="J195" s="31" t="str">
        <f>VLOOKUP(A195,Rankings!B:D,3,FALSE)</f>
        <v>AL</v>
      </c>
    </row>
    <row r="196" spans="1:10" ht="20.100000000000001" customHeight="1">
      <c r="A196" s="26" t="s">
        <v>585</v>
      </c>
      <c r="B196" s="27" t="s">
        <v>71</v>
      </c>
      <c r="C196" s="36" t="s">
        <v>31</v>
      </c>
      <c r="D196" s="138">
        <f t="shared" ca="1" si="6"/>
        <v>192</v>
      </c>
      <c r="E196" s="31">
        <f ca="1">VLOOKUP(A196,Rankings!$B$1:$H$651,6,FALSE)+(RAND()*0.00001)</f>
        <v>169.96971745553722</v>
      </c>
      <c r="F196" s="31">
        <f ca="1">E196-VLOOKUP(Settings!$K$8+Settings!$K$9,D$2:E$251,2,FALSE)</f>
        <v>-90.151956765484698</v>
      </c>
      <c r="G196" s="138">
        <f t="shared" ca="1" si="7"/>
        <v>234</v>
      </c>
      <c r="H196" s="31">
        <f ca="1">VLOOKUP(A196,Rankings!$B$1:$H$651,7,FALSE)+(RAND()*0.00001)</f>
        <v>-3.4754430780469225</v>
      </c>
      <c r="I196" s="31">
        <f ca="1">H196-VLOOKUP(Settings!$K$8+Settings!$K$9,G$2:H$251,2,FALSE)</f>
        <v>-2.6078673588193246</v>
      </c>
      <c r="J196" s="31" t="str">
        <f>VLOOKUP(A196,Rankings!B:D,3,FALSE)</f>
        <v>AL</v>
      </c>
    </row>
    <row r="197" spans="1:10" ht="20.100000000000001" customHeight="1">
      <c r="A197" s="26" t="s">
        <v>648</v>
      </c>
      <c r="B197" s="27" t="s">
        <v>134</v>
      </c>
      <c r="C197" s="42" t="s">
        <v>34</v>
      </c>
      <c r="D197" s="138">
        <f t="shared" ca="1" si="6"/>
        <v>201</v>
      </c>
      <c r="E197" s="31">
        <f ca="1">VLOOKUP(A197,Rankings!$B$1:$H$651,6,FALSE)+(RAND()*0.00001)</f>
        <v>161.06778463093337</v>
      </c>
      <c r="F197" s="31">
        <f ca="1">E197-VLOOKUP(Settings!$K$8+Settings!$K$9,D$2:E$251,2,FALSE)</f>
        <v>-99.053889590088545</v>
      </c>
      <c r="G197" s="138">
        <f t="shared" ca="1" si="7"/>
        <v>219</v>
      </c>
      <c r="H197" s="31">
        <f ca="1">VLOOKUP(A197,Rankings!$B$1:$H$651,7,FALSE)+(RAND()*0.00001)</f>
        <v>-2.9871186011809656</v>
      </c>
      <c r="I197" s="31">
        <f ca="1">H197-VLOOKUP(Settings!$K$8+Settings!$K$9,G$2:H$251,2,FALSE)</f>
        <v>-2.1195428819533677</v>
      </c>
      <c r="J197" s="31" t="str">
        <f>VLOOKUP(A197,Rankings!B:D,3,FALSE)</f>
        <v>NL</v>
      </c>
    </row>
    <row r="198" spans="1:10" ht="20.100000000000001" customHeight="1">
      <c r="A198" s="26" t="s">
        <v>753</v>
      </c>
      <c r="B198" s="27" t="s">
        <v>217</v>
      </c>
      <c r="C198" s="36" t="s">
        <v>31</v>
      </c>
      <c r="D198" s="138">
        <f t="shared" ca="1" si="6"/>
        <v>248</v>
      </c>
      <c r="E198" s="31">
        <f ca="1">VLOOKUP(A198,Rankings!$B$1:$H$651,6,FALSE)+(RAND()*0.00001)</f>
        <v>106.23667421678839</v>
      </c>
      <c r="F198" s="31">
        <f ca="1">E198-VLOOKUP(Settings!$K$8+Settings!$K$9,D$2:E$251,2,FALSE)</f>
        <v>-153.88500000423352</v>
      </c>
      <c r="G198" s="138">
        <f t="shared" ca="1" si="7"/>
        <v>243</v>
      </c>
      <c r="H198" s="31">
        <f ca="1">VLOOKUP(A198,Rankings!$B$1:$H$651,7,FALSE)+(RAND()*0.00001)</f>
        <v>-4.3904185955763531</v>
      </c>
      <c r="I198" s="31">
        <f ca="1">H198-VLOOKUP(Settings!$K$8+Settings!$K$9,G$2:H$251,2,FALSE)</f>
        <v>-3.5228428763487551</v>
      </c>
      <c r="J198" s="31" t="str">
        <f>VLOOKUP(A198,Rankings!B:D,3,FALSE)</f>
        <v>NL</v>
      </c>
    </row>
    <row r="199" spans="1:10" ht="20.100000000000001" customHeight="1">
      <c r="A199" s="26" t="s">
        <v>407</v>
      </c>
      <c r="B199" s="27" t="s">
        <v>63</v>
      </c>
      <c r="C199" s="42" t="s">
        <v>34</v>
      </c>
      <c r="D199" s="138">
        <f t="shared" ca="1" si="6"/>
        <v>198</v>
      </c>
      <c r="E199" s="31">
        <f ca="1">VLOOKUP(A199,Rankings!$B$1:$H$651,6,FALSE)+(RAND()*0.00001)</f>
        <v>163.01166965179186</v>
      </c>
      <c r="F199" s="31">
        <f ca="1">E199-VLOOKUP(Settings!$K$8+Settings!$K$9,D$2:E$251,2,FALSE)</f>
        <v>-97.110004569230057</v>
      </c>
      <c r="G199" s="138">
        <f t="shared" ca="1" si="7"/>
        <v>116</v>
      </c>
      <c r="H199" s="31">
        <f ca="1">VLOOKUP(A199,Rankings!$B$1:$H$651,7,FALSE)+(RAND()*0.00001)</f>
        <v>-0.5504104096759892</v>
      </c>
      <c r="I199" s="31">
        <f ca="1">H199-VLOOKUP(Settings!$K$8+Settings!$K$9,G$2:H$251,2,FALSE)</f>
        <v>0.31716530955160871</v>
      </c>
      <c r="J199" s="31" t="str">
        <f>VLOOKUP(A199,Rankings!B:D,3,FALSE)</f>
        <v>NL</v>
      </c>
    </row>
    <row r="200" spans="1:10" ht="20.100000000000001" customHeight="1">
      <c r="A200" s="26" t="s">
        <v>570</v>
      </c>
      <c r="B200" s="27" t="s">
        <v>91</v>
      </c>
      <c r="C200" s="42" t="s">
        <v>34</v>
      </c>
      <c r="D200" s="138">
        <f t="shared" ca="1" si="6"/>
        <v>195</v>
      </c>
      <c r="E200" s="31">
        <f ca="1">VLOOKUP(A200,Rankings!$B$1:$H$651,6,FALSE)+(RAND()*0.00001)</f>
        <v>166.4066766484099</v>
      </c>
      <c r="F200" s="31">
        <f ca="1">E200-VLOOKUP(Settings!$K$8+Settings!$K$9,D$2:E$251,2,FALSE)</f>
        <v>-93.71499757261202</v>
      </c>
      <c r="G200" s="138">
        <f t="shared" ca="1" si="7"/>
        <v>123</v>
      </c>
      <c r="H200" s="31">
        <f ca="1">VLOOKUP(A200,Rankings!$B$1:$H$651,7,FALSE)+(RAND()*0.00001)</f>
        <v>-0.68849951043390534</v>
      </c>
      <c r="I200" s="31">
        <f ca="1">H200-VLOOKUP(Settings!$K$8+Settings!$K$9,G$2:H$251,2,FALSE)</f>
        <v>0.17907620879369257</v>
      </c>
      <c r="J200" s="31" t="str">
        <f>VLOOKUP(A200,Rankings!B:D,3,FALSE)</f>
        <v>NL</v>
      </c>
    </row>
    <row r="201" spans="1:10" ht="20.100000000000001" customHeight="1">
      <c r="A201" s="26" t="s">
        <v>522</v>
      </c>
      <c r="B201" s="27" t="s">
        <v>103</v>
      </c>
      <c r="C201" s="42" t="s">
        <v>34</v>
      </c>
      <c r="D201" s="138">
        <f t="shared" ca="1" si="6"/>
        <v>200</v>
      </c>
      <c r="E201" s="31">
        <f ca="1">VLOOKUP(A201,Rankings!$B$1:$H$651,6,FALSE)+(RAND()*0.00001)</f>
        <v>161.57945156421246</v>
      </c>
      <c r="F201" s="31">
        <f ca="1">E201-VLOOKUP(Settings!$K$8+Settings!$K$9,D$2:E$251,2,FALSE)</f>
        <v>-98.542222656809457</v>
      </c>
      <c r="G201" s="138">
        <f t="shared" ca="1" si="7"/>
        <v>193</v>
      </c>
      <c r="H201" s="31">
        <f ca="1">VLOOKUP(A201,Rankings!$B$1:$H$651,7,FALSE)+(RAND()*0.00001)</f>
        <v>-2.2641779978019798</v>
      </c>
      <c r="I201" s="31">
        <f ca="1">H201-VLOOKUP(Settings!$K$8+Settings!$K$9,G$2:H$251,2,FALSE)</f>
        <v>-1.3966022785743819</v>
      </c>
      <c r="J201" s="31" t="str">
        <f>VLOOKUP(A201,Rankings!B:D,3,FALSE)</f>
        <v>AL</v>
      </c>
    </row>
    <row r="202" spans="1:10" ht="20.100000000000001" customHeight="1">
      <c r="A202" s="26" t="s">
        <v>531</v>
      </c>
      <c r="B202" s="27" t="s">
        <v>86</v>
      </c>
      <c r="C202" s="42" t="s">
        <v>34</v>
      </c>
      <c r="D202" s="138">
        <f t="shared" ca="1" si="6"/>
        <v>194</v>
      </c>
      <c r="E202" s="31">
        <f ca="1">VLOOKUP(A202,Rankings!$B$1:$H$651,6,FALSE)+(RAND()*0.00001)</f>
        <v>166.42195394626782</v>
      </c>
      <c r="F202" s="31">
        <f ca="1">E202-VLOOKUP(Settings!$K$8+Settings!$K$9,D$2:E$251,2,FALSE)</f>
        <v>-93.6997202747541</v>
      </c>
      <c r="G202" s="138">
        <f t="shared" ca="1" si="7"/>
        <v>127</v>
      </c>
      <c r="H202" s="31">
        <f ca="1">VLOOKUP(A202,Rankings!$B$1:$H$651,7,FALSE)+(RAND()*0.00001)</f>
        <v>-0.74731358213291088</v>
      </c>
      <c r="I202" s="31">
        <f ca="1">H202-VLOOKUP(Settings!$K$8+Settings!$K$9,G$2:H$251,2,FALSE)</f>
        <v>0.12026213709468703</v>
      </c>
      <c r="J202" s="31" t="str">
        <f>VLOOKUP(A202,Rankings!B:D,3,FALSE)</f>
        <v>AL</v>
      </c>
    </row>
    <row r="203" spans="1:10" ht="20.100000000000001" customHeight="1">
      <c r="A203" s="26" t="s">
        <v>530</v>
      </c>
      <c r="B203" s="27" t="s">
        <v>120</v>
      </c>
      <c r="C203" s="42" t="s">
        <v>34</v>
      </c>
      <c r="D203" s="138">
        <f t="shared" ca="1" si="6"/>
        <v>193</v>
      </c>
      <c r="E203" s="31">
        <f ca="1">VLOOKUP(A203,Rankings!$B$1:$H$651,6,FALSE)+(RAND()*0.00001)</f>
        <v>168.95056431283848</v>
      </c>
      <c r="F203" s="31">
        <f ca="1">E203-VLOOKUP(Settings!$K$8+Settings!$K$9,D$2:E$251,2,FALSE)</f>
        <v>-91.171109908183439</v>
      </c>
      <c r="G203" s="138">
        <f t="shared" ca="1" si="7"/>
        <v>134</v>
      </c>
      <c r="H203" s="31">
        <f ca="1">VLOOKUP(A203,Rankings!$B$1:$H$651,7,FALSE)+(RAND()*0.00001)</f>
        <v>-0.83688913231398776</v>
      </c>
      <c r="I203" s="31">
        <f ca="1">H203-VLOOKUP(Settings!$K$8+Settings!$K$9,G$2:H$251,2,FALSE)</f>
        <v>3.0686586913610148E-2</v>
      </c>
      <c r="J203" s="31" t="str">
        <f>VLOOKUP(A203,Rankings!B:D,3,FALSE)</f>
        <v>NL</v>
      </c>
    </row>
    <row r="204" spans="1:10" ht="20.100000000000001" customHeight="1">
      <c r="A204" s="26" t="s">
        <v>575</v>
      </c>
      <c r="B204" s="27" t="s">
        <v>158</v>
      </c>
      <c r="C204" s="42" t="s">
        <v>34</v>
      </c>
      <c r="D204" s="138">
        <f t="shared" ca="1" si="6"/>
        <v>208</v>
      </c>
      <c r="E204" s="31">
        <f ca="1">VLOOKUP(A204,Rankings!$B$1:$H$651,6,FALSE)+(RAND()*0.00001)</f>
        <v>157.59195177939571</v>
      </c>
      <c r="F204" s="31">
        <f ca="1">E204-VLOOKUP(Settings!$K$8+Settings!$K$9,D$2:E$251,2,FALSE)</f>
        <v>-102.52972244162621</v>
      </c>
      <c r="G204" s="138">
        <f t="shared" ca="1" si="7"/>
        <v>181</v>
      </c>
      <c r="H204" s="31">
        <f ca="1">VLOOKUP(A204,Rankings!$B$1:$H$651,7,FALSE)+(RAND()*0.00001)</f>
        <v>-2.0838021446202237</v>
      </c>
      <c r="I204" s="31">
        <f ca="1">H204-VLOOKUP(Settings!$K$8+Settings!$K$9,G$2:H$251,2,FALSE)</f>
        <v>-1.2162264253926258</v>
      </c>
      <c r="J204" s="31" t="str">
        <f>VLOOKUP(A204,Rankings!B:D,3,FALSE)</f>
        <v>NL</v>
      </c>
    </row>
    <row r="205" spans="1:10" ht="20.100000000000001" customHeight="1">
      <c r="A205" s="26" t="s">
        <v>513</v>
      </c>
      <c r="B205" s="27" t="s">
        <v>78</v>
      </c>
      <c r="C205" s="42" t="s">
        <v>34</v>
      </c>
      <c r="D205" s="138">
        <f t="shared" ca="1" si="6"/>
        <v>202</v>
      </c>
      <c r="E205" s="31">
        <f ca="1">VLOOKUP(A205,Rankings!$B$1:$H$651,6,FALSE)+(RAND()*0.00001)</f>
        <v>160.69000297853742</v>
      </c>
      <c r="F205" s="31">
        <f ca="1">E205-VLOOKUP(Settings!$K$8+Settings!$K$9,D$2:E$251,2,FALSE)</f>
        <v>-99.431671242484498</v>
      </c>
      <c r="G205" s="138">
        <f t="shared" ca="1" si="7"/>
        <v>132</v>
      </c>
      <c r="H205" s="31">
        <f ca="1">VLOOKUP(A205,Rankings!$B$1:$H$651,7,FALSE)+(RAND()*0.00001)</f>
        <v>-0.82233037620236227</v>
      </c>
      <c r="I205" s="31">
        <f ca="1">H205-VLOOKUP(Settings!$K$8+Settings!$K$9,G$2:H$251,2,FALSE)</f>
        <v>4.524534302523564E-2</v>
      </c>
      <c r="J205" s="31" t="str">
        <f>VLOOKUP(A205,Rankings!B:D,3,FALSE)</f>
        <v>AL</v>
      </c>
    </row>
    <row r="206" spans="1:10" ht="20.100000000000001" customHeight="1">
      <c r="A206" s="26" t="s">
        <v>611</v>
      </c>
      <c r="B206" s="27" t="s">
        <v>91</v>
      </c>
      <c r="C206" s="42" t="s">
        <v>34</v>
      </c>
      <c r="D206" s="138">
        <f t="shared" ca="1" si="6"/>
        <v>203</v>
      </c>
      <c r="E206" s="31">
        <f ca="1">VLOOKUP(A206,Rankings!$B$1:$H$651,6,FALSE)+(RAND()*0.00001)</f>
        <v>160.47389383137269</v>
      </c>
      <c r="F206" s="31">
        <f ca="1">E206-VLOOKUP(Settings!$K$8+Settings!$K$9,D$2:E$251,2,FALSE)</f>
        <v>-99.647780389649228</v>
      </c>
      <c r="G206" s="138">
        <f t="shared" ca="1" si="7"/>
        <v>230</v>
      </c>
      <c r="H206" s="31">
        <f ca="1">VLOOKUP(A206,Rankings!$B$1:$H$651,7,FALSE)+(RAND()*0.00001)</f>
        <v>-3.4379686149946256</v>
      </c>
      <c r="I206" s="31">
        <f ca="1">H206-VLOOKUP(Settings!$K$8+Settings!$K$9,G$2:H$251,2,FALSE)</f>
        <v>-2.5703928957670277</v>
      </c>
      <c r="J206" s="31" t="str">
        <f>VLOOKUP(A206,Rankings!B:D,3,FALSE)</f>
        <v>NL</v>
      </c>
    </row>
    <row r="207" spans="1:10" ht="20.100000000000001" customHeight="1">
      <c r="A207" s="26" t="s">
        <v>480</v>
      </c>
      <c r="B207" s="27" t="s">
        <v>71</v>
      </c>
      <c r="C207" s="42" t="s">
        <v>34</v>
      </c>
      <c r="D207" s="138">
        <f t="shared" ca="1" si="6"/>
        <v>205</v>
      </c>
      <c r="E207" s="31">
        <f ca="1">VLOOKUP(A207,Rankings!$B$1:$H$651,6,FALSE)+(RAND()*0.00001)</f>
        <v>158.88611956651812</v>
      </c>
      <c r="F207" s="31">
        <f ca="1">E207-VLOOKUP(Settings!$K$8+Settings!$K$9,D$2:E$251,2,FALSE)</f>
        <v>-101.2355546545038</v>
      </c>
      <c r="G207" s="138">
        <f t="shared" ca="1" si="7"/>
        <v>139</v>
      </c>
      <c r="H207" s="31">
        <f ca="1">VLOOKUP(A207,Rankings!$B$1:$H$651,7,FALSE)+(RAND()*0.00001)</f>
        <v>-0.90778765424162577</v>
      </c>
      <c r="I207" s="31">
        <f ca="1">H207-VLOOKUP(Settings!$K$8+Settings!$K$9,G$2:H$251,2,FALSE)</f>
        <v>-4.0211935014027866E-2</v>
      </c>
      <c r="J207" s="31" t="str">
        <f>VLOOKUP(A207,Rankings!B:D,3,FALSE)</f>
        <v>AL</v>
      </c>
    </row>
    <row r="208" spans="1:10" ht="20.100000000000001" customHeight="1">
      <c r="A208" s="26" t="s">
        <v>505</v>
      </c>
      <c r="B208" s="27" t="s">
        <v>114</v>
      </c>
      <c r="C208" s="42" t="s">
        <v>34</v>
      </c>
      <c r="D208" s="138">
        <f t="shared" ca="1" si="6"/>
        <v>204</v>
      </c>
      <c r="E208" s="31">
        <f ca="1">VLOOKUP(A208,Rankings!$B$1:$H$651,6,FALSE)+(RAND()*0.00001)</f>
        <v>160.01166949281134</v>
      </c>
      <c r="F208" s="31">
        <f ca="1">E208-VLOOKUP(Settings!$K$8+Settings!$K$9,D$2:E$251,2,FALSE)</f>
        <v>-100.11000472821058</v>
      </c>
      <c r="G208" s="138">
        <f t="shared" ca="1" si="7"/>
        <v>157</v>
      </c>
      <c r="H208" s="31">
        <f ca="1">VLOOKUP(A208,Rankings!$B$1:$H$651,7,FALSE)+(RAND()*0.00001)</f>
        <v>-1.5763731621564103</v>
      </c>
      <c r="I208" s="31">
        <f ca="1">H208-VLOOKUP(Settings!$K$8+Settings!$K$9,G$2:H$251,2,FALSE)</f>
        <v>-0.70879744292881242</v>
      </c>
      <c r="J208" s="31" t="str">
        <f>VLOOKUP(A208,Rankings!B:D,3,FALSE)</f>
        <v>AL</v>
      </c>
    </row>
    <row r="209" spans="1:10" ht="20.100000000000001" customHeight="1">
      <c r="A209" s="26" t="s">
        <v>574</v>
      </c>
      <c r="B209" s="27" t="s">
        <v>76</v>
      </c>
      <c r="C209" s="42" t="s">
        <v>34</v>
      </c>
      <c r="D209" s="138">
        <f t="shared" ca="1" si="6"/>
        <v>216</v>
      </c>
      <c r="E209" s="31">
        <f ca="1">VLOOKUP(A209,Rankings!$B$1:$H$651,6,FALSE)+(RAND()*0.00001)</f>
        <v>149.21666820348128</v>
      </c>
      <c r="F209" s="31">
        <f ca="1">E209-VLOOKUP(Settings!$K$8+Settings!$K$9,D$2:E$251,2,FALSE)</f>
        <v>-110.90500601754064</v>
      </c>
      <c r="G209" s="138">
        <f t="shared" ca="1" si="7"/>
        <v>168</v>
      </c>
      <c r="H209" s="31">
        <f ca="1">VLOOKUP(A209,Rankings!$B$1:$H$651,7,FALSE)+(RAND()*0.00001)</f>
        <v>-1.8706159872233081</v>
      </c>
      <c r="I209" s="31">
        <f ca="1">H209-VLOOKUP(Settings!$K$8+Settings!$K$9,G$2:H$251,2,FALSE)</f>
        <v>-1.0030402679957102</v>
      </c>
      <c r="J209" s="31" t="str">
        <f>VLOOKUP(A209,Rankings!B:D,3,FALSE)</f>
        <v>AL</v>
      </c>
    </row>
    <row r="210" spans="1:10" ht="20.100000000000001" customHeight="1">
      <c r="A210" s="26" t="s">
        <v>432</v>
      </c>
      <c r="B210" s="27" t="s">
        <v>73</v>
      </c>
      <c r="C210" s="42" t="s">
        <v>34</v>
      </c>
      <c r="D210" s="138">
        <f t="shared" ca="1" si="6"/>
        <v>211</v>
      </c>
      <c r="E210" s="31">
        <f ca="1">VLOOKUP(A210,Rankings!$B$1:$H$651,6,FALSE)+(RAND()*0.00001)</f>
        <v>155.71056470490902</v>
      </c>
      <c r="F210" s="31">
        <f ca="1">E210-VLOOKUP(Settings!$K$8+Settings!$K$9,D$2:E$251,2,FALSE)</f>
        <v>-104.4111095161129</v>
      </c>
      <c r="G210" s="138">
        <f t="shared" ca="1" si="7"/>
        <v>108</v>
      </c>
      <c r="H210" s="31">
        <f ca="1">VLOOKUP(A210,Rankings!$B$1:$H$651,7,FALSE)+(RAND()*0.00001)</f>
        <v>-0.31450961751712092</v>
      </c>
      <c r="I210" s="31">
        <f ca="1">H210-VLOOKUP(Settings!$K$8+Settings!$K$9,G$2:H$251,2,FALSE)</f>
        <v>0.55306610171047699</v>
      </c>
      <c r="J210" s="31" t="str">
        <f>VLOOKUP(A210,Rankings!B:D,3,FALSE)</f>
        <v>NL</v>
      </c>
    </row>
    <row r="211" spans="1:10" ht="20.100000000000001" customHeight="1">
      <c r="A211" s="26" t="s">
        <v>550</v>
      </c>
      <c r="B211" s="27" t="s">
        <v>103</v>
      </c>
      <c r="C211" s="42" t="s">
        <v>34</v>
      </c>
      <c r="D211" s="138">
        <f t="shared" ca="1" si="6"/>
        <v>206</v>
      </c>
      <c r="E211" s="31">
        <f ca="1">VLOOKUP(A211,Rankings!$B$1:$H$651,6,FALSE)+(RAND()*0.00001)</f>
        <v>158.41223030243842</v>
      </c>
      <c r="F211" s="31">
        <f ca="1">E211-VLOOKUP(Settings!$K$8+Settings!$K$9,D$2:E$251,2,FALSE)</f>
        <v>-101.7094439185835</v>
      </c>
      <c r="G211" s="138">
        <f t="shared" ca="1" si="7"/>
        <v>151</v>
      </c>
      <c r="H211" s="31">
        <f ca="1">VLOOKUP(A211,Rankings!$B$1:$H$651,7,FALSE)+(RAND()*0.00001)</f>
        <v>-1.3306790584883286</v>
      </c>
      <c r="I211" s="31">
        <f ca="1">H211-VLOOKUP(Settings!$K$8+Settings!$K$9,G$2:H$251,2,FALSE)</f>
        <v>-0.46310333926073066</v>
      </c>
      <c r="J211" s="31" t="str">
        <f>VLOOKUP(A211,Rankings!B:D,3,FALSE)</f>
        <v>AL</v>
      </c>
    </row>
    <row r="212" spans="1:10" ht="20.100000000000001" customHeight="1">
      <c r="A212" s="26" t="s">
        <v>488</v>
      </c>
      <c r="B212" s="27" t="s">
        <v>76</v>
      </c>
      <c r="C212" s="42" t="s">
        <v>34</v>
      </c>
      <c r="D212" s="138">
        <f t="shared" ca="1" si="6"/>
        <v>209</v>
      </c>
      <c r="E212" s="31">
        <f ca="1">VLOOKUP(A212,Rankings!$B$1:$H$651,6,FALSE)+(RAND()*0.00001)</f>
        <v>157.04055615672999</v>
      </c>
      <c r="F212" s="31">
        <f ca="1">E212-VLOOKUP(Settings!$K$8+Settings!$K$9,D$2:E$251,2,FALSE)</f>
        <v>-103.08111806429193</v>
      </c>
      <c r="G212" s="138">
        <f t="shared" ca="1" si="7"/>
        <v>137</v>
      </c>
      <c r="H212" s="31">
        <f ca="1">VLOOKUP(A212,Rankings!$B$1:$H$651,7,FALSE)+(RAND()*0.00001)</f>
        <v>-0.87089871396911611</v>
      </c>
      <c r="I212" s="31">
        <f ca="1">H212-VLOOKUP(Settings!$K$8+Settings!$K$9,G$2:H$251,2,FALSE)</f>
        <v>-3.3229947415182037E-3</v>
      </c>
      <c r="J212" s="31" t="str">
        <f>VLOOKUP(A212,Rankings!B:D,3,FALSE)</f>
        <v>AL</v>
      </c>
    </row>
    <row r="213" spans="1:10" ht="20.100000000000001" customHeight="1">
      <c r="A213" s="26" t="s">
        <v>517</v>
      </c>
      <c r="B213" s="27" t="s">
        <v>68</v>
      </c>
      <c r="C213" s="42" t="s">
        <v>34</v>
      </c>
      <c r="D213" s="138">
        <f t="shared" ca="1" si="6"/>
        <v>210</v>
      </c>
      <c r="E213" s="31">
        <f ca="1">VLOOKUP(A213,Rankings!$B$1:$H$651,6,FALSE)+(RAND()*0.00001)</f>
        <v>156.89277972682271</v>
      </c>
      <c r="F213" s="31">
        <f ca="1">E213-VLOOKUP(Settings!$K$8+Settings!$K$9,D$2:E$251,2,FALSE)</f>
        <v>-103.22889449419921</v>
      </c>
      <c r="G213" s="138">
        <f t="shared" ca="1" si="7"/>
        <v>111</v>
      </c>
      <c r="H213" s="31">
        <f ca="1">VLOOKUP(A213,Rankings!$B$1:$H$651,7,FALSE)+(RAND()*0.00001)</f>
        <v>-0.41266054050359186</v>
      </c>
      <c r="I213" s="31">
        <f ca="1">H213-VLOOKUP(Settings!$K$8+Settings!$K$9,G$2:H$251,2,FALSE)</f>
        <v>0.45491517872400605</v>
      </c>
      <c r="J213" s="31" t="str">
        <f>VLOOKUP(A213,Rankings!B:D,3,FALSE)</f>
        <v>AL</v>
      </c>
    </row>
    <row r="214" spans="1:10" ht="20.100000000000001" customHeight="1">
      <c r="A214" s="26" t="s">
        <v>454</v>
      </c>
      <c r="B214" s="27" t="s">
        <v>258</v>
      </c>
      <c r="C214" s="36" t="s">
        <v>31</v>
      </c>
      <c r="D214" s="138">
        <f t="shared" ca="1" si="6"/>
        <v>212</v>
      </c>
      <c r="E214" s="31">
        <f ca="1">VLOOKUP(A214,Rankings!$B$1:$H$651,6,FALSE)+(RAND()*0.00001)</f>
        <v>155.10389606421654</v>
      </c>
      <c r="F214" s="31">
        <f ca="1">E214-VLOOKUP(Settings!$K$8+Settings!$K$9,D$2:E$251,2,FALSE)</f>
        <v>-105.01777815680538</v>
      </c>
      <c r="G214" s="138">
        <f t="shared" ca="1" si="7"/>
        <v>191</v>
      </c>
      <c r="H214" s="31">
        <f ca="1">VLOOKUP(A214,Rankings!$B$1:$H$651,7,FALSE)+(RAND()*0.00001)</f>
        <v>-2.2420894031959646</v>
      </c>
      <c r="I214" s="31">
        <f ca="1">H214-VLOOKUP(Settings!$K$8+Settings!$K$9,G$2:H$251,2,FALSE)</f>
        <v>-1.3745136839683667</v>
      </c>
      <c r="J214" s="31" t="str">
        <f>VLOOKUP(A214,Rankings!B:D,3,FALSE)</f>
        <v>AL</v>
      </c>
    </row>
    <row r="215" spans="1:10" ht="20.100000000000001" customHeight="1">
      <c r="A215" s="26" t="s">
        <v>595</v>
      </c>
      <c r="B215" s="27" t="s">
        <v>117</v>
      </c>
      <c r="C215" s="42" t="s">
        <v>34</v>
      </c>
      <c r="D215" s="138">
        <f t="shared" ca="1" si="6"/>
        <v>220</v>
      </c>
      <c r="E215" s="31">
        <f ca="1">VLOOKUP(A215,Rankings!$B$1:$H$651,6,FALSE)+(RAND()*0.00001)</f>
        <v>145.73556315304171</v>
      </c>
      <c r="F215" s="31">
        <f ca="1">E215-VLOOKUP(Settings!$K$8+Settings!$K$9,D$2:E$251,2,FALSE)</f>
        <v>-114.38611106798021</v>
      </c>
      <c r="G215" s="138">
        <f t="shared" ca="1" si="7"/>
        <v>228</v>
      </c>
      <c r="H215" s="31">
        <f ca="1">VLOOKUP(A215,Rankings!$B$1:$H$651,7,FALSE)+(RAND()*0.00001)</f>
        <v>-3.3822821629404931</v>
      </c>
      <c r="I215" s="31">
        <f ca="1">H215-VLOOKUP(Settings!$K$8+Settings!$K$9,G$2:H$251,2,FALSE)</f>
        <v>-2.5147064437128952</v>
      </c>
      <c r="J215" s="31" t="str">
        <f>VLOOKUP(A215,Rankings!B:D,3,FALSE)</f>
        <v>AL</v>
      </c>
    </row>
    <row r="216" spans="1:10" ht="20.100000000000001" customHeight="1">
      <c r="A216" s="26" t="s">
        <v>744</v>
      </c>
      <c r="B216" s="27" t="s">
        <v>86</v>
      </c>
      <c r="C216" s="42" t="s">
        <v>34</v>
      </c>
      <c r="D216" s="138">
        <f t="shared" ca="1" si="6"/>
        <v>224</v>
      </c>
      <c r="E216" s="31">
        <f ca="1">VLOOKUP(A216,Rankings!$B$1:$H$651,6,FALSE)+(RAND()*0.00001)</f>
        <v>143.60334300627375</v>
      </c>
      <c r="F216" s="31">
        <f ca="1">E216-VLOOKUP(Settings!$K$8+Settings!$K$9,D$2:E$251,2,FALSE)</f>
        <v>-116.51833121474817</v>
      </c>
      <c r="G216" s="138">
        <f t="shared" ca="1" si="7"/>
        <v>245</v>
      </c>
      <c r="H216" s="31">
        <f ca="1">VLOOKUP(A216,Rankings!$B$1:$H$651,7,FALSE)+(RAND()*0.00001)</f>
        <v>-4.6534210901826212</v>
      </c>
      <c r="I216" s="31">
        <f ca="1">H216-VLOOKUP(Settings!$K$8+Settings!$K$9,G$2:H$251,2,FALSE)</f>
        <v>-3.7858453709550233</v>
      </c>
      <c r="J216" s="31" t="str">
        <f>VLOOKUP(A216,Rankings!B:D,3,FALSE)</f>
        <v>NL</v>
      </c>
    </row>
    <row r="217" spans="1:10" ht="20.100000000000001" customHeight="1">
      <c r="A217" s="26" t="s">
        <v>439</v>
      </c>
      <c r="B217" s="27" t="s">
        <v>94</v>
      </c>
      <c r="C217" s="42" t="s">
        <v>34</v>
      </c>
      <c r="D217" s="138">
        <f t="shared" ca="1" si="6"/>
        <v>221</v>
      </c>
      <c r="E217" s="31">
        <f ca="1">VLOOKUP(A217,Rankings!$B$1:$H$651,6,FALSE)+(RAND()*0.00001)</f>
        <v>145.71834005816385</v>
      </c>
      <c r="F217" s="31">
        <f ca="1">E217-VLOOKUP(Settings!$K$8+Settings!$K$9,D$2:E$251,2,FALSE)</f>
        <v>-114.40333416285807</v>
      </c>
      <c r="G217" s="138">
        <f t="shared" ca="1" si="7"/>
        <v>140</v>
      </c>
      <c r="H217" s="31">
        <f ca="1">VLOOKUP(A217,Rankings!$B$1:$H$651,7,FALSE)+(RAND()*0.00001)</f>
        <v>-0.93121261278088985</v>
      </c>
      <c r="I217" s="31">
        <f ca="1">H217-VLOOKUP(Settings!$K$8+Settings!$K$9,G$2:H$251,2,FALSE)</f>
        <v>-6.363689355329194E-2</v>
      </c>
      <c r="J217" s="31" t="str">
        <f>VLOOKUP(A217,Rankings!B:D,3,FALSE)</f>
        <v>AL</v>
      </c>
    </row>
    <row r="218" spans="1:10" ht="20.100000000000001" customHeight="1">
      <c r="A218" s="26" t="s">
        <v>470</v>
      </c>
      <c r="B218" s="27" t="s">
        <v>63</v>
      </c>
      <c r="C218" s="36" t="s">
        <v>31</v>
      </c>
      <c r="D218" s="138">
        <f t="shared" ca="1" si="6"/>
        <v>222</v>
      </c>
      <c r="E218" s="31">
        <f ca="1">VLOOKUP(A218,Rankings!$B$1:$H$651,6,FALSE)+(RAND()*0.00001)</f>
        <v>144.9271510232407</v>
      </c>
      <c r="F218" s="31">
        <f ca="1">E218-VLOOKUP(Settings!$K$8+Settings!$K$9,D$2:E$251,2,FALSE)</f>
        <v>-115.19452319778122</v>
      </c>
      <c r="G218" s="138">
        <f t="shared" ca="1" si="7"/>
        <v>189</v>
      </c>
      <c r="H218" s="31">
        <f ca="1">VLOOKUP(A218,Rankings!$B$1:$H$651,7,FALSE)+(RAND()*0.00001)</f>
        <v>-2.236861533584809</v>
      </c>
      <c r="I218" s="31">
        <f ca="1">H218-VLOOKUP(Settings!$K$8+Settings!$K$9,G$2:H$251,2,FALSE)</f>
        <v>-1.3692858143572111</v>
      </c>
      <c r="J218" s="31" t="str">
        <f>VLOOKUP(A218,Rankings!B:D,3,FALSE)</f>
        <v>NL</v>
      </c>
    </row>
    <row r="219" spans="1:10" ht="20.100000000000001" customHeight="1">
      <c r="A219" s="26" t="s">
        <v>546</v>
      </c>
      <c r="B219" s="27" t="s">
        <v>78</v>
      </c>
      <c r="C219" s="42" t="s">
        <v>34</v>
      </c>
      <c r="D219" s="138">
        <f t="shared" ca="1" si="6"/>
        <v>219</v>
      </c>
      <c r="E219" s="31">
        <f ca="1">VLOOKUP(A219,Rankings!$B$1:$H$651,6,FALSE)+(RAND()*0.00001)</f>
        <v>146.1550009093659</v>
      </c>
      <c r="F219" s="31">
        <f ca="1">E219-VLOOKUP(Settings!$K$8+Settings!$K$9,D$2:E$251,2,FALSE)</f>
        <v>-113.96667331165602</v>
      </c>
      <c r="G219" s="138">
        <f t="shared" ca="1" si="7"/>
        <v>166</v>
      </c>
      <c r="H219" s="31">
        <f ca="1">VLOOKUP(A219,Rankings!$B$1:$H$651,7,FALSE)+(RAND()*0.00001)</f>
        <v>-1.8217171015533773</v>
      </c>
      <c r="I219" s="31">
        <f ca="1">H219-VLOOKUP(Settings!$K$8+Settings!$K$9,G$2:H$251,2,FALSE)</f>
        <v>-0.95414138232577939</v>
      </c>
      <c r="J219" s="31" t="str">
        <f>VLOOKUP(A219,Rankings!B:D,3,FALSE)</f>
        <v>AL</v>
      </c>
    </row>
    <row r="220" spans="1:10" ht="20.100000000000001" customHeight="1">
      <c r="A220" s="26" t="s">
        <v>614</v>
      </c>
      <c r="B220" s="27" t="s">
        <v>117</v>
      </c>
      <c r="C220" s="42" t="s">
        <v>34</v>
      </c>
      <c r="D220" s="138">
        <f t="shared" ca="1" si="6"/>
        <v>215</v>
      </c>
      <c r="E220" s="31">
        <f ca="1">VLOOKUP(A220,Rankings!$B$1:$H$651,6,FALSE)+(RAND()*0.00001)</f>
        <v>149.85666983007181</v>
      </c>
      <c r="F220" s="31">
        <f ca="1">E220-VLOOKUP(Settings!$K$8+Settings!$K$9,D$2:E$251,2,FALSE)</f>
        <v>-110.26500439095011</v>
      </c>
      <c r="G220" s="138">
        <f t="shared" ca="1" si="7"/>
        <v>211</v>
      </c>
      <c r="H220" s="31">
        <f ca="1">VLOOKUP(A220,Rankings!$B$1:$H$651,7,FALSE)+(RAND()*0.00001)</f>
        <v>-2.5994625478523701</v>
      </c>
      <c r="I220" s="31">
        <f ca="1">H220-VLOOKUP(Settings!$K$8+Settings!$K$9,G$2:H$251,2,FALSE)</f>
        <v>-1.7318868286247722</v>
      </c>
      <c r="J220" s="31" t="str">
        <f>VLOOKUP(A220,Rankings!B:D,3,FALSE)</f>
        <v>AL</v>
      </c>
    </row>
    <row r="221" spans="1:10" ht="20.100000000000001" customHeight="1">
      <c r="A221" s="26" t="s">
        <v>625</v>
      </c>
      <c r="B221" s="27" t="s">
        <v>84</v>
      </c>
      <c r="C221" s="42" t="s">
        <v>34</v>
      </c>
      <c r="D221" s="138">
        <f t="shared" ca="1" si="6"/>
        <v>214</v>
      </c>
      <c r="E221" s="31">
        <f ca="1">VLOOKUP(A221,Rankings!$B$1:$H$651,6,FALSE)+(RAND()*0.00001)</f>
        <v>152.68863137951433</v>
      </c>
      <c r="F221" s="31">
        <f ca="1">E221-VLOOKUP(Settings!$K$8+Settings!$K$9,D$2:E$251,2,FALSE)</f>
        <v>-107.43304284150759</v>
      </c>
      <c r="G221" s="138">
        <f t="shared" ca="1" si="7"/>
        <v>229</v>
      </c>
      <c r="H221" s="31">
        <f ca="1">VLOOKUP(A221,Rankings!$B$1:$H$651,7,FALSE)+(RAND()*0.00001)</f>
        <v>-3.4110572362387992</v>
      </c>
      <c r="I221" s="31">
        <f ca="1">H221-VLOOKUP(Settings!$K$8+Settings!$K$9,G$2:H$251,2,FALSE)</f>
        <v>-2.5434815170112013</v>
      </c>
      <c r="J221" s="31" t="str">
        <f>VLOOKUP(A221,Rankings!B:D,3,FALSE)</f>
        <v>AL</v>
      </c>
    </row>
    <row r="222" spans="1:10" ht="20.100000000000001" customHeight="1">
      <c r="A222" s="26" t="s">
        <v>594</v>
      </c>
      <c r="B222" s="27" t="s">
        <v>68</v>
      </c>
      <c r="C222" s="42" t="s">
        <v>34</v>
      </c>
      <c r="D222" s="138">
        <f t="shared" ca="1" si="6"/>
        <v>217</v>
      </c>
      <c r="E222" s="31">
        <f ca="1">VLOOKUP(A222,Rankings!$B$1:$H$651,6,FALSE)+(RAND()*0.00001)</f>
        <v>148.17980877069229</v>
      </c>
      <c r="F222" s="31">
        <f ca="1">E222-VLOOKUP(Settings!$K$8+Settings!$K$9,D$2:E$251,2,FALSE)</f>
        <v>-111.94186545032963</v>
      </c>
      <c r="G222" s="138">
        <f t="shared" ca="1" si="7"/>
        <v>165</v>
      </c>
      <c r="H222" s="31">
        <f ca="1">VLOOKUP(A222,Rankings!$B$1:$H$651,7,FALSE)+(RAND()*0.00001)</f>
        <v>-1.7488066798088218</v>
      </c>
      <c r="I222" s="31">
        <f ca="1">H222-VLOOKUP(Settings!$K$8+Settings!$K$9,G$2:H$251,2,FALSE)</f>
        <v>-0.88123096058122385</v>
      </c>
      <c r="J222" s="31" t="str">
        <f>VLOOKUP(A222,Rankings!B:D,3,FALSE)</f>
        <v>AL</v>
      </c>
    </row>
    <row r="223" spans="1:10" ht="20.100000000000001" customHeight="1">
      <c r="A223" s="26" t="s">
        <v>541</v>
      </c>
      <c r="B223" s="27" t="s">
        <v>95</v>
      </c>
      <c r="C223" s="36" t="s">
        <v>31</v>
      </c>
      <c r="D223" s="138">
        <f t="shared" ca="1" si="6"/>
        <v>199</v>
      </c>
      <c r="E223" s="31">
        <f ca="1">VLOOKUP(A223,Rankings!$B$1:$H$651,6,FALSE)+(RAND()*0.00001)</f>
        <v>162.24945205774426</v>
      </c>
      <c r="F223" s="31">
        <f ca="1">E223-VLOOKUP(Settings!$K$8+Settings!$K$9,D$2:E$251,2,FALSE)</f>
        <v>-97.872222163277655</v>
      </c>
      <c r="G223" s="138">
        <f t="shared" ca="1" si="7"/>
        <v>188</v>
      </c>
      <c r="H223" s="31">
        <f ca="1">VLOOKUP(A223,Rankings!$B$1:$H$651,7,FALSE)+(RAND()*0.00001)</f>
        <v>-2.2287623071241045</v>
      </c>
      <c r="I223" s="31">
        <f ca="1">H223-VLOOKUP(Settings!$K$8+Settings!$K$9,G$2:H$251,2,FALSE)</f>
        <v>-1.3611865878965066</v>
      </c>
      <c r="J223" s="31" t="str">
        <f>VLOOKUP(A223,Rankings!B:D,3,FALSE)</f>
        <v>NL</v>
      </c>
    </row>
    <row r="224" spans="1:10" ht="20.100000000000001" customHeight="1">
      <c r="A224" s="26" t="s">
        <v>582</v>
      </c>
      <c r="B224" s="27" t="s">
        <v>306</v>
      </c>
      <c r="C224" s="42" t="s">
        <v>34</v>
      </c>
      <c r="D224" s="138">
        <f t="shared" ca="1" si="6"/>
        <v>218</v>
      </c>
      <c r="E224" s="31">
        <f ca="1">VLOOKUP(A224,Rankings!$B$1:$H$651,6,FALSE)+(RAND()*0.00001)</f>
        <v>146.71333460963038</v>
      </c>
      <c r="F224" s="31">
        <f ca="1">E224-VLOOKUP(Settings!$K$8+Settings!$K$9,D$2:E$251,2,FALSE)</f>
        <v>-113.40833961139154</v>
      </c>
      <c r="G224" s="138">
        <f t="shared" ca="1" si="7"/>
        <v>206</v>
      </c>
      <c r="H224" s="31">
        <f ca="1">VLOOKUP(A224,Rankings!$B$1:$H$651,7,FALSE)+(RAND()*0.00001)</f>
        <v>-2.5045408479280549</v>
      </c>
      <c r="I224" s="31">
        <f ca="1">H224-VLOOKUP(Settings!$K$8+Settings!$K$9,G$2:H$251,2,FALSE)</f>
        <v>-1.636965128700457</v>
      </c>
      <c r="J224" s="31" t="str">
        <f>VLOOKUP(A224,Rankings!B:D,3,FALSE)</f>
        <v>NL</v>
      </c>
    </row>
    <row r="225" spans="1:10" ht="20.100000000000001" customHeight="1">
      <c r="A225" s="26" t="s">
        <v>478</v>
      </c>
      <c r="B225" s="27" t="s">
        <v>103</v>
      </c>
      <c r="C225" s="42" t="s">
        <v>34</v>
      </c>
      <c r="D225" s="138">
        <f t="shared" ca="1" si="6"/>
        <v>225</v>
      </c>
      <c r="E225" s="31">
        <f ca="1">VLOOKUP(A225,Rankings!$B$1:$H$651,6,FALSE)+(RAND()*0.00001)</f>
        <v>143.55834177004823</v>
      </c>
      <c r="F225" s="31">
        <f ca="1">E225-VLOOKUP(Settings!$K$8+Settings!$K$9,D$2:E$251,2,FALSE)</f>
        <v>-116.56333245097369</v>
      </c>
      <c r="G225" s="138">
        <f t="shared" ca="1" si="7"/>
        <v>125</v>
      </c>
      <c r="H225" s="31">
        <f ca="1">VLOOKUP(A225,Rankings!$B$1:$H$651,7,FALSE)+(RAND()*0.00001)</f>
        <v>-0.73327920301550997</v>
      </c>
      <c r="I225" s="31">
        <f ca="1">H225-VLOOKUP(Settings!$K$8+Settings!$K$9,G$2:H$251,2,FALSE)</f>
        <v>0.13429651621208794</v>
      </c>
      <c r="J225" s="31" t="str">
        <f>VLOOKUP(A225,Rankings!B:D,3,FALSE)</f>
        <v>AL</v>
      </c>
    </row>
    <row r="226" spans="1:10" ht="20.100000000000001" customHeight="1">
      <c r="A226" s="26" t="s">
        <v>756</v>
      </c>
      <c r="B226" s="27" t="s">
        <v>63</v>
      </c>
      <c r="C226" s="42" t="s">
        <v>34</v>
      </c>
      <c r="D226" s="138">
        <f t="shared" ca="1" si="6"/>
        <v>226</v>
      </c>
      <c r="E226" s="31">
        <f ca="1">VLOOKUP(A226,Rankings!$B$1:$H$651,6,FALSE)+(RAND()*0.00001)</f>
        <v>143.22709093146136</v>
      </c>
      <c r="F226" s="31">
        <f ca="1">E226-VLOOKUP(Settings!$K$8+Settings!$K$9,D$2:E$251,2,FALSE)</f>
        <v>-116.89458328956056</v>
      </c>
      <c r="G226" s="138">
        <f t="shared" ca="1" si="7"/>
        <v>213</v>
      </c>
      <c r="H226" s="31">
        <f ca="1">VLOOKUP(A226,Rankings!$B$1:$H$651,7,FALSE)+(RAND()*0.00001)</f>
        <v>-2.6908583453399264</v>
      </c>
      <c r="I226" s="31">
        <f ca="1">H226-VLOOKUP(Settings!$K$8+Settings!$K$9,G$2:H$251,2,FALSE)</f>
        <v>-1.8232826261123285</v>
      </c>
      <c r="J226" s="31" t="str">
        <f>VLOOKUP(A226,Rankings!B:D,3,FALSE)</f>
        <v>NL</v>
      </c>
    </row>
    <row r="227" spans="1:10" ht="20.100000000000001" customHeight="1">
      <c r="A227" s="26" t="s">
        <v>616</v>
      </c>
      <c r="B227" s="27" t="s">
        <v>86</v>
      </c>
      <c r="C227" s="36" t="s">
        <v>31</v>
      </c>
      <c r="D227" s="138">
        <f t="shared" ca="1" si="6"/>
        <v>229</v>
      </c>
      <c r="E227" s="31">
        <f ca="1">VLOOKUP(A227,Rankings!$B$1:$H$651,6,FALSE)+(RAND()*0.00001)</f>
        <v>138.6625396957846</v>
      </c>
      <c r="F227" s="31">
        <f ca="1">E227-VLOOKUP(Settings!$K$8+Settings!$K$9,D$2:E$251,2,FALSE)</f>
        <v>-121.45913452523732</v>
      </c>
      <c r="G227" s="138">
        <f t="shared" ca="1" si="7"/>
        <v>242</v>
      </c>
      <c r="H227" s="31">
        <f ca="1">VLOOKUP(A227,Rankings!$B$1:$H$651,7,FALSE)+(RAND()*0.00001)</f>
        <v>-4.2211324945035749</v>
      </c>
      <c r="I227" s="31">
        <f ca="1">H227-VLOOKUP(Settings!$K$8+Settings!$K$9,G$2:H$251,2,FALSE)</f>
        <v>-3.353556775275977</v>
      </c>
      <c r="J227" s="31" t="str">
        <f>VLOOKUP(A227,Rankings!B:D,3,FALSE)</f>
        <v>AL</v>
      </c>
    </row>
    <row r="228" spans="1:10" ht="20.100000000000001" customHeight="1">
      <c r="A228" s="26" t="s">
        <v>573</v>
      </c>
      <c r="B228" s="27" t="s">
        <v>101</v>
      </c>
      <c r="C228" s="42" t="s">
        <v>34</v>
      </c>
      <c r="D228" s="138">
        <f t="shared" ca="1" si="6"/>
        <v>228</v>
      </c>
      <c r="E228" s="31">
        <f ca="1">VLOOKUP(A228,Rankings!$B$1:$H$651,6,FALSE)+(RAND()*0.00001)</f>
        <v>138.79611120205109</v>
      </c>
      <c r="F228" s="31">
        <f ca="1">E228-VLOOKUP(Settings!$K$8+Settings!$K$9,D$2:E$251,2,FALSE)</f>
        <v>-121.32556301897083</v>
      </c>
      <c r="G228" s="138">
        <f t="shared" ca="1" si="7"/>
        <v>176</v>
      </c>
      <c r="H228" s="31">
        <f ca="1">VLOOKUP(A228,Rankings!$B$1:$H$651,7,FALSE)+(RAND()*0.00001)</f>
        <v>-1.9883594862802303</v>
      </c>
      <c r="I228" s="31">
        <f ca="1">H228-VLOOKUP(Settings!$K$8+Settings!$K$9,G$2:H$251,2,FALSE)</f>
        <v>-1.1207837670526324</v>
      </c>
      <c r="J228" s="31" t="str">
        <f>VLOOKUP(A228,Rankings!B:D,3,FALSE)</f>
        <v>AL</v>
      </c>
    </row>
    <row r="229" spans="1:10" ht="20.100000000000001" customHeight="1">
      <c r="A229" s="26" t="s">
        <v>559</v>
      </c>
      <c r="B229" s="27" t="s">
        <v>94</v>
      </c>
      <c r="C229" s="42" t="s">
        <v>34</v>
      </c>
      <c r="D229" s="138">
        <f t="shared" ca="1" si="6"/>
        <v>227</v>
      </c>
      <c r="E229" s="31">
        <f ca="1">VLOOKUP(A229,Rankings!$B$1:$H$651,6,FALSE)+(RAND()*0.00001)</f>
        <v>139.47078742783717</v>
      </c>
      <c r="F229" s="31">
        <f ca="1">E229-VLOOKUP(Settings!$K$8+Settings!$K$9,D$2:E$251,2,FALSE)</f>
        <v>-120.65088679318475</v>
      </c>
      <c r="G229" s="138">
        <f t="shared" ca="1" si="7"/>
        <v>183</v>
      </c>
      <c r="H229" s="31">
        <f ca="1">VLOOKUP(A229,Rankings!$B$1:$H$651,7,FALSE)+(RAND()*0.00001)</f>
        <v>-2.1438762593329264</v>
      </c>
      <c r="I229" s="31">
        <f ca="1">H229-VLOOKUP(Settings!$K$8+Settings!$K$9,G$2:H$251,2,FALSE)</f>
        <v>-1.2763005401053285</v>
      </c>
      <c r="J229" s="31" t="str">
        <f>VLOOKUP(A229,Rankings!B:D,3,FALSE)</f>
        <v>AL</v>
      </c>
    </row>
    <row r="230" spans="1:10" ht="20.100000000000001" customHeight="1">
      <c r="A230" s="26" t="s">
        <v>605</v>
      </c>
      <c r="B230" s="27" t="s">
        <v>71</v>
      </c>
      <c r="C230" s="42" t="s">
        <v>34</v>
      </c>
      <c r="D230" s="138">
        <f t="shared" ca="1" si="6"/>
        <v>232</v>
      </c>
      <c r="E230" s="31">
        <f ca="1">VLOOKUP(A230,Rankings!$B$1:$H$651,6,FALSE)+(RAND()*0.00001)</f>
        <v>137.00500270349866</v>
      </c>
      <c r="F230" s="31">
        <f ca="1">E230-VLOOKUP(Settings!$K$8+Settings!$K$9,D$2:E$251,2,FALSE)</f>
        <v>-123.11667151752326</v>
      </c>
      <c r="G230" s="138">
        <f t="shared" ca="1" si="7"/>
        <v>187</v>
      </c>
      <c r="H230" s="31">
        <f ca="1">VLOOKUP(A230,Rankings!$B$1:$H$651,7,FALSE)+(RAND()*0.00001)</f>
        <v>-2.2066249756799028</v>
      </c>
      <c r="I230" s="31">
        <f ca="1">H230-VLOOKUP(Settings!$K$8+Settings!$K$9,G$2:H$251,2,FALSE)</f>
        <v>-1.3390492564523049</v>
      </c>
      <c r="J230" s="31" t="str">
        <f>VLOOKUP(A230,Rankings!B:D,3,FALSE)</f>
        <v>AL</v>
      </c>
    </row>
    <row r="231" spans="1:10" ht="20.100000000000001" customHeight="1">
      <c r="A231" s="26" t="s">
        <v>597</v>
      </c>
      <c r="B231" s="27" t="s">
        <v>99</v>
      </c>
      <c r="C231" s="42" t="s">
        <v>34</v>
      </c>
      <c r="D231" s="138">
        <f t="shared" ca="1" si="6"/>
        <v>234</v>
      </c>
      <c r="E231" s="31">
        <f ca="1">VLOOKUP(A231,Rankings!$B$1:$H$651,6,FALSE)+(RAND()*0.00001)</f>
        <v>136.3812519930477</v>
      </c>
      <c r="F231" s="31">
        <f ca="1">E231-VLOOKUP(Settings!$K$8+Settings!$K$9,D$2:E$251,2,FALSE)</f>
        <v>-123.74042222797422</v>
      </c>
      <c r="G231" s="138">
        <f t="shared" ca="1" si="7"/>
        <v>217</v>
      </c>
      <c r="H231" s="31">
        <f ca="1">VLOOKUP(A231,Rankings!$B$1:$H$651,7,FALSE)+(RAND()*0.00001)</f>
        <v>-2.7287406872435538</v>
      </c>
      <c r="I231" s="31">
        <f ca="1">H231-VLOOKUP(Settings!$K$8+Settings!$K$9,G$2:H$251,2,FALSE)</f>
        <v>-1.8611649680159559</v>
      </c>
      <c r="J231" s="31" t="str">
        <f>VLOOKUP(A231,Rankings!B:D,3,FALSE)</f>
        <v>AL</v>
      </c>
    </row>
    <row r="232" spans="1:10" ht="20.100000000000001" customHeight="1">
      <c r="A232" s="26" t="s">
        <v>599</v>
      </c>
      <c r="B232" s="27" t="s">
        <v>101</v>
      </c>
      <c r="C232" s="42" t="s">
        <v>34</v>
      </c>
      <c r="D232" s="138">
        <f t="shared" ca="1" si="6"/>
        <v>230</v>
      </c>
      <c r="E232" s="31">
        <f ca="1">VLOOKUP(A232,Rankings!$B$1:$H$651,6,FALSE)+(RAND()*0.00001)</f>
        <v>138.1411170460579</v>
      </c>
      <c r="F232" s="31">
        <f ca="1">E232-VLOOKUP(Settings!$K$8+Settings!$K$9,D$2:E$251,2,FALSE)</f>
        <v>-121.98055717496402</v>
      </c>
      <c r="G232" s="138">
        <f t="shared" ca="1" si="7"/>
        <v>173</v>
      </c>
      <c r="H232" s="31">
        <f ca="1">VLOOKUP(A232,Rankings!$B$1:$H$651,7,FALSE)+(RAND()*0.00001)</f>
        <v>-1.9433451120978968</v>
      </c>
      <c r="I232" s="31">
        <f ca="1">H232-VLOOKUP(Settings!$K$8+Settings!$K$9,G$2:H$251,2,FALSE)</f>
        <v>-1.0757693928702989</v>
      </c>
      <c r="J232" s="31" t="str">
        <f>VLOOKUP(A232,Rankings!B:D,3,FALSE)</f>
        <v>AL</v>
      </c>
    </row>
    <row r="233" spans="1:10" ht="20.100000000000001" customHeight="1">
      <c r="A233" s="26" t="s">
        <v>653</v>
      </c>
      <c r="B233" s="27" t="s">
        <v>156</v>
      </c>
      <c r="C233" s="42" t="s">
        <v>34</v>
      </c>
      <c r="D233" s="138">
        <f t="shared" ca="1" si="6"/>
        <v>231</v>
      </c>
      <c r="E233" s="31">
        <f ca="1">VLOOKUP(A233,Rankings!$B$1:$H$651,6,FALSE)+(RAND()*0.00001)</f>
        <v>137.70722576923384</v>
      </c>
      <c r="F233" s="31">
        <f ca="1">E233-VLOOKUP(Settings!$K$8+Settings!$K$9,D$2:E$251,2,FALSE)</f>
        <v>-122.41444845178808</v>
      </c>
      <c r="G233" s="138">
        <f t="shared" ca="1" si="7"/>
        <v>209</v>
      </c>
      <c r="H233" s="31">
        <f ca="1">VLOOKUP(A233,Rankings!$B$1:$H$651,7,FALSE)+(RAND()*0.00001)</f>
        <v>-2.5490621334020784</v>
      </c>
      <c r="I233" s="31">
        <f ca="1">H233-VLOOKUP(Settings!$K$8+Settings!$K$9,G$2:H$251,2,FALSE)</f>
        <v>-1.6814864141744805</v>
      </c>
      <c r="J233" s="31" t="str">
        <f>VLOOKUP(A233,Rankings!B:D,3,FALSE)</f>
        <v>AL</v>
      </c>
    </row>
    <row r="234" spans="1:10" ht="20.100000000000001" customHeight="1">
      <c r="A234" s="26" t="s">
        <v>497</v>
      </c>
      <c r="B234" s="27" t="s">
        <v>76</v>
      </c>
      <c r="C234" s="36" t="s">
        <v>31</v>
      </c>
      <c r="D234" s="138">
        <f t="shared" ca="1" si="6"/>
        <v>223</v>
      </c>
      <c r="E234" s="31">
        <f ca="1">VLOOKUP(A234,Rankings!$B$1:$H$651,6,FALSE)+(RAND()*0.00001)</f>
        <v>143.74889216211056</v>
      </c>
      <c r="F234" s="31">
        <f ca="1">E234-VLOOKUP(Settings!$K$8+Settings!$K$9,D$2:E$251,2,FALSE)</f>
        <v>-116.37278205891135</v>
      </c>
      <c r="G234" s="138">
        <f t="shared" ca="1" si="7"/>
        <v>167</v>
      </c>
      <c r="H234" s="31">
        <f ca="1">VLOOKUP(A234,Rankings!$B$1:$H$651,7,FALSE)+(RAND()*0.00001)</f>
        <v>-1.8573974444196415</v>
      </c>
      <c r="I234" s="31">
        <f ca="1">H234-VLOOKUP(Settings!$K$8+Settings!$K$9,G$2:H$251,2,FALSE)</f>
        <v>-0.98982172519204359</v>
      </c>
      <c r="J234" s="31" t="str">
        <f>VLOOKUP(A234,Rankings!B:D,3,FALSE)</f>
        <v>AL</v>
      </c>
    </row>
    <row r="235" spans="1:10" ht="20.100000000000001" customHeight="1">
      <c r="A235" s="26" t="s">
        <v>241</v>
      </c>
      <c r="B235" s="27" t="s">
        <v>114</v>
      </c>
      <c r="C235" s="42" t="s">
        <v>34</v>
      </c>
      <c r="D235" s="138">
        <f t="shared" ca="1" si="6"/>
        <v>235</v>
      </c>
      <c r="E235" s="31">
        <f ca="1">VLOOKUP(A235,Rankings!$B$1:$H$651,6,FALSE)+(RAND()*0.00001)</f>
        <v>133.76055664023457</v>
      </c>
      <c r="F235" s="31">
        <f ca="1">E235-VLOOKUP(Settings!$K$8+Settings!$K$9,D$2:E$251,2,FALSE)</f>
        <v>-126.36111758078735</v>
      </c>
      <c r="G235" s="138">
        <f t="shared" ca="1" si="7"/>
        <v>63</v>
      </c>
      <c r="H235" s="31">
        <f ca="1">VLOOKUP(A235,Rankings!$B$1:$H$651,7,FALSE)+(RAND()*0.00001)</f>
        <v>1.9927424730236707</v>
      </c>
      <c r="I235" s="31">
        <f ca="1">H235-VLOOKUP(Settings!$K$8+Settings!$K$9,G$2:H$251,2,FALSE)</f>
        <v>2.8603181922512686</v>
      </c>
      <c r="J235" s="31" t="str">
        <f>VLOOKUP(A235,Rankings!B:D,3,FALSE)</f>
        <v>AL</v>
      </c>
    </row>
    <row r="236" spans="1:10" ht="20.100000000000001" customHeight="1">
      <c r="A236" s="26" t="s">
        <v>600</v>
      </c>
      <c r="B236" s="27" t="s">
        <v>97</v>
      </c>
      <c r="C236" s="42" t="s">
        <v>34</v>
      </c>
      <c r="D236" s="138">
        <f t="shared" ca="1" si="6"/>
        <v>233</v>
      </c>
      <c r="E236" s="31">
        <f ca="1">VLOOKUP(A236,Rankings!$B$1:$H$651,6,FALSE)+(RAND()*0.00001)</f>
        <v>136.4827787237115</v>
      </c>
      <c r="F236" s="31">
        <f ca="1">E236-VLOOKUP(Settings!$K$8+Settings!$K$9,D$2:E$251,2,FALSE)</f>
        <v>-123.63889549731041</v>
      </c>
      <c r="G236" s="138">
        <f t="shared" ca="1" si="7"/>
        <v>177</v>
      </c>
      <c r="H236" s="31">
        <f ca="1">VLOOKUP(A236,Rankings!$B$1:$H$651,7,FALSE)+(RAND()*0.00001)</f>
        <v>-1.9968398575698407</v>
      </c>
      <c r="I236" s="31">
        <f ca="1">H236-VLOOKUP(Settings!$K$8+Settings!$K$9,G$2:H$251,2,FALSE)</f>
        <v>-1.1292641383422428</v>
      </c>
      <c r="J236" s="31" t="str">
        <f>VLOOKUP(A236,Rankings!B:D,3,FALSE)</f>
        <v>NL</v>
      </c>
    </row>
    <row r="237" spans="1:10" ht="20.100000000000001" customHeight="1">
      <c r="A237" s="26" t="s">
        <v>465</v>
      </c>
      <c r="B237" s="27" t="s">
        <v>71</v>
      </c>
      <c r="C237" s="42" t="s">
        <v>34</v>
      </c>
      <c r="D237" s="138">
        <f t="shared" ca="1" si="6"/>
        <v>238</v>
      </c>
      <c r="E237" s="31">
        <f ca="1">VLOOKUP(A237,Rankings!$B$1:$H$651,6,FALSE)+(RAND()*0.00001)</f>
        <v>131.01889584152107</v>
      </c>
      <c r="F237" s="31">
        <f ca="1">E237-VLOOKUP(Settings!$K$8+Settings!$K$9,D$2:E$251,2,FALSE)</f>
        <v>-129.10277837950085</v>
      </c>
      <c r="G237" s="138">
        <f t="shared" ca="1" si="7"/>
        <v>197</v>
      </c>
      <c r="H237" s="31">
        <f ca="1">VLOOKUP(A237,Rankings!$B$1:$H$651,7,FALSE)+(RAND()*0.00001)</f>
        <v>-2.3970331327536121</v>
      </c>
      <c r="I237" s="31">
        <f ca="1">H237-VLOOKUP(Settings!$K$8+Settings!$K$9,G$2:H$251,2,FALSE)</f>
        <v>-1.5294574135260142</v>
      </c>
      <c r="J237" s="31" t="str">
        <f>VLOOKUP(A237,Rankings!B:D,3,FALSE)</f>
        <v>AL</v>
      </c>
    </row>
    <row r="238" spans="1:10" ht="20.100000000000001" customHeight="1">
      <c r="A238" s="26" t="s">
        <v>490</v>
      </c>
      <c r="B238" s="27" t="s">
        <v>76</v>
      </c>
      <c r="C238" s="36" t="s">
        <v>31</v>
      </c>
      <c r="D238" s="138">
        <f t="shared" ca="1" si="6"/>
        <v>240</v>
      </c>
      <c r="E238" s="31">
        <f ca="1">VLOOKUP(A238,Rankings!$B$1:$H$651,6,FALSE)+(RAND()*0.00001)</f>
        <v>130.94222685679682</v>
      </c>
      <c r="F238" s="31">
        <f ca="1">E238-VLOOKUP(Settings!$K$8+Settings!$K$9,D$2:E$251,2,FALSE)</f>
        <v>-129.1794473642251</v>
      </c>
      <c r="G238" s="138">
        <f t="shared" ca="1" si="7"/>
        <v>210</v>
      </c>
      <c r="H238" s="31">
        <f ca="1">VLOOKUP(A238,Rankings!$B$1:$H$651,7,FALSE)+(RAND()*0.00001)</f>
        <v>-2.5615746785025486</v>
      </c>
      <c r="I238" s="31">
        <f ca="1">H238-VLOOKUP(Settings!$K$8+Settings!$K$9,G$2:H$251,2,FALSE)</f>
        <v>-1.6939989592749507</v>
      </c>
      <c r="J238" s="31" t="str">
        <f>VLOOKUP(A238,Rankings!B:D,3,FALSE)</f>
        <v>AL</v>
      </c>
    </row>
    <row r="239" spans="1:10" ht="20.100000000000001" customHeight="1">
      <c r="A239" s="26" t="s">
        <v>493</v>
      </c>
      <c r="B239" s="27" t="s">
        <v>156</v>
      </c>
      <c r="C239" s="42" t="s">
        <v>34</v>
      </c>
      <c r="D239" s="138">
        <f t="shared" ca="1" si="6"/>
        <v>237</v>
      </c>
      <c r="E239" s="31">
        <f ca="1">VLOOKUP(A239,Rankings!$B$1:$H$651,6,FALSE)+(RAND()*0.00001)</f>
        <v>131.84056141682845</v>
      </c>
      <c r="F239" s="31">
        <f ca="1">E239-VLOOKUP(Settings!$K$8+Settings!$K$9,D$2:E$251,2,FALSE)</f>
        <v>-128.28111280419347</v>
      </c>
      <c r="G239" s="138">
        <f t="shared" ca="1" si="7"/>
        <v>153</v>
      </c>
      <c r="H239" s="31">
        <f ca="1">VLOOKUP(A239,Rankings!$B$1:$H$651,7,FALSE)+(RAND()*0.00001)</f>
        <v>-1.5416737530220812</v>
      </c>
      <c r="I239" s="31">
        <f ca="1">H239-VLOOKUP(Settings!$K$8+Settings!$K$9,G$2:H$251,2,FALSE)</f>
        <v>-0.6740980337944833</v>
      </c>
      <c r="J239" s="31" t="str">
        <f>VLOOKUP(A239,Rankings!B:D,3,FALSE)</f>
        <v>AL</v>
      </c>
    </row>
    <row r="240" spans="1:10" ht="20.100000000000001" customHeight="1">
      <c r="A240" s="26" t="s">
        <v>533</v>
      </c>
      <c r="B240" s="27" t="s">
        <v>94</v>
      </c>
      <c r="C240" s="42" t="s">
        <v>34</v>
      </c>
      <c r="D240" s="138">
        <f t="shared" ca="1" si="6"/>
        <v>241</v>
      </c>
      <c r="E240" s="31">
        <f ca="1">VLOOKUP(A240,Rankings!$B$1:$H$651,6,FALSE)+(RAND()*0.00001)</f>
        <v>130.74274566747553</v>
      </c>
      <c r="F240" s="31">
        <f ca="1">E240-VLOOKUP(Settings!$K$8+Settings!$K$9,D$2:E$251,2,FALSE)</f>
        <v>-129.37892855354639</v>
      </c>
      <c r="G240" s="138">
        <f t="shared" ca="1" si="7"/>
        <v>200</v>
      </c>
      <c r="H240" s="31">
        <f ca="1">VLOOKUP(A240,Rankings!$B$1:$H$651,7,FALSE)+(RAND()*0.00001)</f>
        <v>-2.4376339827053197</v>
      </c>
      <c r="I240" s="31">
        <f ca="1">H240-VLOOKUP(Settings!$K$8+Settings!$K$9,G$2:H$251,2,FALSE)</f>
        <v>-1.5700582634777218</v>
      </c>
      <c r="J240" s="31" t="str">
        <f>VLOOKUP(A240,Rankings!B:D,3,FALSE)</f>
        <v>AL</v>
      </c>
    </row>
    <row r="241" spans="1:10" ht="20.100000000000001" customHeight="1">
      <c r="A241" s="26" t="s">
        <v>652</v>
      </c>
      <c r="B241" s="27" t="s">
        <v>86</v>
      </c>
      <c r="C241" s="36" t="s">
        <v>31</v>
      </c>
      <c r="D241" s="138">
        <f t="shared" ca="1" si="6"/>
        <v>242</v>
      </c>
      <c r="E241" s="31">
        <f ca="1">VLOOKUP(A241,Rankings!$B$1:$H$651,6,FALSE)+(RAND()*0.00001)</f>
        <v>130.64365124449401</v>
      </c>
      <c r="F241" s="31">
        <f ca="1">E241-VLOOKUP(Settings!$K$8+Settings!$K$9,D$2:E$251,2,FALSE)</f>
        <v>-129.47802297652791</v>
      </c>
      <c r="G241" s="138">
        <f t="shared" ca="1" si="7"/>
        <v>246</v>
      </c>
      <c r="H241" s="31">
        <f ca="1">VLOOKUP(A241,Rankings!$B$1:$H$651,7,FALSE)+(RAND()*0.00001)</f>
        <v>-4.7349113423386848</v>
      </c>
      <c r="I241" s="31">
        <f ca="1">H241-VLOOKUP(Settings!$K$8+Settings!$K$9,G$2:H$251,2,FALSE)</f>
        <v>-3.8673356231110869</v>
      </c>
      <c r="J241" s="31" t="str">
        <f>VLOOKUP(A241,Rankings!B:D,3,FALSE)</f>
        <v>AL</v>
      </c>
    </row>
    <row r="242" spans="1:10" ht="20.100000000000001" customHeight="1">
      <c r="A242" s="26" t="s">
        <v>596</v>
      </c>
      <c r="B242" s="27" t="s">
        <v>95</v>
      </c>
      <c r="C242" s="42" t="s">
        <v>34</v>
      </c>
      <c r="D242" s="138">
        <f t="shared" ca="1" si="6"/>
        <v>236</v>
      </c>
      <c r="E242" s="31">
        <f ca="1">VLOOKUP(A242,Rankings!$B$1:$H$651,6,FALSE)+(RAND()*0.00001)</f>
        <v>131.98972723332767</v>
      </c>
      <c r="F242" s="31">
        <f ca="1">E242-VLOOKUP(Settings!$K$8+Settings!$K$9,D$2:E$251,2,FALSE)</f>
        <v>-128.13194698769425</v>
      </c>
      <c r="G242" s="138">
        <f t="shared" ca="1" si="7"/>
        <v>201</v>
      </c>
      <c r="H242" s="31">
        <f ca="1">VLOOKUP(A242,Rankings!$B$1:$H$651,7,FALSE)+(RAND()*0.00001)</f>
        <v>-2.4401165286595132</v>
      </c>
      <c r="I242" s="31">
        <f ca="1">H242-VLOOKUP(Settings!$K$8+Settings!$K$9,G$2:H$251,2,FALSE)</f>
        <v>-1.5725408094319153</v>
      </c>
      <c r="J242" s="31" t="str">
        <f>VLOOKUP(A242,Rankings!B:D,3,FALSE)</f>
        <v>NL</v>
      </c>
    </row>
    <row r="243" spans="1:10" ht="20.100000000000001" customHeight="1">
      <c r="A243" s="26" t="s">
        <v>601</v>
      </c>
      <c r="B243" s="27" t="s">
        <v>101</v>
      </c>
      <c r="C243" s="42" t="s">
        <v>34</v>
      </c>
      <c r="D243" s="138">
        <f t="shared" ca="1" si="6"/>
        <v>243</v>
      </c>
      <c r="E243" s="31">
        <f ca="1">VLOOKUP(A243,Rankings!$B$1:$H$651,6,FALSE)+(RAND()*0.00001)</f>
        <v>128.91416845352254</v>
      </c>
      <c r="F243" s="31">
        <f ca="1">E243-VLOOKUP(Settings!$K$8+Settings!$K$9,D$2:E$251,2,FALSE)</f>
        <v>-131.20750576749938</v>
      </c>
      <c r="G243" s="138">
        <f t="shared" ca="1" si="7"/>
        <v>155</v>
      </c>
      <c r="H243" s="31">
        <f ca="1">VLOOKUP(A243,Rankings!$B$1:$H$651,7,FALSE)+(RAND()*0.00001)</f>
        <v>-1.5452917165358251</v>
      </c>
      <c r="I243" s="31">
        <f ca="1">H243-VLOOKUP(Settings!$K$8+Settings!$K$9,G$2:H$251,2,FALSE)</f>
        <v>-0.67771599730822718</v>
      </c>
      <c r="J243" s="31" t="str">
        <f>VLOOKUP(A243,Rankings!B:D,3,FALSE)</f>
        <v>AL</v>
      </c>
    </row>
    <row r="244" spans="1:10" ht="20.100000000000001" customHeight="1">
      <c r="A244" s="26" t="s">
        <v>507</v>
      </c>
      <c r="B244" s="27" t="s">
        <v>73</v>
      </c>
      <c r="C244" s="42" t="s">
        <v>34</v>
      </c>
      <c r="D244" s="138">
        <f t="shared" ca="1" si="6"/>
        <v>239</v>
      </c>
      <c r="E244" s="31">
        <f ca="1">VLOOKUP(A244,Rankings!$B$1:$H$651,6,FALSE)+(RAND()*0.00001)</f>
        <v>130.97556290768887</v>
      </c>
      <c r="F244" s="31">
        <f ca="1">E244-VLOOKUP(Settings!$K$8+Settings!$K$9,D$2:E$251,2,FALSE)</f>
        <v>-129.14611131333305</v>
      </c>
      <c r="G244" s="138">
        <f t="shared" ca="1" si="7"/>
        <v>118</v>
      </c>
      <c r="H244" s="31">
        <f ca="1">VLOOKUP(A244,Rankings!$B$1:$H$651,7,FALSE)+(RAND()*0.00001)</f>
        <v>-0.58255626469433752</v>
      </c>
      <c r="I244" s="31">
        <f ca="1">H244-VLOOKUP(Settings!$K$8+Settings!$K$9,G$2:H$251,2,FALSE)</f>
        <v>0.28501945453326039</v>
      </c>
      <c r="J244" s="31" t="str">
        <f>VLOOKUP(A244,Rankings!B:D,3,FALSE)</f>
        <v>NL</v>
      </c>
    </row>
    <row r="245" spans="1:10" ht="20.100000000000001" customHeight="1">
      <c r="A245" s="26" t="s">
        <v>578</v>
      </c>
      <c r="B245" s="27" t="s">
        <v>156</v>
      </c>
      <c r="C245" s="42" t="s">
        <v>34</v>
      </c>
      <c r="D245" s="138">
        <f t="shared" ca="1" si="6"/>
        <v>245</v>
      </c>
      <c r="E245" s="31">
        <f ca="1">VLOOKUP(A245,Rankings!$B$1:$H$651,6,FALSE)+(RAND()*0.00001)</f>
        <v>123.49416731045527</v>
      </c>
      <c r="F245" s="31">
        <f ca="1">E245-VLOOKUP(Settings!$K$8+Settings!$K$9,D$2:E$251,2,FALSE)</f>
        <v>-136.62750691056664</v>
      </c>
      <c r="G245" s="138">
        <f t="shared" ca="1" si="7"/>
        <v>195</v>
      </c>
      <c r="H245" s="31">
        <f ca="1">VLOOKUP(A245,Rankings!$B$1:$H$651,7,FALSE)+(RAND()*0.00001)</f>
        <v>-2.2838335440963791</v>
      </c>
      <c r="I245" s="31">
        <f ca="1">H245-VLOOKUP(Settings!$K$8+Settings!$K$9,G$2:H$251,2,FALSE)</f>
        <v>-1.4162578248687812</v>
      </c>
      <c r="J245" s="31" t="str">
        <f>VLOOKUP(A245,Rankings!B:D,3,FALSE)</f>
        <v>AL</v>
      </c>
    </row>
    <row r="246" spans="1:10" ht="20.100000000000001" customHeight="1">
      <c r="A246" s="26" t="s">
        <v>628</v>
      </c>
      <c r="B246" s="27" t="s">
        <v>76</v>
      </c>
      <c r="C246" s="42" t="s">
        <v>34</v>
      </c>
      <c r="D246" s="138">
        <f t="shared" ca="1" si="6"/>
        <v>246</v>
      </c>
      <c r="E246" s="31">
        <f ca="1">VLOOKUP(A246,Rankings!$B$1:$H$651,6,FALSE)+(RAND()*0.00001)</f>
        <v>122.0708380147391</v>
      </c>
      <c r="F246" s="31">
        <f ca="1">E246-VLOOKUP(Settings!$K$8+Settings!$K$9,D$2:E$251,2,FALSE)</f>
        <v>-138.05083620628284</v>
      </c>
      <c r="G246" s="138">
        <f t="shared" ca="1" si="7"/>
        <v>216</v>
      </c>
      <c r="H246" s="31">
        <f ca="1">VLOOKUP(A246,Rankings!$B$1:$H$651,7,FALSE)+(RAND()*0.00001)</f>
        <v>-2.7215650529407509</v>
      </c>
      <c r="I246" s="31">
        <f ca="1">H246-VLOOKUP(Settings!$K$8+Settings!$K$9,G$2:H$251,2,FALSE)</f>
        <v>-1.853989333713153</v>
      </c>
      <c r="J246" s="31" t="str">
        <f>VLOOKUP(A246,Rankings!B:D,3,FALSE)</f>
        <v>AL</v>
      </c>
    </row>
    <row r="247" spans="1:10" ht="20.100000000000001" customHeight="1">
      <c r="A247" s="26" t="s">
        <v>515</v>
      </c>
      <c r="B247" s="27" t="s">
        <v>68</v>
      </c>
      <c r="C247" s="42" t="s">
        <v>34</v>
      </c>
      <c r="D247" s="138">
        <f t="shared" ca="1" si="6"/>
        <v>244</v>
      </c>
      <c r="E247" s="31">
        <f ca="1">VLOOKUP(A247,Rankings!$B$1:$H$651,6,FALSE)+(RAND()*0.00001)</f>
        <v>125.76889282642755</v>
      </c>
      <c r="F247" s="31">
        <f ca="1">E247-VLOOKUP(Settings!$K$8+Settings!$K$9,D$2:E$251,2,FALSE)</f>
        <v>-134.35278139459439</v>
      </c>
      <c r="G247" s="138">
        <f t="shared" ca="1" si="7"/>
        <v>185</v>
      </c>
      <c r="H247" s="31">
        <f ca="1">VLOOKUP(A247,Rankings!$B$1:$H$651,7,FALSE)+(RAND()*0.00001)</f>
        <v>-2.186003971750579</v>
      </c>
      <c r="I247" s="31">
        <f ca="1">H247-VLOOKUP(Settings!$K$8+Settings!$K$9,G$2:H$251,2,FALSE)</f>
        <v>-1.3184282525229811</v>
      </c>
      <c r="J247" s="31" t="str">
        <f>VLOOKUP(A247,Rankings!B:D,3,FALSE)</f>
        <v>AL</v>
      </c>
    </row>
    <row r="248" spans="1:10" ht="20.100000000000001" customHeight="1">
      <c r="A248" s="26" t="s">
        <v>583</v>
      </c>
      <c r="B248" s="27" t="s">
        <v>134</v>
      </c>
      <c r="C248" s="42" t="s">
        <v>34</v>
      </c>
      <c r="D248" s="138">
        <f t="shared" ca="1" si="6"/>
        <v>247</v>
      </c>
      <c r="E248" s="31">
        <f ca="1">VLOOKUP(A248,Rankings!$B$1:$H$651,6,FALSE)+(RAND()*0.00001)</f>
        <v>118.49722482897546</v>
      </c>
      <c r="F248" s="31">
        <f ca="1">E248-VLOOKUP(Settings!$K$8+Settings!$K$9,D$2:E$251,2,FALSE)</f>
        <v>-141.62444939204647</v>
      </c>
      <c r="G248" s="138">
        <f t="shared" ca="1" si="7"/>
        <v>214</v>
      </c>
      <c r="H248" s="31">
        <f ca="1">VLOOKUP(A248,Rankings!$B$1:$H$651,7,FALSE)+(RAND()*0.00001)</f>
        <v>-2.6915118600748547</v>
      </c>
      <c r="I248" s="31">
        <f ca="1">H248-VLOOKUP(Settings!$K$8+Settings!$K$9,G$2:H$251,2,FALSE)</f>
        <v>-1.8239361408472567</v>
      </c>
      <c r="J248" s="31" t="str">
        <f>VLOOKUP(A248,Rankings!B:D,3,FALSE)</f>
        <v>NL</v>
      </c>
    </row>
    <row r="249" spans="1:10" ht="20.100000000000001" customHeight="1">
      <c r="A249" s="26" t="s">
        <v>759</v>
      </c>
      <c r="B249" s="27" t="s">
        <v>73</v>
      </c>
      <c r="C249" s="36" t="s">
        <v>31</v>
      </c>
      <c r="D249" s="138">
        <f t="shared" ca="1" si="6"/>
        <v>95</v>
      </c>
      <c r="E249" s="31">
        <f ca="1">VLOOKUP(A249,Rankings!$B$1:$H$651,6,FALSE)+(RAND()*0.00001)</f>
        <v>315.10000831338209</v>
      </c>
      <c r="F249" s="31">
        <f ca="1">E249-VLOOKUP(Settings!$K$8+Settings!$K$9,D$2:E$251,2,FALSE)</f>
        <v>54.978334092360171</v>
      </c>
      <c r="G249" s="138">
        <f t="shared" ca="1" si="7"/>
        <v>73</v>
      </c>
      <c r="H249" s="31">
        <f ca="1">VLOOKUP(A249,Rankings!$B$1:$H$651,7,FALSE)+(RAND()*0.00001)</f>
        <v>1.5062196330395337</v>
      </c>
      <c r="I249" s="31">
        <f ca="1">H249-VLOOKUP(Settings!$K$8+Settings!$K$9,G$2:H$251,2,FALSE)</f>
        <v>2.3737953522671313</v>
      </c>
      <c r="J249" s="31" t="str">
        <f>VLOOKUP(A249,Rankings!B:D,3,FALSE)</f>
        <v>NL</v>
      </c>
    </row>
    <row r="250" spans="1:10" ht="20.100000000000001" customHeight="1">
      <c r="A250" s="26" t="s">
        <v>537</v>
      </c>
      <c r="B250" s="27" t="s">
        <v>86</v>
      </c>
      <c r="C250" s="36" t="s">
        <v>31</v>
      </c>
      <c r="D250" s="138">
        <f t="shared" ca="1" si="6"/>
        <v>249</v>
      </c>
      <c r="E250" s="31">
        <f ca="1">VLOOKUP(A250,Rankings!$B$1:$H$651,6,FALSE)+(RAND()*0.00001)</f>
        <v>77.732920258195463</v>
      </c>
      <c r="F250" s="31">
        <f ca="1">E250-VLOOKUP(Settings!$K$8+Settings!$K$9,D$2:E$251,2,FALSE)</f>
        <v>-182.38875396282646</v>
      </c>
      <c r="G250" s="138">
        <f t="shared" ca="1" si="7"/>
        <v>235</v>
      </c>
      <c r="H250" s="31">
        <f ca="1">VLOOKUP(A250,Rankings!$B$1:$H$651,7,FALSE)+(RAND()*0.00001)</f>
        <v>-3.4907869688234623</v>
      </c>
      <c r="I250" s="31">
        <f ca="1">H250-VLOOKUP(Settings!$K$8+Settings!$K$9,G$2:H$251,2,FALSE)</f>
        <v>-2.6232112495958644</v>
      </c>
      <c r="J250" s="31" t="str">
        <f>VLOOKUP(A250,Rankings!B:D,3,FALSE)</f>
        <v>AL</v>
      </c>
    </row>
    <row r="251" spans="1:10" ht="20.100000000000001" customHeight="1">
      <c r="A251" s="26" t="s">
        <v>479</v>
      </c>
      <c r="B251" s="27" t="s">
        <v>94</v>
      </c>
      <c r="C251" s="42" t="s">
        <v>34</v>
      </c>
      <c r="D251" s="138">
        <f t="shared" ca="1" si="6"/>
        <v>250</v>
      </c>
      <c r="E251" s="31">
        <f ca="1">VLOOKUP(A251,Rankings!$B$1:$H$651,6,FALSE)+(RAND()*0.00001)</f>
        <v>51.275834663052031</v>
      </c>
      <c r="F251" s="31">
        <f ca="1">E251-VLOOKUP(Settings!$K$8+Settings!$K$9,D$2:E$251,2,FALSE)</f>
        <v>-208.8458395579699</v>
      </c>
      <c r="G251" s="138">
        <f t="shared" ca="1" si="7"/>
        <v>148</v>
      </c>
      <c r="H251" s="31">
        <f ca="1">VLOOKUP(A251,Rankings!$B$1:$H$651,7,FALSE)+(RAND()*0.00001)</f>
        <v>-1.2723935122730106</v>
      </c>
      <c r="I251" s="31">
        <f ca="1">H251-VLOOKUP(Settings!$K$8+Settings!$K$9,G$2:H$251,2,FALSE)</f>
        <v>-0.40481779304541265</v>
      </c>
      <c r="J251" s="31" t="str">
        <f>VLOOKUP(A251,Rankings!B:D,3,FALSE)</f>
        <v>AL</v>
      </c>
    </row>
    <row r="252" spans="1:10" ht="20.100000000000001" customHeight="1">
      <c r="J252" s="31"/>
    </row>
    <row r="253" spans="1:10" ht="20.100000000000001" customHeight="1">
      <c r="J253" s="31"/>
    </row>
    <row r="254" spans="1:10" ht="20.100000000000001" customHeight="1">
      <c r="J254" s="31"/>
    </row>
    <row r="255" spans="1:10" ht="20.100000000000001" customHeight="1">
      <c r="J255" s="31"/>
    </row>
    <row r="256" spans="1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251" xr:uid="{00000000-0001-0000-1000-000000000000}">
    <sortState xmlns:xlrd2="http://schemas.microsoft.com/office/spreadsheetml/2017/richdata2" ref="A2:I251">
      <sortCondition ref="D1:D251"/>
    </sortState>
  </autoFilter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51"/>
  <sheetViews>
    <sheetView showGridLines="0" workbookViewId="0">
      <pane ySplit="1" topLeftCell="A2" activePane="bottomLeft" state="frozen"/>
      <selection pane="bottomLeft" activeCell="G8" sqref="G8"/>
    </sheetView>
  </sheetViews>
  <sheetFormatPr defaultColWidth="16.28515625" defaultRowHeight="20.100000000000001" customHeight="1"/>
  <cols>
    <col min="1" max="1" width="7.140625" style="1" customWidth="1"/>
    <col min="2" max="2" width="23.7109375" style="1" customWidth="1"/>
    <col min="3" max="3" width="7.140625" style="1" customWidth="1"/>
    <col min="4" max="4" width="10.28515625" style="1" customWidth="1"/>
    <col min="5" max="6" width="6" style="1" customWidth="1"/>
    <col min="7" max="9" width="9.42578125" style="1" customWidth="1"/>
    <col min="10" max="11" width="7.140625" style="1" customWidth="1"/>
    <col min="12" max="12" width="2.28515625" style="1" customWidth="1"/>
    <col min="13" max="27" width="7.140625" style="1" customWidth="1"/>
    <col min="28" max="28" width="2.28515625" style="1" customWidth="1"/>
    <col min="29" max="44" width="7.140625" style="1" customWidth="1"/>
    <col min="45" max="45" width="16.28515625" style="1" customWidth="1"/>
    <col min="46" max="16384" width="16.28515625" style="1"/>
  </cols>
  <sheetData>
    <row r="1" spans="1:44" s="146" customFormat="1" ht="36" customHeight="1" thickBot="1">
      <c r="A1" s="141" t="s">
        <v>57</v>
      </c>
      <c r="B1" s="142" t="s">
        <v>58</v>
      </c>
      <c r="C1" s="141" t="s">
        <v>59</v>
      </c>
      <c r="D1" s="143" t="s">
        <v>60</v>
      </c>
      <c r="E1" s="173" t="s">
        <v>61</v>
      </c>
      <c r="F1" s="174"/>
      <c r="G1" s="144" t="s">
        <v>62</v>
      </c>
      <c r="H1" s="141" t="s">
        <v>63</v>
      </c>
      <c r="I1" s="141" t="s">
        <v>64</v>
      </c>
      <c r="J1" s="141" t="s">
        <v>65</v>
      </c>
      <c r="K1" s="141" t="s">
        <v>66</v>
      </c>
      <c r="L1" s="145"/>
      <c r="M1" s="141" t="s">
        <v>5</v>
      </c>
      <c r="N1" s="141" t="s">
        <v>9</v>
      </c>
      <c r="O1" s="141" t="s">
        <v>13</v>
      </c>
      <c r="P1" s="141" t="s">
        <v>17</v>
      </c>
      <c r="Q1" s="141" t="s">
        <v>21</v>
      </c>
      <c r="R1" s="141" t="s">
        <v>25</v>
      </c>
      <c r="S1" s="141" t="s">
        <v>29</v>
      </c>
      <c r="T1" s="141" t="s">
        <v>33</v>
      </c>
      <c r="U1" s="141" t="s">
        <v>11</v>
      </c>
      <c r="V1" s="141" t="s">
        <v>15</v>
      </c>
      <c r="W1" s="141" t="s">
        <v>36</v>
      </c>
      <c r="X1" s="141" t="s">
        <v>40</v>
      </c>
      <c r="Y1" s="141" t="s">
        <v>45</v>
      </c>
      <c r="Z1" s="141" t="s">
        <v>47</v>
      </c>
      <c r="AA1" s="141" t="s">
        <v>51</v>
      </c>
      <c r="AB1" s="145"/>
      <c r="AC1" s="141" t="s">
        <v>6</v>
      </c>
      <c r="AD1" s="141" t="s">
        <v>10</v>
      </c>
      <c r="AE1" s="141" t="s">
        <v>14</v>
      </c>
      <c r="AF1" s="141" t="s">
        <v>18</v>
      </c>
      <c r="AG1" s="141" t="s">
        <v>22</v>
      </c>
      <c r="AH1" s="141" t="s">
        <v>26</v>
      </c>
      <c r="AI1" s="141" t="s">
        <v>30</v>
      </c>
      <c r="AJ1" s="141" t="s">
        <v>33</v>
      </c>
      <c r="AK1" s="141" t="s">
        <v>36</v>
      </c>
      <c r="AL1" s="141" t="s">
        <v>13</v>
      </c>
      <c r="AM1" s="141" t="s">
        <v>39</v>
      </c>
      <c r="AN1" s="141" t="s">
        <v>41</v>
      </c>
      <c r="AO1" s="141" t="s">
        <v>46</v>
      </c>
      <c r="AP1" s="141" t="s">
        <v>48</v>
      </c>
      <c r="AQ1" s="141" t="s">
        <v>52</v>
      </c>
      <c r="AR1" s="141" t="s">
        <v>55</v>
      </c>
    </row>
    <row r="2" spans="1:44" ht="18.600000000000001" customHeight="1">
      <c r="A2" s="17">
        <f ca="1">RANK(I2,I$2:I$651)</f>
        <v>1</v>
      </c>
      <c r="B2" s="18" t="s">
        <v>67</v>
      </c>
      <c r="C2" s="19" t="s">
        <v>68</v>
      </c>
      <c r="D2" s="19" t="s">
        <v>69</v>
      </c>
      <c r="E2" s="20" t="s">
        <v>23</v>
      </c>
      <c r="F2" s="21">
        <f ca="1">VLOOKUP(B2,OF!A1:I139,IF(Settings!$J$13="points",4,7),FALSE)</f>
        <v>1</v>
      </c>
      <c r="G2" s="30">
        <f>(M2*Settings!$B$2)+(N2*Settings!$B$3)+(O2*Settings!$B$4)+(P2*Settings!$B$5)+(Q2*Settings!$B$6)+((T2-U2-V2-O2)*Settings!$B$9)+(U2*Settings!$B$10)+(V2*Settings!$B$11)+(W2*Settings!$B$12)+(X2*Settings!$B$13)+(AA2*Settings!$B$16)</f>
        <v>557.19111111111113</v>
      </c>
      <c r="H2" s="22">
        <f>VLOOKUP(B2,'Standard Deviations'!$A1:$D651,4,FALSE)</f>
        <v>11.325934979490265</v>
      </c>
      <c r="I2" s="23">
        <f ca="1">VLOOKUP(B2,OF!A1:I139,IF(Settings!$J$13="points",6,9),FALSE)</f>
        <v>11.482863131454742</v>
      </c>
      <c r="J2" s="22"/>
      <c r="K2" s="22">
        <f ca="1">J2-A2</f>
        <v>-1</v>
      </c>
      <c r="L2" s="22"/>
      <c r="M2" s="22">
        <f>VLOOKUP($B2,Hitters!$A1:$R401,4,FALSE)</f>
        <v>549.73333333333346</v>
      </c>
      <c r="N2" s="22">
        <f>VLOOKUP($B2,Hitters!$A1:$R401,5,FALSE)</f>
        <v>107.43666666666667</v>
      </c>
      <c r="O2" s="22">
        <f>VLOOKUP($B2,Hitters!$A1:$R401,6,FALSE)</f>
        <v>43.626666666666665</v>
      </c>
      <c r="P2" s="22">
        <f>VLOOKUP($B2,Hitters!$A1:$R401,7,FALSE)</f>
        <v>107.72666666666667</v>
      </c>
      <c r="Q2" s="22">
        <f>VLOOKUP($B2,Hitters!$A1:$R401,8,FALSE)</f>
        <v>10.794444444444444</v>
      </c>
      <c r="R2" s="151">
        <f>VLOOKUP($B2,Hitters!$A$1:$R$401,14,FALSE)</f>
        <v>0.28249858517260884</v>
      </c>
      <c r="S2" s="151">
        <f>VLOOKUP($B2,Hitters!$A$1:$R$401,15,FALSE)</f>
        <v>0.39050294512297873</v>
      </c>
      <c r="T2" s="153">
        <f>VLOOKUP($B2,Hitters!$A$1:$R$401,9,FALSE)</f>
        <v>155.29888888888888</v>
      </c>
      <c r="U2" s="153">
        <f>VLOOKUP($B2,Hitters!$A$1:$R$401,10,FALSE)</f>
        <v>25.19</v>
      </c>
      <c r="V2" s="153">
        <f>VLOOKUP($B2,Hitters!$A$1:$R$401,11,FALSE)</f>
        <v>0.98444444444444434</v>
      </c>
      <c r="W2" s="153">
        <f>VLOOKUP($B2,Hitters!$A$1:$R$401,12,FALSE)</f>
        <v>90.714999999999989</v>
      </c>
      <c r="X2" s="153">
        <f>VLOOKUP($B2,Hitters!$A$1:$R$401,13,FALSE)</f>
        <v>167.22777777777779</v>
      </c>
      <c r="Y2" s="151">
        <f>VLOOKUP($B2,Hitters!$A$1:$R$401,16,FALSE)</f>
        <v>0.56998140512571738</v>
      </c>
      <c r="Z2" s="151">
        <f>VLOOKUP($B2,Hitters!$A$1:$R$401,17,FALSE)</f>
        <v>0.96048435024869616</v>
      </c>
      <c r="AA2" s="22">
        <f>VLOOKUP($B2,Hitters!$A1:$R401,18,FALSE)</f>
        <v>0</v>
      </c>
      <c r="AB2" s="22"/>
      <c r="AC2" s="22"/>
      <c r="AD2" s="24"/>
      <c r="AE2" s="24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8.600000000000001" customHeight="1">
      <c r="A3" s="25">
        <f ca="1">RANK(I3,I$2:I$651)</f>
        <v>2</v>
      </c>
      <c r="B3" s="26" t="s">
        <v>72</v>
      </c>
      <c r="C3" s="27" t="s">
        <v>73</v>
      </c>
      <c r="D3" s="27" t="s">
        <v>74</v>
      </c>
      <c r="E3" s="28" t="s">
        <v>23</v>
      </c>
      <c r="F3" s="29">
        <f ca="1">VLOOKUP(B3,OF!A1:I139,IF(Settings!$J$13="points",4,7),FALSE)</f>
        <v>2</v>
      </c>
      <c r="G3" s="30">
        <f>(M3*Settings!$B$2)+(N3*Settings!$B$3)+(O3*Settings!$B$4)+(P3*Settings!$B$5)+(Q3*Settings!$B$6)+((T3-U3-V3-O3)*Settings!$B$9)+(U3*Settings!$B$10)+(V3*Settings!$B$11)+(W3*Settings!$B$12)+(X3*Settings!$B$13)+(AA3*Settings!$B$16)</f>
        <v>520.00611111111107</v>
      </c>
      <c r="H3" s="31">
        <f>VLOOKUP(B3,'Standard Deviations'!$A1:$D651,4,FALSE)</f>
        <v>11.038812300852172</v>
      </c>
      <c r="I3" s="32">
        <f ca="1">VLOOKUP(B3,OF!A1:I139,IF(Settings!$J$13="points",6,9),FALSE)</f>
        <v>11.19574022201666</v>
      </c>
      <c r="J3" s="31"/>
      <c r="K3" s="31">
        <f ca="1">J3-A3</f>
        <v>-2</v>
      </c>
      <c r="L3" s="31"/>
      <c r="M3" s="31">
        <f>VLOOKUP($B3,Hitters!$A1:$R401,4,FALSE)</f>
        <v>545.31111111111113</v>
      </c>
      <c r="N3" s="31">
        <f>VLOOKUP($B3,Hitters!$A1:$R401,5,FALSE)</f>
        <v>104.0188888888889</v>
      </c>
      <c r="O3" s="31">
        <f>VLOOKUP($B3,Hitters!$A1:$R401,6,FALSE)</f>
        <v>28.273333333333337</v>
      </c>
      <c r="P3" s="31">
        <f>VLOOKUP($B3,Hitters!$A1:$R401,7,FALSE)</f>
        <v>77.697777777777773</v>
      </c>
      <c r="Q3" s="31">
        <f>VLOOKUP($B3,Hitters!$A1:$R401,8,FALSE)</f>
        <v>37.214444444444446</v>
      </c>
      <c r="R3" s="152">
        <f>VLOOKUP($B3,Hitters!$A$1:$R$401,14,FALSE)</f>
        <v>0.27107054077183257</v>
      </c>
      <c r="S3" s="152">
        <f>VLOOKUP($B3,Hitters!$A$1:$R$401,15,FALSE)</f>
        <v>0.36558317789045652</v>
      </c>
      <c r="T3" s="154">
        <f>VLOOKUP($B3,Hitters!$A$1:$R$401,9,FALSE)</f>
        <v>147.81777777777776</v>
      </c>
      <c r="U3" s="154">
        <f>VLOOKUP($B3,Hitters!$A$1:$R$401,10,FALSE)</f>
        <v>29.803333333333331</v>
      </c>
      <c r="V3" s="154">
        <f>VLOOKUP($B3,Hitters!$A$1:$R$401,11,FALSE)</f>
        <v>0.98777777777777775</v>
      </c>
      <c r="W3" s="154">
        <f>VLOOKUP($B3,Hitters!$A$1:$R$401,12,FALSE)</f>
        <v>73.89</v>
      </c>
      <c r="X3" s="154">
        <f>VLOOKUP($B3,Hitters!$A$1:$R$401,13,FALSE)</f>
        <v>148.89222222222222</v>
      </c>
      <c r="Y3" s="152">
        <f>VLOOKUP($B3,Hitters!$A$1:$R$401,16,FALSE)</f>
        <v>0.4848913973674559</v>
      </c>
      <c r="Z3" s="152">
        <f>VLOOKUP($B3,Hitters!$A$1:$R$401,17,FALSE)</f>
        <v>0.85047457525791237</v>
      </c>
      <c r="AA3" s="31">
        <f>VLOOKUP($B3,Hitters!$A1:$R401,18,FALSE)</f>
        <v>0</v>
      </c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18.600000000000001" customHeight="1">
      <c r="A4" s="25">
        <f ca="1">RANK(I4,I$2:I$651)</f>
        <v>3</v>
      </c>
      <c r="B4" s="26" t="s">
        <v>90</v>
      </c>
      <c r="C4" s="27" t="s">
        <v>91</v>
      </c>
      <c r="D4" s="27" t="s">
        <v>74</v>
      </c>
      <c r="E4" s="38" t="s">
        <v>27</v>
      </c>
      <c r="F4" s="39">
        <f ca="1">VLOOKUP(B4,SS!A1:I45,IF(Settings!$J$13="points",4,7),FALSE)</f>
        <v>1</v>
      </c>
      <c r="G4" s="30">
        <f>(M4*Settings!$B$2)+(N4*Settings!$B$3)+(O4*Settings!$B$4)+(P4*Settings!$B$5)+(Q4*Settings!$B$6)+((T4-U4-V4-O4)*Settings!$B$9)+(U4*Settings!$B$10)+(V4*Settings!$B$11)+(W4*Settings!$B$12)+(X4*Settings!$B$13)+(AA4*Settings!$B$16)</f>
        <v>510.88944444444434</v>
      </c>
      <c r="H4" s="31">
        <f>VLOOKUP(B4,'Standard Deviations'!$A1:$D651,4,FALSE)</f>
        <v>10.195884408184432</v>
      </c>
      <c r="I4" s="32">
        <f ca="1">IF(Settings!$J$16="no",VLOOKUP(B4,SS!A1:I45,IF(Settings!$J$13="points",6,9),FALSE),VLOOKUP(B4,'2B+SS'!$A1:$I94,IF(Settings!$J$13="points",6,9),FALSE))</f>
        <v>10.189839923599177</v>
      </c>
      <c r="J4" s="31"/>
      <c r="K4" s="31">
        <f ca="1">J4-A4</f>
        <v>-3</v>
      </c>
      <c r="L4" s="31"/>
      <c r="M4" s="31">
        <f>VLOOKUP($B4,Hitters!$A1:$R401,4,FALSE)</f>
        <v>610.4</v>
      </c>
      <c r="N4" s="31">
        <f>VLOOKUP($B4,Hitters!$A1:$R401,5,FALSE)</f>
        <v>98.84333333333332</v>
      </c>
      <c r="O4" s="31">
        <f>VLOOKUP($B4,Hitters!$A1:$R401,6,FALSE)</f>
        <v>21.461111111111109</v>
      </c>
      <c r="P4" s="31">
        <f>VLOOKUP($B4,Hitters!$A1:$R401,7,FALSE)</f>
        <v>79.13666666666667</v>
      </c>
      <c r="Q4" s="31">
        <f>VLOOKUP($B4,Hitters!$A1:$R401,8,FALSE)</f>
        <v>31.122222222222224</v>
      </c>
      <c r="R4" s="152">
        <f>VLOOKUP($B4,Hitters!$A$1:$R$401,14,FALSE)</f>
        <v>0.29118610747051116</v>
      </c>
      <c r="S4" s="152">
        <f>VLOOKUP($B4,Hitters!$A$1:$R$401,15,FALSE)</f>
        <v>0.34903208687610482</v>
      </c>
      <c r="T4" s="154">
        <f>VLOOKUP($B4,Hitters!$A$1:$R$401,9,FALSE)</f>
        <v>177.74</v>
      </c>
      <c r="U4" s="154">
        <f>VLOOKUP($B4,Hitters!$A$1:$R$401,10,FALSE)</f>
        <v>34.085000000000001</v>
      </c>
      <c r="V4" s="154">
        <f>VLOOKUP($B4,Hitters!$A$1:$R$401,11,FALSE)</f>
        <v>4.0049999999999999</v>
      </c>
      <c r="W4" s="154">
        <f>VLOOKUP($B4,Hitters!$A$1:$R$401,12,FALSE)</f>
        <v>45.526666666666664</v>
      </c>
      <c r="X4" s="154">
        <f>VLOOKUP($B4,Hitters!$A$1:$R$401,13,FALSE)</f>
        <v>118.16000000000001</v>
      </c>
      <c r="Y4" s="152">
        <f>VLOOKUP($B4,Hitters!$A$1:$R$401,16,FALSE)</f>
        <v>0.46562636522498907</v>
      </c>
      <c r="Z4" s="152">
        <f>VLOOKUP($B4,Hitters!$A$1:$R$401,17,FALSE)</f>
        <v>0.81465845210109389</v>
      </c>
      <c r="AA4" s="31">
        <f>VLOOKUP($B4,Hitters!$A2:$R402,18,FALSE)</f>
        <v>0</v>
      </c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ht="18.600000000000001" customHeight="1">
      <c r="A5" s="25">
        <f ca="1">RANK(I5,I$2:I$651)</f>
        <v>4</v>
      </c>
      <c r="B5" s="26" t="s">
        <v>77</v>
      </c>
      <c r="C5" s="27" t="s">
        <v>78</v>
      </c>
      <c r="D5" s="27" t="s">
        <v>69</v>
      </c>
      <c r="E5" s="28" t="s">
        <v>23</v>
      </c>
      <c r="F5" s="29">
        <f ca="1">VLOOKUP(B5,OF!A1:I139,IF(Settings!$J$13="points",4,7),FALSE)</f>
        <v>3</v>
      </c>
      <c r="G5" s="30">
        <f>(M5*Settings!$B$2)+(N5*Settings!$B$3)+(O5*Settings!$B$4)+(P5*Settings!$B$5)+(Q5*Settings!$B$6)+((T5-U5-V5-O5)*Settings!$B$9)+(U5*Settings!$B$10)+(V5*Settings!$B$11)+(W5*Settings!$B$12)+(X5*Settings!$B$13)+(AA5*Settings!$B$16)</f>
        <v>527.29333333333329</v>
      </c>
      <c r="H5" s="31">
        <f>VLOOKUP(B5,'Standard Deviations'!$A1:$D651,4,FALSE)</f>
        <v>9.8900508325221015</v>
      </c>
      <c r="I5" s="32">
        <f ca="1">VLOOKUP(B5,OF!A1:I139,IF(Settings!$J$13="points",6,9),FALSE)</f>
        <v>10.046979763823277</v>
      </c>
      <c r="J5" s="31"/>
      <c r="K5" s="31">
        <f ca="1">J5-A5</f>
        <v>-4</v>
      </c>
      <c r="L5" s="31"/>
      <c r="M5" s="31">
        <f>VLOOKUP($B5,Hitters!$A1:$R401,4,FALSE)</f>
        <v>564.9666666666667</v>
      </c>
      <c r="N5" s="31">
        <f>VLOOKUP($B5,Hitters!$A1:$R401,5,FALSE)</f>
        <v>90.084444444444443</v>
      </c>
      <c r="O5" s="31">
        <f>VLOOKUP($B5,Hitters!$A1:$R401,6,FALSE)</f>
        <v>31.054999999999996</v>
      </c>
      <c r="P5" s="31">
        <f>VLOOKUP($B5,Hitters!$A1:$R401,7,FALSE)</f>
        <v>97.835555555555558</v>
      </c>
      <c r="Q5" s="31">
        <f>VLOOKUP($B5,Hitters!$A1:$R401,8,FALSE)</f>
        <v>23.124444444444446</v>
      </c>
      <c r="R5" s="152">
        <f>VLOOKUP($B5,Hitters!$A$1:$R$401,14,FALSE)</f>
        <v>0.27536924498987159</v>
      </c>
      <c r="S5" s="152">
        <f>VLOOKUP($B5,Hitters!$A$1:$R$401,15,FALSE)</f>
        <v>0.35131202915188209</v>
      </c>
      <c r="T5" s="154">
        <f>VLOOKUP($B5,Hitters!$A$1:$R$401,9,FALSE)</f>
        <v>155.57444444444445</v>
      </c>
      <c r="U5" s="154">
        <f>VLOOKUP($B5,Hitters!$A$1:$R$401,10,FALSE)</f>
        <v>32.298888888888889</v>
      </c>
      <c r="V5" s="154">
        <f>VLOOKUP($B5,Hitters!$A$1:$R$401,11,FALSE)</f>
        <v>3.0083333333333333</v>
      </c>
      <c r="W5" s="154">
        <f>VLOOKUP($B5,Hitters!$A$1:$R$401,12,FALSE)</f>
        <v>58.136666666666663</v>
      </c>
      <c r="X5" s="154">
        <f>VLOOKUP($B5,Hitters!$A$1:$R$401,13,FALSE)</f>
        <v>104.13444444444444</v>
      </c>
      <c r="Y5" s="152">
        <f>VLOOKUP($B5,Hitters!$A$1:$R$401,16,FALSE)</f>
        <v>0.50809192282730542</v>
      </c>
      <c r="Z5" s="152">
        <f>VLOOKUP($B5,Hitters!$A$1:$R$401,17,FALSE)</f>
        <v>0.85940395197918751</v>
      </c>
      <c r="AA5" s="31">
        <f>VLOOKUP($B5,Hitters!$A1:$R401,18,FALSE)</f>
        <v>0</v>
      </c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pans="1:44" ht="18.600000000000001" customHeight="1">
      <c r="A6" s="25">
        <f ca="1">RANK(I6,I$2:I$651)</f>
        <v>5</v>
      </c>
      <c r="B6" s="26" t="s">
        <v>70</v>
      </c>
      <c r="C6" s="27" t="s">
        <v>71</v>
      </c>
      <c r="D6" s="27" t="s">
        <v>69</v>
      </c>
      <c r="E6" s="28" t="s">
        <v>23</v>
      </c>
      <c r="F6" s="29">
        <f ca="1">VLOOKUP(B6,OF!A1:I139,IF(Settings!$J$13="points",4,7),FALSE)</f>
        <v>4</v>
      </c>
      <c r="G6" s="30">
        <f>(M6*Settings!$B$2)+(N6*Settings!$B$3)+(O6*Settings!$B$4)+(P6*Settings!$B$5)+(Q6*Settings!$B$6)+((T6-U6-V6-O6)*Settings!$B$9)+(U6*Settings!$B$10)+(V6*Settings!$B$11)+(W6*Settings!$B$12)+(X6*Settings!$B$13)+(AA6*Settings!$B$16)</f>
        <v>486.95388888888886</v>
      </c>
      <c r="H6" s="31">
        <f>VLOOKUP(B6,'Standard Deviations'!$A1:$D651,4,FALSE)</f>
        <v>9.6965548024941182</v>
      </c>
      <c r="I6" s="32">
        <f ca="1">VLOOKUP(B6,OF!A1:I139,IF(Settings!$J$13="points",6,9),FALSE)</f>
        <v>9.8534822567836926</v>
      </c>
      <c r="J6" s="31"/>
      <c r="K6" s="31">
        <f ca="1">J6-A6</f>
        <v>-5</v>
      </c>
      <c r="L6" s="31"/>
      <c r="M6" s="31">
        <f>VLOOKUP($B6,Hitters!$A1:$R401,4,FALSE)</f>
        <v>574.6</v>
      </c>
      <c r="N6" s="31">
        <f>VLOOKUP($B6,Hitters!$A1:$R401,5,FALSE)</f>
        <v>93.986666666666679</v>
      </c>
      <c r="O6" s="31">
        <f>VLOOKUP($B6,Hitters!$A1:$R401,6,FALSE)</f>
        <v>28.706666666666667</v>
      </c>
      <c r="P6" s="31">
        <f>VLOOKUP($B6,Hitters!$A1:$R401,7,FALSE)</f>
        <v>83.983333333333334</v>
      </c>
      <c r="Q6" s="31">
        <f>VLOOKUP($B6,Hitters!$A1:$R401,8,FALSE)</f>
        <v>26.801111111111112</v>
      </c>
      <c r="R6" s="152">
        <f>VLOOKUP($B6,Hitters!$A$1:$R$401,14,FALSE)</f>
        <v>0.27600843098580657</v>
      </c>
      <c r="S6" s="152">
        <f>VLOOKUP($B6,Hitters!$A$1:$R$401,15,FALSE)</f>
        <v>0.34418506581112801</v>
      </c>
      <c r="T6" s="154">
        <f>VLOOKUP($B6,Hitters!$A$1:$R$401,9,FALSE)</f>
        <v>158.59444444444446</v>
      </c>
      <c r="U6" s="154">
        <f>VLOOKUP($B6,Hitters!$A$1:$R$401,10,FALSE)</f>
        <v>30.045000000000002</v>
      </c>
      <c r="V6" s="154">
        <f>VLOOKUP($B6,Hitters!$A$1:$R$401,11,FALSE)</f>
        <v>3.0150000000000001</v>
      </c>
      <c r="W6" s="154">
        <f>VLOOKUP($B6,Hitters!$A$1:$R$401,12,FALSE)</f>
        <v>51.4</v>
      </c>
      <c r="X6" s="154">
        <f>VLOOKUP($B6,Hitters!$A$1:$R$401,13,FALSE)</f>
        <v>153.61555555555557</v>
      </c>
      <c r="Y6" s="152">
        <f>VLOOKUP($B6,Hitters!$A$1:$R$401,16,FALSE)</f>
        <v>0.48866941253819085</v>
      </c>
      <c r="Z6" s="152">
        <f>VLOOKUP($B6,Hitters!$A$1:$R$401,17,FALSE)</f>
        <v>0.83285447834931881</v>
      </c>
      <c r="AA6" s="31">
        <f>VLOOKUP($B6,Hitters!$A1:$R401,18,FALSE)</f>
        <v>0</v>
      </c>
      <c r="AB6" s="31"/>
      <c r="AC6" s="31"/>
      <c r="AD6" s="33"/>
      <c r="AE6" s="33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44" ht="18.600000000000001" customHeight="1">
      <c r="A7" s="25">
        <f ca="1">RANK(I7,I$2:I$651)</f>
        <v>6</v>
      </c>
      <c r="B7" s="26" t="s">
        <v>75</v>
      </c>
      <c r="C7" s="27" t="s">
        <v>76</v>
      </c>
      <c r="D7" s="27" t="s">
        <v>69</v>
      </c>
      <c r="E7" s="34" t="s">
        <v>15</v>
      </c>
      <c r="F7" s="35">
        <f ca="1">VLOOKUP(B7,'3B'!A1:I55,IF(Settings!$J$13="points",4,7),FALSE)</f>
        <v>1</v>
      </c>
      <c r="G7" s="30">
        <f>(M7*Settings!$B$2)+(N7*Settings!$B$3)+(O7*Settings!$B$4)+(P7*Settings!$B$5)+(Q7*Settings!$B$6)+((T7-U7-V7-O7)*Settings!$B$9)+(U7*Settings!$B$10)+(V7*Settings!$B$11)+(W7*Settings!$B$12)+(X7*Settings!$B$13)+(AA7*Settings!$B$16)</f>
        <v>555.1538888888889</v>
      </c>
      <c r="H7" s="31">
        <f>VLOOKUP(B7,'Standard Deviations'!$A1:$D651,4,FALSE)</f>
        <v>9.8765616764352018</v>
      </c>
      <c r="I7" s="32">
        <f ca="1">IF(Settings!$J$15="no",VLOOKUP(B7,'3B'!A1:I55,IF(Settings!$J$13="points",6,9),FALSE),VLOOKUP(B7,'1B+3B'!$A1:$I104,IF(Settings!$J$13="points",6,9),FALSE))</f>
        <v>9.6510802023197897</v>
      </c>
      <c r="J7" s="31"/>
      <c r="K7" s="31">
        <f ca="1">J7-A7</f>
        <v>-6</v>
      </c>
      <c r="L7" s="31"/>
      <c r="M7" s="31">
        <f>VLOOKUP($B7,Hitters!$A1:$R401,4,FALSE)</f>
        <v>568.82222222222219</v>
      </c>
      <c r="N7" s="31">
        <f>VLOOKUP($B7,Hitters!$A1:$R401,5,FALSE)</f>
        <v>93.6388888888889</v>
      </c>
      <c r="O7" s="31">
        <f>VLOOKUP($B7,Hitters!$A1:$R401,6,FALSE)</f>
        <v>29.492222222222221</v>
      </c>
      <c r="P7" s="31">
        <f>VLOOKUP($B7,Hitters!$A1:$R401,7,FALSE)</f>
        <v>100.3288888888889</v>
      </c>
      <c r="Q7" s="31">
        <f>VLOOKUP($B7,Hitters!$A1:$R401,8,FALSE)</f>
        <v>24.197777777777777</v>
      </c>
      <c r="R7" s="152">
        <f>VLOOKUP($B7,Hitters!$A$1:$R$401,14,FALSE)</f>
        <v>0.27063718404500531</v>
      </c>
      <c r="S7" s="152">
        <f>VLOOKUP($B7,Hitters!$A$1:$R$401,15,FALSE)</f>
        <v>0.35704307605311075</v>
      </c>
      <c r="T7" s="154">
        <f>VLOOKUP($B7,Hitters!$A$1:$R$401,9,FALSE)</f>
        <v>153.94444444444446</v>
      </c>
      <c r="U7" s="154">
        <f>VLOOKUP($B7,Hitters!$A$1:$R$401,10,FALSE)</f>
        <v>36.56444444444444</v>
      </c>
      <c r="V7" s="154">
        <f>VLOOKUP($B7,Hitters!$A$1:$R$401,11,FALSE)</f>
        <v>4.0049999999999999</v>
      </c>
      <c r="W7" s="154">
        <f>VLOOKUP($B7,Hitters!$A$1:$R$401,12,FALSE)</f>
        <v>68.539999999999992</v>
      </c>
      <c r="X7" s="154">
        <f>VLOOKUP($B7,Hitters!$A$1:$R$401,13,FALSE)</f>
        <v>85.490000000000009</v>
      </c>
      <c r="Y7" s="152">
        <f>VLOOKUP($B7,Hitters!$A$1:$R$401,16,FALSE)</f>
        <v>0.50454350119154601</v>
      </c>
      <c r="Z7" s="152">
        <f>VLOOKUP($B7,Hitters!$A$1:$R$401,17,FALSE)</f>
        <v>0.8615865772446567</v>
      </c>
      <c r="AA7" s="31">
        <f>VLOOKUP($B7,Hitters!$A1:$R401,18,FALSE)</f>
        <v>0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spans="1:44" ht="18.600000000000001" customHeight="1">
      <c r="A8" s="25">
        <f ca="1">RANK(I8,I$2:I$651)</f>
        <v>7</v>
      </c>
      <c r="B8" s="26" t="s">
        <v>85</v>
      </c>
      <c r="C8" s="27" t="s">
        <v>86</v>
      </c>
      <c r="D8" s="27" t="s">
        <v>69</v>
      </c>
      <c r="E8" s="36" t="s">
        <v>31</v>
      </c>
      <c r="F8" s="37">
        <f ca="1">VLOOKUP(B8,SP!A1:I161,IF(Settings!$J$13="points",4,7),FALSE)</f>
        <v>1</v>
      </c>
      <c r="G8" s="30">
        <f>(AC8*Settings!$F$2)+(AF8*Settings!$F$5)+(AG8*Settings!$F$6)+(AH8*Settings!$F$7)+(AI8*Settings!$F$8)+(AJ8*Settings!$F$9)+(AK8*Settings!$F$10)+(AL8*Settings!$F$11)+(AM8*Settings!$F$12)+(AN8*Settings!$F$13)+(AO8*Settings!$F$14)+(AP8*Settings!$F$15)+(AQ8*Settings!$F$16)+(AR8*Settings!$F$17)</f>
        <v>464.11361111111103</v>
      </c>
      <c r="H8" s="31">
        <f>VLOOKUP(B8,'Standard Deviations'!$A1:$D651,4,FALSE)</f>
        <v>8.5895507531178339</v>
      </c>
      <c r="I8" s="32">
        <f ca="1">IF(Settings!$J$16="no",VLOOKUP(B8,SP!A1:I161,IF(Settings!$J$13="points",6,9),FALSE),VLOOKUP(B8,'SP+RP'!$A1:$I251,IF(Settings!$J$13="points",6,9),FALSE))</f>
        <v>9.457135798386556</v>
      </c>
      <c r="J8" s="31"/>
      <c r="K8" s="31">
        <f ca="1">J8-A8</f>
        <v>-7</v>
      </c>
      <c r="L8" s="31"/>
      <c r="M8" s="31"/>
      <c r="N8" s="31"/>
      <c r="O8" s="31"/>
      <c r="P8" s="31"/>
      <c r="Q8" s="31"/>
      <c r="R8" s="152"/>
      <c r="S8" s="152"/>
      <c r="T8" s="154"/>
      <c r="U8" s="154"/>
      <c r="V8" s="154"/>
      <c r="W8" s="154"/>
      <c r="X8" s="154"/>
      <c r="Y8" s="152"/>
      <c r="Z8" s="152"/>
      <c r="AA8" s="31"/>
      <c r="AB8" s="31"/>
      <c r="AC8" s="31">
        <f>VLOOKUP($B8,Pitchers!$A1:$S251,4,FALSE)</f>
        <v>146.33666666666667</v>
      </c>
      <c r="AD8" s="33">
        <f>VLOOKUP($B8,Pitchers!$A1:$S251,5,FALSE)</f>
        <v>2.5113323158925764</v>
      </c>
      <c r="AE8" s="33">
        <f>VLOOKUP($B8,Pitchers!$A1:$S251,6,FALSE)</f>
        <v>0.92246190291792896</v>
      </c>
      <c r="AF8" s="31">
        <f>VLOOKUP($B8,Pitchers!$A1:$S251,7,FALSE)</f>
        <v>199.00166666666667</v>
      </c>
      <c r="AG8" s="31">
        <f>VLOOKUP($B8,Pitchers!$A1:$S251,8,FALSE)</f>
        <v>10.614444444444445</v>
      </c>
      <c r="AH8" s="31">
        <f>VLOOKUP($B8,Pitchers!$A1:$S251,9,FALSE)</f>
        <v>0</v>
      </c>
      <c r="AI8" s="31">
        <f>VLOOKUP($B8,Pitchers!$A1:$S251,10,FALSE)</f>
        <v>40.833333333333336</v>
      </c>
      <c r="AJ8" s="31">
        <f>VLOOKUP($B8,Pitchers!$A1:$S251,11,FALSE)</f>
        <v>104.34666666666668</v>
      </c>
      <c r="AK8" s="31">
        <f>VLOOKUP($B8,Pitchers!$A1:$S251,12,FALSE)</f>
        <v>30.643333333333334</v>
      </c>
      <c r="AL8" s="31">
        <f>VLOOKUP($B8,Pitchers!$A1:$S251,13,FALSE)</f>
        <v>15.4</v>
      </c>
      <c r="AM8" s="31">
        <f>VLOOKUP($B8,Pitchers!$A1:$S251,14,FALSE)</f>
        <v>25.338333333333335</v>
      </c>
      <c r="AN8" s="31">
        <f>VLOOKUP($B8,Pitchers!$A1:$S251,15,FALSE)</f>
        <v>25.338333333333335</v>
      </c>
      <c r="AO8" s="31">
        <f>VLOOKUP($B8,Pitchers!$A1:$S251,16,FALSE)</f>
        <v>5.9750000000000005</v>
      </c>
      <c r="AP8" s="31">
        <f>VLOOKUP($B8,Pitchers!$A1:$S251,17,FALSE)</f>
        <v>19</v>
      </c>
      <c r="AQ8" s="31">
        <f>VLOOKUP($B8,Pitchers!$A1:$S251,18,FALSE)</f>
        <v>0</v>
      </c>
      <c r="AR8" s="31">
        <f>VLOOKUP($B8,Pitchers!$A1:$S251,19,FALSE)</f>
        <v>0</v>
      </c>
    </row>
    <row r="9" spans="1:44" ht="18.600000000000001" customHeight="1">
      <c r="A9" s="25">
        <f ca="1">RANK(I9,I$2:I$651)</f>
        <v>8</v>
      </c>
      <c r="B9" s="26" t="s">
        <v>93</v>
      </c>
      <c r="C9" s="27" t="s">
        <v>94</v>
      </c>
      <c r="D9" s="27" t="s">
        <v>69</v>
      </c>
      <c r="E9" s="40" t="s">
        <v>7</v>
      </c>
      <c r="F9" s="41">
        <f ca="1">VLOOKUP(B9,'1B'!A1:I63,IF(Settings!$J$13="points",4,7),FALSE)</f>
        <v>1</v>
      </c>
      <c r="G9" s="30">
        <f>(M9*Settings!$B$2)+(N9*Settings!$B$3)+(O9*Settings!$B$4)+(P9*Settings!$B$5)+(Q9*Settings!$B$6)+((T9-U9-V9-O9)*Settings!$B$9)+(U9*Settings!$B$10)+(V9*Settings!$B$11)+(W9*Settings!$B$12)+(X9*Settings!$B$13)+(AA9*Settings!$B$16)</f>
        <v>539.89722222222213</v>
      </c>
      <c r="H9" s="31">
        <f>VLOOKUP(B9,'Standard Deviations'!$A1:$D651,4,FALSE)</f>
        <v>9.6358241194264433</v>
      </c>
      <c r="I9" s="32">
        <f ca="1">IF(Settings!$J$15="no",VLOOKUP(B9,'1B'!A1:I63,IF(Settings!$J$13="points",6,9),FALSE),VLOOKUP(B9,'1B+3B'!$A1:$I104,IF(Settings!$J$13="points",6,9),FALSE))</f>
        <v>9.410344607116194</v>
      </c>
      <c r="J9" s="31"/>
      <c r="K9" s="31">
        <f ca="1">J9-A9</f>
        <v>-8</v>
      </c>
      <c r="L9" s="31"/>
      <c r="M9" s="31">
        <f>VLOOKUP($B9,Hitters!$A1:$R401,4,FALSE)</f>
        <v>575.31666666666672</v>
      </c>
      <c r="N9" s="31">
        <f>VLOOKUP($B9,Hitters!$A1:$R401,5,FALSE)</f>
        <v>97.761666666666656</v>
      </c>
      <c r="O9" s="31">
        <f>VLOOKUP($B9,Hitters!$A1:$R401,6,FALSE)</f>
        <v>35.516666666666666</v>
      </c>
      <c r="P9" s="31">
        <f>VLOOKUP($B9,Hitters!$A1:$R401,7,FALSE)</f>
        <v>104.60000000000001</v>
      </c>
      <c r="Q9" s="31">
        <f>VLOOKUP($B9,Hitters!$A1:$R401,8,FALSE)</f>
        <v>6.8677777777777775</v>
      </c>
      <c r="R9" s="152">
        <f>VLOOKUP($B9,Hitters!$A$1:$R$401,14,FALSE)</f>
        <v>0.2915283370510926</v>
      </c>
      <c r="S9" s="152">
        <f>VLOOKUP($B9,Hitters!$A$1:$R$401,15,FALSE)</f>
        <v>0.37146797575949253</v>
      </c>
      <c r="T9" s="154">
        <f>VLOOKUP($B9,Hitters!$A$1:$R$401,9,FALSE)</f>
        <v>167.7211111111111</v>
      </c>
      <c r="U9" s="154">
        <f>VLOOKUP($B9,Hitters!$A$1:$R$401,10,FALSE)</f>
        <v>32.716666666666669</v>
      </c>
      <c r="V9" s="154">
        <f>VLOOKUP($B9,Hitters!$A$1:$R$401,11,FALSE)</f>
        <v>0.99777777777777776</v>
      </c>
      <c r="W9" s="154">
        <f>VLOOKUP($B9,Hitters!$A$1:$R$401,12,FALSE)</f>
        <v>65.588888888888889</v>
      </c>
      <c r="X9" s="154">
        <f>VLOOKUP($B9,Hitters!$A$1:$R$401,13,FALSE)</f>
        <v>101.54444444444444</v>
      </c>
      <c r="Y9" s="152">
        <f>VLOOKUP($B9,Hitters!$A$1:$R$401,16,FALSE)</f>
        <v>0.53706654306324053</v>
      </c>
      <c r="Z9" s="152">
        <f>VLOOKUP($B9,Hitters!$A$1:$R$401,17,FALSE)</f>
        <v>0.90853451882273306</v>
      </c>
      <c r="AA9" s="31">
        <f>VLOOKUP($B9,Hitters!$A1:$R401,18,FALSE)</f>
        <v>0</v>
      </c>
      <c r="AB9" s="31"/>
      <c r="AC9" s="31"/>
      <c r="AD9" s="33"/>
      <c r="AE9" s="33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4" ht="18.600000000000001" customHeight="1">
      <c r="A10" s="25">
        <f ca="1">RANK(I10,I$2:I$651)</f>
        <v>9</v>
      </c>
      <c r="B10" s="26" t="s">
        <v>126</v>
      </c>
      <c r="C10" s="27" t="s">
        <v>63</v>
      </c>
      <c r="D10" s="27" t="s">
        <v>74</v>
      </c>
      <c r="E10" s="38" t="s">
        <v>27</v>
      </c>
      <c r="F10" s="39">
        <f ca="1">VLOOKUP(B10,SS!A1:I45,IF(Settings!$J$13="points",4,7),FALSE)</f>
        <v>2</v>
      </c>
      <c r="G10" s="30">
        <f>(M10*Settings!$B$2)+(N10*Settings!$B$3)+(O10*Settings!$B$4)+(P10*Settings!$B$5)+(Q10*Settings!$B$6)+((T10-U10-V10-O10)*Settings!$B$9)+(U10*Settings!$B$10)+(V10*Settings!$B$11)+(W10*Settings!$B$12)+(X10*Settings!$B$13)+(AA10*Settings!$B$16)</f>
        <v>454.76277777777779</v>
      </c>
      <c r="H10" s="31">
        <f>VLOOKUP(B10,'Standard Deviations'!$A1:$D651,4,FALSE)</f>
        <v>9.1767930609302155</v>
      </c>
      <c r="I10" s="32">
        <f ca="1">IF(Settings!$J$16="no",VLOOKUP(B10,SS!A1:I45,IF(Settings!$J$13="points",6,9),FALSE),VLOOKUP(B10,'2B+SS'!$A1:$I94,IF(Settings!$J$13="points",6,9),FALSE))</f>
        <v>9.1707504971045939</v>
      </c>
      <c r="J10" s="31"/>
      <c r="K10" s="31">
        <f ca="1">J10-A10</f>
        <v>-9</v>
      </c>
      <c r="L10" s="31"/>
      <c r="M10" s="31">
        <f>VLOOKUP($B10,Hitters!$A1:$R401,4,FALSE)</f>
        <v>451.13333333333327</v>
      </c>
      <c r="N10" s="31">
        <f>VLOOKUP($B10,Hitters!$A1:$R401,5,FALSE)</f>
        <v>85.521666666666661</v>
      </c>
      <c r="O10" s="31">
        <f>VLOOKUP($B10,Hitters!$A1:$R401,6,FALSE)</f>
        <v>32.136666666666663</v>
      </c>
      <c r="P10" s="31">
        <f>VLOOKUP($B10,Hitters!$A1:$R401,7,FALSE)</f>
        <v>83.983333333333334</v>
      </c>
      <c r="Q10" s="31">
        <f>VLOOKUP($B10,Hitters!$A1:$R401,8,FALSE)</f>
        <v>22.466666666666669</v>
      </c>
      <c r="R10" s="152">
        <f>VLOOKUP($B10,Hitters!$A$1:$R$401,14,FALSE)</f>
        <v>0.27705039160632483</v>
      </c>
      <c r="S10" s="152">
        <f>VLOOKUP($B10,Hitters!$A$1:$R$401,15,FALSE)</f>
        <v>0.36152060389320118</v>
      </c>
      <c r="T10" s="154">
        <f>VLOOKUP($B10,Hitters!$A$1:$R$401,9,FALSE)</f>
        <v>124.98666666666666</v>
      </c>
      <c r="U10" s="154">
        <f>VLOOKUP($B10,Hitters!$A$1:$R$401,10,FALSE)</f>
        <v>25.178333333333331</v>
      </c>
      <c r="V10" s="154">
        <f>VLOOKUP($B10,Hitters!$A$1:$R$401,11,FALSE)</f>
        <v>1.9944444444444445</v>
      </c>
      <c r="W10" s="154">
        <f>VLOOKUP($B10,Hitters!$A$1:$R$401,12,FALSE)</f>
        <v>53.515000000000008</v>
      </c>
      <c r="X10" s="154">
        <f>VLOOKUP($B10,Hitters!$A$1:$R$401,13,FALSE)</f>
        <v>127.50888888888888</v>
      </c>
      <c r="Y10" s="152">
        <f>VLOOKUP($B10,Hitters!$A$1:$R$401,16,FALSE)</f>
        <v>0.555409832027979</v>
      </c>
      <c r="Z10" s="152">
        <f>VLOOKUP($B10,Hitters!$A$1:$R$401,17,FALSE)</f>
        <v>0.91693043592118018</v>
      </c>
      <c r="AA10" s="31">
        <f>VLOOKUP($B10,Hitters!$A1:$R401,18,FALSE)</f>
        <v>0</v>
      </c>
      <c r="AB10" s="31"/>
      <c r="AC10" s="31"/>
      <c r="AD10" s="33"/>
      <c r="AE10" s="33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8.600000000000001" customHeight="1">
      <c r="A11" s="25">
        <f ca="1">RANK(I11,I$2:I$651)</f>
        <v>10</v>
      </c>
      <c r="B11" s="26" t="s">
        <v>92</v>
      </c>
      <c r="C11" s="27" t="s">
        <v>68</v>
      </c>
      <c r="D11" s="27" t="s">
        <v>69</v>
      </c>
      <c r="E11" s="36" t="s">
        <v>31</v>
      </c>
      <c r="F11" s="37">
        <f ca="1">VLOOKUP(B11,SP!A1:I161,IF(Settings!$J$13="points",4,7),FALSE)</f>
        <v>2</v>
      </c>
      <c r="G11" s="30">
        <f>(AC11*Settings!$F$2)+(AF11*Settings!$F$5)+(AG11*Settings!$F$6)+(AH11*Settings!$F$7)+(AI11*Settings!$F$8)+(AJ11*Settings!$F$9)+(AK11*Settings!$F$10)+(AL11*Settings!$F$11)+(AM11*Settings!$F$12)+(AN11*Settings!$F$13)+(AO11*Settings!$F$14)+(AP11*Settings!$F$15)+(AQ11*Settings!$F$16)+(AR11*Settings!$F$17)</f>
        <v>575.17527777777764</v>
      </c>
      <c r="H11" s="31">
        <f>VLOOKUP(B11,'Standard Deviations'!$A1:$D651,4,FALSE)</f>
        <v>8.0775543428779102</v>
      </c>
      <c r="I11" s="32">
        <f ca="1">IF(Settings!$J$16="no",VLOOKUP(B11,SP!A1:I161,IF(Settings!$J$13="points",6,9),FALSE),VLOOKUP(B11,'SP+RP'!$A1:$I251,IF(Settings!$J$13="points",6,9),FALSE))</f>
        <v>8.9451314619543751</v>
      </c>
      <c r="J11" s="31"/>
      <c r="K11" s="31">
        <f ca="1">J11-A11</f>
        <v>-10</v>
      </c>
      <c r="L11" s="31"/>
      <c r="M11" s="31"/>
      <c r="N11" s="31"/>
      <c r="O11" s="31"/>
      <c r="P11" s="31"/>
      <c r="Q11" s="31"/>
      <c r="R11" s="152"/>
      <c r="S11" s="152"/>
      <c r="T11" s="154"/>
      <c r="U11" s="154"/>
      <c r="V11" s="154"/>
      <c r="W11" s="154"/>
      <c r="X11" s="154"/>
      <c r="Y11" s="152"/>
      <c r="Z11" s="152"/>
      <c r="AA11" s="31"/>
      <c r="AB11" s="31"/>
      <c r="AC11" s="31">
        <f>VLOOKUP($B11,Pitchers!$A1:$S251,4,FALSE)</f>
        <v>196.01333333333332</v>
      </c>
      <c r="AD11" s="33">
        <f>VLOOKUP($B11,Pitchers!$A1:$S251,5,FALSE)</f>
        <v>3.1207060744167063</v>
      </c>
      <c r="AE11" s="33">
        <f>VLOOKUP($B11,Pitchers!$A1:$S251,6,FALSE)</f>
        <v>1.0353547377729406</v>
      </c>
      <c r="AF11" s="31">
        <f>VLOOKUP($B11,Pitchers!$A1:$S251,7,FALSE)</f>
        <v>241.12833333333333</v>
      </c>
      <c r="AG11" s="31">
        <f>VLOOKUP($B11,Pitchers!$A1:$S251,8,FALSE)</f>
        <v>14.804444444444444</v>
      </c>
      <c r="AH11" s="31">
        <f>VLOOKUP($B11,Pitchers!$A1:$S251,9,FALSE)</f>
        <v>0</v>
      </c>
      <c r="AI11" s="31">
        <f>VLOOKUP($B11,Pitchers!$A1:$S251,10,FALSE)</f>
        <v>67.966666666666654</v>
      </c>
      <c r="AJ11" s="31">
        <f>VLOOKUP($B11,Pitchers!$A1:$S251,11,FALSE)</f>
        <v>154.36666666666665</v>
      </c>
      <c r="AK11" s="31">
        <f>VLOOKUP($B11,Pitchers!$A1:$S251,12,FALSE)</f>
        <v>48.576666666666675</v>
      </c>
      <c r="AL11" s="31">
        <f>VLOOKUP($B11,Pitchers!$A1:$S251,13,FALSE)</f>
        <v>26.2</v>
      </c>
      <c r="AM11" s="31">
        <f>VLOOKUP($B11,Pitchers!$A1:$S251,14,FALSE)</f>
        <v>31.03</v>
      </c>
      <c r="AN11" s="31">
        <f>VLOOKUP($B11,Pitchers!$A1:$S251,15,FALSE)</f>
        <v>31.03</v>
      </c>
      <c r="AO11" s="31">
        <f>VLOOKUP($B11,Pitchers!$A1:$S251,16,FALSE)</f>
        <v>7.9899999999999993</v>
      </c>
      <c r="AP11" s="31">
        <f>VLOOKUP($B11,Pitchers!$A1:$S251,17,FALSE)</f>
        <v>24.6</v>
      </c>
      <c r="AQ11" s="31">
        <f>VLOOKUP($B11,Pitchers!$A1:$S251,18,FALSE)</f>
        <v>0</v>
      </c>
      <c r="AR11" s="31">
        <f>VLOOKUP($B11,Pitchers!$A1:$S251,19,FALSE)</f>
        <v>0</v>
      </c>
    </row>
    <row r="12" spans="1:44" ht="18.600000000000001" customHeight="1">
      <c r="A12" s="25">
        <f ca="1">RANK(I12,I$2:I$651)</f>
        <v>11</v>
      </c>
      <c r="B12" s="26" t="s">
        <v>80</v>
      </c>
      <c r="C12" s="27" t="s">
        <v>81</v>
      </c>
      <c r="D12" s="27" t="s">
        <v>74</v>
      </c>
      <c r="E12" s="28" t="s">
        <v>23</v>
      </c>
      <c r="F12" s="29">
        <f ca="1">VLOOKUP(B12,OF!A1:I139,IF(Settings!$J$13="points",4,7),FALSE)</f>
        <v>5</v>
      </c>
      <c r="G12" s="30">
        <f>(M12*Settings!$B$2)+(N12*Settings!$B$3)+(O12*Settings!$B$4)+(P12*Settings!$B$5)+(Q12*Settings!$B$6)+((T12-U12-V12-O12)*Settings!$B$9)+(U12*Settings!$B$10)+(V12*Settings!$B$11)+(W12*Settings!$B$12)+(X12*Settings!$B$13)+(AA12*Settings!$B$16)</f>
        <v>523.74888888888881</v>
      </c>
      <c r="H12" s="31">
        <f>VLOOKUP(B12,'Standard Deviations'!$A1:$D651,4,FALSE)</f>
        <v>8.7254161073322489</v>
      </c>
      <c r="I12" s="32">
        <f ca="1">VLOOKUP(B12,OF!A1:I139,IF(Settings!$J$13="points",6,9),FALSE)</f>
        <v>8.8823473454097908</v>
      </c>
      <c r="J12" s="31"/>
      <c r="K12" s="31">
        <f ca="1">J12-A12</f>
        <v>-11</v>
      </c>
      <c r="L12" s="31"/>
      <c r="M12" s="31">
        <f>VLOOKUP($B12,Hitters!$A1:$R401,4,FALSE)</f>
        <v>570.58333333333337</v>
      </c>
      <c r="N12" s="31">
        <f>VLOOKUP($B12,Hitters!$A1:$R401,5,FALSE)</f>
        <v>106.55555555555556</v>
      </c>
      <c r="O12" s="31">
        <f>VLOOKUP($B12,Hitters!$A1:$R401,6,FALSE)</f>
        <v>30.053333333333331</v>
      </c>
      <c r="P12" s="31">
        <f>VLOOKUP($B12,Hitters!$A1:$R401,7,FALSE)</f>
        <v>85.688888888888883</v>
      </c>
      <c r="Q12" s="31">
        <f>VLOOKUP($B12,Hitters!$A1:$R401,8,FALSE)</f>
        <v>15.719999999999999</v>
      </c>
      <c r="R12" s="152">
        <f>VLOOKUP($B12,Hitters!$A$1:$R$401,14,FALSE)</f>
        <v>0.27194391704396081</v>
      </c>
      <c r="S12" s="152">
        <f>VLOOKUP($B12,Hitters!$A$1:$R$401,15,FALSE)</f>
        <v>0.35625674370435728</v>
      </c>
      <c r="T12" s="154">
        <f>VLOOKUP($B12,Hitters!$A$1:$R$401,9,FALSE)</f>
        <v>155.16666666666666</v>
      </c>
      <c r="U12" s="154">
        <f>VLOOKUP($B12,Hitters!$A$1:$R$401,10,FALSE)</f>
        <v>35.331666666666663</v>
      </c>
      <c r="V12" s="154">
        <f>VLOOKUP($B12,Hitters!$A$1:$R$401,11,FALSE)</f>
        <v>2.9933333333333336</v>
      </c>
      <c r="W12" s="154">
        <f>VLOOKUP($B12,Hitters!$A$1:$R$401,12,FALSE)</f>
        <v>66.781666666666652</v>
      </c>
      <c r="X12" s="154">
        <f>VLOOKUP($B12,Hitters!$A$1:$R$401,13,FALSE)</f>
        <v>106.72444444444444</v>
      </c>
      <c r="Y12" s="152">
        <f>VLOOKUP($B12,Hitters!$A$1:$R$401,16,FALSE)</f>
        <v>0.50237184168248861</v>
      </c>
      <c r="Z12" s="152">
        <f>VLOOKUP($B12,Hitters!$A$1:$R$401,17,FALSE)</f>
        <v>0.85862858538684583</v>
      </c>
      <c r="AA12" s="31">
        <f>VLOOKUP($B12,Hitters!$A1:$R401,18,FALSE)</f>
        <v>0</v>
      </c>
      <c r="AB12" s="31"/>
      <c r="AC12" s="31"/>
      <c r="AD12" s="33"/>
      <c r="AE12" s="33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ht="18.600000000000001" customHeight="1">
      <c r="A13" s="25">
        <f ca="1">RANK(I13,I$2:I$651)</f>
        <v>12</v>
      </c>
      <c r="B13" s="26" t="s">
        <v>109</v>
      </c>
      <c r="C13" s="27" t="s">
        <v>76</v>
      </c>
      <c r="D13" s="27" t="s">
        <v>69</v>
      </c>
      <c r="E13" s="42" t="s">
        <v>34</v>
      </c>
      <c r="F13" s="43">
        <f ca="1">VLOOKUP(B13,RP!A1:I91,IF(Settings!$J$13="points",4,7),FALSE)</f>
        <v>1</v>
      </c>
      <c r="G13" s="30">
        <f>(AC13*Settings!$F$2)+(AF13*Settings!$F$5)+(AG13*Settings!$F$6)+(AH13*Settings!$F$7)+(AI13*Settings!$F$8)+(AJ13*Settings!$F$9)+(AK13*Settings!$F$10)+(AL13*Settings!$F$11)+(AM13*Settings!$F$12)+(AN13*Settings!$F$13)+(AO13*Settings!$F$14)+(AP13*Settings!$F$15)+(AQ13*Settings!$F$16)+(AR13*Settings!$F$17)</f>
        <v>411.45305555555558</v>
      </c>
      <c r="H13" s="31">
        <f>VLOOKUP(B13,'Standard Deviations'!$A1:$D651,4,FALSE)</f>
        <v>7.9587302037300161</v>
      </c>
      <c r="I13" s="32">
        <f ca="1">IF(Settings!$J$16="no",VLOOKUP(B13,RP!A1:I91,IF(Settings!$J$13="points",6,9),FALSE),VLOOKUP(B13,'SP+RP'!$A1:$I251,IF(Settings!$J$13="points",6,9),FALSE))</f>
        <v>8.8263119627305677</v>
      </c>
      <c r="J13" s="31"/>
      <c r="K13" s="31">
        <f ca="1">J13-A13</f>
        <v>-12</v>
      </c>
      <c r="L13" s="31"/>
      <c r="M13" s="31"/>
      <c r="N13" s="31"/>
      <c r="O13" s="31"/>
      <c r="P13" s="31"/>
      <c r="Q13" s="31"/>
      <c r="R13" s="152"/>
      <c r="S13" s="152"/>
      <c r="T13" s="154"/>
      <c r="U13" s="154"/>
      <c r="V13" s="154"/>
      <c r="W13" s="154"/>
      <c r="X13" s="154"/>
      <c r="Y13" s="152"/>
      <c r="Z13" s="152"/>
      <c r="AA13" s="31"/>
      <c r="AB13" s="31"/>
      <c r="AC13" s="31">
        <f>VLOOKUP($B13,Pitchers!$A1:$S251,4,FALSE)</f>
        <v>66.83</v>
      </c>
      <c r="AD13" s="33">
        <f>VLOOKUP($B13,Pitchers!$A1:$S251,5,FALSE)</f>
        <v>2.4252581176118508</v>
      </c>
      <c r="AE13" s="33">
        <f>VLOOKUP($B13,Pitchers!$A1:$S251,6,FALSE)</f>
        <v>0.9969491412705539</v>
      </c>
      <c r="AF13" s="31">
        <f>VLOOKUP($B13,Pitchers!$A1:$S251,7,FALSE)</f>
        <v>70.171666666666667</v>
      </c>
      <c r="AG13" s="31">
        <f>VLOOKUP($B13,Pitchers!$A1:$S251,8,FALSE)</f>
        <v>3.9755555555555553</v>
      </c>
      <c r="AH13" s="31">
        <f>VLOOKUP($B13,Pitchers!$A1:$S251,9,FALSE)</f>
        <v>34.983333333333327</v>
      </c>
      <c r="AI13" s="31">
        <f>VLOOKUP($B13,Pitchers!$A1:$S251,10,FALSE)</f>
        <v>18.008888888888887</v>
      </c>
      <c r="AJ13" s="31">
        <f>VLOOKUP($B13,Pitchers!$A1:$S251,11,FALSE)</f>
        <v>51.791111111111114</v>
      </c>
      <c r="AK13" s="31">
        <f>VLOOKUP($B13,Pitchers!$A1:$S251,12,FALSE)</f>
        <v>14.835000000000001</v>
      </c>
      <c r="AL13" s="31">
        <f>VLOOKUP($B13,Pitchers!$A1:$S251,13,FALSE)</f>
        <v>4.0333333333333332</v>
      </c>
      <c r="AM13" s="31">
        <f>VLOOKUP($B13,Pitchers!$A1:$S251,14,FALSE)</f>
        <v>67.25333333333333</v>
      </c>
      <c r="AN13" s="31">
        <f>VLOOKUP($B13,Pitchers!$A1:$S251,15,FALSE)</f>
        <v>0</v>
      </c>
      <c r="AO13" s="31">
        <f>VLOOKUP($B13,Pitchers!$A1:$S251,16,FALSE)</f>
        <v>2.44</v>
      </c>
      <c r="AP13" s="31">
        <f>VLOOKUP($B13,Pitchers!$A1:$S251,17,FALSE)</f>
        <v>0</v>
      </c>
      <c r="AQ13" s="31">
        <f>VLOOKUP($B13,Pitchers!$A1:$S251,18,FALSE)</f>
        <v>0</v>
      </c>
      <c r="AR13" s="31">
        <f>VLOOKUP($B13,Pitchers!$A1:$S251,19,FALSE)</f>
        <v>4</v>
      </c>
    </row>
    <row r="14" spans="1:44" ht="18.600000000000001" customHeight="1">
      <c r="A14" s="25">
        <f ca="1">RANK(I14,I$2:I$651)</f>
        <v>13</v>
      </c>
      <c r="B14" s="26" t="s">
        <v>82</v>
      </c>
      <c r="C14" s="27" t="s">
        <v>63</v>
      </c>
      <c r="D14" s="27" t="s">
        <v>74</v>
      </c>
      <c r="E14" s="28" t="s">
        <v>23</v>
      </c>
      <c r="F14" s="29">
        <f ca="1">VLOOKUP(B14,OF!A1:I139,IF(Settings!$J$13="points",4,7),FALSE)</f>
        <v>6</v>
      </c>
      <c r="G14" s="30">
        <f>(M14*Settings!$B$2)+(N14*Settings!$B$3)+(O14*Settings!$B$4)+(P14*Settings!$B$5)+(Q14*Settings!$B$6)+((T14-U14-V14-O14)*Settings!$B$9)+(U14*Settings!$B$10)+(V14*Settings!$B$11)+(W14*Settings!$B$12)+(X14*Settings!$B$13)+(AA14*Settings!$B$16)</f>
        <v>569.33388888888885</v>
      </c>
      <c r="H14" s="31">
        <f>VLOOKUP(B14,'Standard Deviations'!$A1:$D651,4,FALSE)</f>
        <v>8.5815816134329932</v>
      </c>
      <c r="I14" s="32">
        <f ca="1">VLOOKUP(B14,OF!A1:I139,IF(Settings!$J$13="points",6,9),FALSE)</f>
        <v>8.7385139538561045</v>
      </c>
      <c r="J14" s="31"/>
      <c r="K14" s="31">
        <f ca="1">J14-A14</f>
        <v>-13</v>
      </c>
      <c r="L14" s="31"/>
      <c r="M14" s="31">
        <f>VLOOKUP($B14,Hitters!$A1:$R401,4,FALSE)</f>
        <v>520.69999999999993</v>
      </c>
      <c r="N14" s="31">
        <f>VLOOKUP($B14,Hitters!$A1:$R401,5,FALSE)</f>
        <v>107.33666666666666</v>
      </c>
      <c r="O14" s="31">
        <f>VLOOKUP($B14,Hitters!$A1:$R401,6,FALSE)</f>
        <v>30.106666666666669</v>
      </c>
      <c r="P14" s="31">
        <f>VLOOKUP($B14,Hitters!$A1:$R401,7,FALSE)</f>
        <v>88.654444444444451</v>
      </c>
      <c r="Q14" s="31">
        <f>VLOOKUP($B14,Hitters!$A1:$R401,8,FALSE)</f>
        <v>9.9644444444444442</v>
      </c>
      <c r="R14" s="152">
        <f>VLOOKUP($B14,Hitters!$A$1:$R$401,14,FALSE)</f>
        <v>0.2814928621727163</v>
      </c>
      <c r="S14" s="152">
        <f>VLOOKUP($B14,Hitters!$A$1:$R$401,15,FALSE)</f>
        <v>0.43216770618783151</v>
      </c>
      <c r="T14" s="154">
        <f>VLOOKUP($B14,Hitters!$A$1:$R$401,9,FALSE)</f>
        <v>146.57333333333335</v>
      </c>
      <c r="U14" s="154">
        <f>VLOOKUP($B14,Hitters!$A$1:$R$401,10,FALSE)</f>
        <v>26.846666666666668</v>
      </c>
      <c r="V14" s="154">
        <f>VLOOKUP($B14,Hitters!$A$1:$R$401,11,FALSE)</f>
        <v>2.0016666666666665</v>
      </c>
      <c r="W14" s="154">
        <f>VLOOKUP($B14,Hitters!$A$1:$R$401,12,FALSE)</f>
        <v>133.07666666666668</v>
      </c>
      <c r="X14" s="154">
        <f>VLOOKUP($B14,Hitters!$A$1:$R$401,13,FALSE)</f>
        <v>94.812222222222218</v>
      </c>
      <c r="Y14" s="152">
        <f>VLOOKUP($B14,Hitters!$A$1:$R$401,16,FALSE)</f>
        <v>0.5141988349017349</v>
      </c>
      <c r="Z14" s="152">
        <f>VLOOKUP($B14,Hitters!$A$1:$R$401,17,FALSE)</f>
        <v>0.94636654108956642</v>
      </c>
      <c r="AA14" s="31">
        <f>VLOOKUP($B14,Hitters!$A1:$R401,18,FALSE)</f>
        <v>0</v>
      </c>
      <c r="AB14" s="31"/>
      <c r="AC14" s="31"/>
      <c r="AD14" s="33"/>
      <c r="AE14" s="33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ht="18.600000000000001" customHeight="1">
      <c r="A15" s="25">
        <f ca="1">RANK(I15,I$2:I$651)</f>
        <v>14</v>
      </c>
      <c r="B15" s="26" t="s">
        <v>105</v>
      </c>
      <c r="C15" s="27" t="s">
        <v>81</v>
      </c>
      <c r="D15" s="27" t="s">
        <v>74</v>
      </c>
      <c r="E15" s="40" t="s">
        <v>7</v>
      </c>
      <c r="F15" s="41">
        <f ca="1">VLOOKUP(B15,'1B'!A1:I63,IF(Settings!$J$13="points",4,7),FALSE)</f>
        <v>3</v>
      </c>
      <c r="G15" s="30">
        <f>(M15*Settings!$B$2)+(N15*Settings!$B$3)+(O15*Settings!$B$4)+(P15*Settings!$B$5)+(Q15*Settings!$B$6)+((T15-U15-V15-O15)*Settings!$B$9)+(U15*Settings!$B$10)+(V15*Settings!$B$11)+(W15*Settings!$B$12)+(X15*Settings!$B$13)+(AA15*Settings!$B$16)</f>
        <v>531.39555555555557</v>
      </c>
      <c r="H15" s="31">
        <f>VLOOKUP(B15,'Standard Deviations'!$A1:$D651,4,FALSE)</f>
        <v>8.8648032719824705</v>
      </c>
      <c r="I15" s="32">
        <f ca="1">IF(Settings!$J$15="no",VLOOKUP(B15,'1B'!A1:I63,IF(Settings!$J$13="points",6,9),FALSE),VLOOKUP(B15,'1B+3B'!$A1:$I104,IF(Settings!$J$13="points",6,9),FALSE))</f>
        <v>8.6393237720178639</v>
      </c>
      <c r="J15" s="31"/>
      <c r="K15" s="31">
        <f ca="1">J15-A15</f>
        <v>-14</v>
      </c>
      <c r="L15" s="31"/>
      <c r="M15" s="31">
        <f>VLOOKUP($B15,Hitters!$A1:$R401,4,FALSE)</f>
        <v>578.33333333333337</v>
      </c>
      <c r="N15" s="31">
        <f>VLOOKUP($B15,Hitters!$A1:$R401,5,FALSE)</f>
        <v>102.42</v>
      </c>
      <c r="O15" s="31">
        <f>VLOOKUP($B15,Hitters!$A1:$R401,6,FALSE)</f>
        <v>24.822222222222223</v>
      </c>
      <c r="P15" s="31">
        <f>VLOOKUP($B15,Hitters!$A1:$R401,7,FALSE)</f>
        <v>91.722222222222229</v>
      </c>
      <c r="Q15" s="31">
        <f>VLOOKUP($B15,Hitters!$A1:$R401,8,FALSE)</f>
        <v>9.9677777777777781</v>
      </c>
      <c r="R15" s="152">
        <f>VLOOKUP($B15,Hitters!$A$1:$R$401,14,FALSE)</f>
        <v>0.30121037463976946</v>
      </c>
      <c r="S15" s="152">
        <f>VLOOKUP($B15,Hitters!$A$1:$R$401,15,FALSE)</f>
        <v>0.39124577152313028</v>
      </c>
      <c r="T15" s="154">
        <f>VLOOKUP($B15,Hitters!$A$1:$R$401,9,FALSE)</f>
        <v>174.20000000000002</v>
      </c>
      <c r="U15" s="154">
        <f>VLOOKUP($B15,Hitters!$A$1:$R$401,10,FALSE)</f>
        <v>36.572222222222223</v>
      </c>
      <c r="V15" s="154">
        <f>VLOOKUP($B15,Hitters!$A$1:$R$401,11,FALSE)</f>
        <v>1.9955555555555555</v>
      </c>
      <c r="W15" s="154">
        <f>VLOOKUP($B15,Hitters!$A$1:$R$401,12,FALSE)</f>
        <v>78.51166666666667</v>
      </c>
      <c r="X15" s="154">
        <f>VLOOKUP($B15,Hitters!$A$1:$R$401,13,FALSE)</f>
        <v>100.84777777777778</v>
      </c>
      <c r="Y15" s="152">
        <f>VLOOKUP($B15,Hitters!$A$1:$R$401,16,FALSE)</f>
        <v>0.50010951008645532</v>
      </c>
      <c r="Z15" s="152">
        <f>VLOOKUP($B15,Hitters!$A$1:$R$401,17,FALSE)</f>
        <v>0.89135528160958555</v>
      </c>
      <c r="AA15" s="31">
        <f>VLOOKUP($B15,Hitters!$A1:$R401,18,FALSE)</f>
        <v>0</v>
      </c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ht="18.600000000000001" customHeight="1">
      <c r="A16" s="25">
        <f ca="1">RANK(I16,I$2:I$651)</f>
        <v>15</v>
      </c>
      <c r="B16" s="26" t="s">
        <v>124</v>
      </c>
      <c r="C16" s="27" t="s">
        <v>94</v>
      </c>
      <c r="D16" s="27" t="s">
        <v>69</v>
      </c>
      <c r="E16" s="38" t="s">
        <v>27</v>
      </c>
      <c r="F16" s="39">
        <f ca="1">VLOOKUP(B16,SS!A1:I45,IF(Settings!$J$13="points",4,7),FALSE)</f>
        <v>3</v>
      </c>
      <c r="G16" s="30">
        <f>(M16*Settings!$B$2)+(N16*Settings!$B$3)+(O16*Settings!$B$4)+(P16*Settings!$B$5)+(Q16*Settings!$B$6)+((T16-U16-V16-O16)*Settings!$B$9)+(U16*Settings!$B$10)+(V16*Settings!$B$11)+(W16*Settings!$B$12)+(X16*Settings!$B$13)+(AA16*Settings!$B$16)</f>
        <v>480.91222222222211</v>
      </c>
      <c r="H16" s="31">
        <f>VLOOKUP(B16,'Standard Deviations'!$A1:$D651,4,FALSE)</f>
        <v>8.6361576871836458</v>
      </c>
      <c r="I16" s="32">
        <f ca="1">IF(Settings!$J$16="no",VLOOKUP(B16,SS!A1:I45,IF(Settings!$J$13="points",6,9),FALSE),VLOOKUP(B16,'2B+SS'!$A1:$I94,IF(Settings!$J$13="points",6,9),FALSE))</f>
        <v>8.6301169101440571</v>
      </c>
      <c r="J16" s="31"/>
      <c r="K16" s="31">
        <f ca="1">J16-A16</f>
        <v>-15</v>
      </c>
      <c r="L16" s="31"/>
      <c r="M16" s="31">
        <f>VLOOKUP($B16,Hitters!$A1:$R401,4,FALSE)</f>
        <v>607.34444444444443</v>
      </c>
      <c r="N16" s="31">
        <f>VLOOKUP($B16,Hitters!$A1:$R401,5,FALSE)</f>
        <v>93.84666666666665</v>
      </c>
      <c r="O16" s="31">
        <f>VLOOKUP($B16,Hitters!$A1:$R401,6,FALSE)</f>
        <v>24.814444444444444</v>
      </c>
      <c r="P16" s="31">
        <f>VLOOKUP($B16,Hitters!$A1:$R401,7,FALSE)</f>
        <v>88.738888888888894</v>
      </c>
      <c r="Q16" s="31">
        <f>VLOOKUP($B16,Hitters!$A1:$R401,8,FALSE)</f>
        <v>18.404444444444444</v>
      </c>
      <c r="R16" s="152">
        <f>VLOOKUP($B16,Hitters!$A$1:$R$401,14,FALSE)</f>
        <v>0.28392272369696858</v>
      </c>
      <c r="S16" s="152">
        <f>VLOOKUP($B16,Hitters!$A$1:$R$401,15,FALSE)</f>
        <v>0.33829202501893574</v>
      </c>
      <c r="T16" s="154">
        <f>VLOOKUP($B16,Hitters!$A$1:$R$401,9,FALSE)</f>
        <v>172.43888888888887</v>
      </c>
      <c r="U16" s="154">
        <f>VLOOKUP($B16,Hitters!$A$1:$R$401,10,FALSE)</f>
        <v>37.006666666666668</v>
      </c>
      <c r="V16" s="154">
        <f>VLOOKUP($B16,Hitters!$A$1:$R$401,11,FALSE)</f>
        <v>1.981111111111111</v>
      </c>
      <c r="W16" s="154">
        <f>VLOOKUP($B16,Hitters!$A$1:$R$401,12,FALSE)</f>
        <v>40.928888888888885</v>
      </c>
      <c r="X16" s="154">
        <f>VLOOKUP($B16,Hitters!$A$1:$R$401,13,FALSE)</f>
        <v>134.52444444444444</v>
      </c>
      <c r="Y16" s="152">
        <f>VLOOKUP($B16,Hitters!$A$1:$R$401,16,FALSE)</f>
        <v>0.47395034851173595</v>
      </c>
      <c r="Z16" s="152">
        <f>VLOOKUP($B16,Hitters!$A$1:$R$401,17,FALSE)</f>
        <v>0.81224237353067164</v>
      </c>
      <c r="AA16" s="31">
        <f>VLOOKUP($B16,Hitters!$A1:$R401,18,FALSE)</f>
        <v>0</v>
      </c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18.600000000000001" customHeight="1">
      <c r="A17" s="25">
        <f ca="1">RANK(I17,I$2:I$651)</f>
        <v>16</v>
      </c>
      <c r="B17" s="26" t="s">
        <v>79</v>
      </c>
      <c r="C17" s="27" t="s">
        <v>78</v>
      </c>
      <c r="D17" s="27" t="s">
        <v>69</v>
      </c>
      <c r="E17" s="28" t="s">
        <v>23</v>
      </c>
      <c r="F17" s="29">
        <f ca="1">VLOOKUP(B17,OF!A1:I139,IF(Settings!$J$13="points",4,7),FALSE)</f>
        <v>7</v>
      </c>
      <c r="G17" s="30">
        <f>(M17*Settings!$B$2)+(N17*Settings!$B$3)+(O17*Settings!$B$4)+(P17*Settings!$B$5)+(Q17*Settings!$B$6)+((T17-U17-V17-O17)*Settings!$B$9)+(U17*Settings!$B$10)+(V17*Settings!$B$11)+(W17*Settings!$B$12)+(X17*Settings!$B$13)+(AA17*Settings!$B$16)</f>
        <v>497.43555555555554</v>
      </c>
      <c r="H17" s="31">
        <f>VLOOKUP(B17,'Standard Deviations'!$A1:$D651,4,FALSE)</f>
        <v>8.4257356024928054</v>
      </c>
      <c r="I17" s="32">
        <f ca="1">VLOOKUP(B17,OF!A1:I139,IF(Settings!$J$13="points",6,9),FALSE)</f>
        <v>8.5826670951689898</v>
      </c>
      <c r="J17" s="31"/>
      <c r="K17" s="31">
        <f ca="1">J17-A17</f>
        <v>-16</v>
      </c>
      <c r="L17" s="31"/>
      <c r="M17" s="31">
        <f>VLOOKUP($B17,Hitters!$A1:$R401,4,FALSE)</f>
        <v>516.41666666666674</v>
      </c>
      <c r="N17" s="31">
        <f>VLOOKUP($B17,Hitters!$A1:$R401,5,FALSE)</f>
        <v>92.146666666666661</v>
      </c>
      <c r="O17" s="31">
        <f>VLOOKUP($B17,Hitters!$A1:$R401,6,FALSE)</f>
        <v>35.196666666666665</v>
      </c>
      <c r="P17" s="31">
        <f>VLOOKUP($B17,Hitters!$A1:$R401,7,FALSE)</f>
        <v>103.19333333333333</v>
      </c>
      <c r="Q17" s="31">
        <f>VLOOKUP($B17,Hitters!$A1:$R401,8,FALSE)</f>
        <v>1.518888888888889</v>
      </c>
      <c r="R17" s="152">
        <f>VLOOKUP($B17,Hitters!$A$1:$R$401,14,FALSE)</f>
        <v>0.2898660642246248</v>
      </c>
      <c r="S17" s="152">
        <f>VLOOKUP($B17,Hitters!$A$1:$R$401,15,FALSE)</f>
        <v>0.38283798446810374</v>
      </c>
      <c r="T17" s="154">
        <f>VLOOKUP($B17,Hitters!$A$1:$R$401,9,FALSE)</f>
        <v>149.69166666666669</v>
      </c>
      <c r="U17" s="154">
        <f>VLOOKUP($B17,Hitters!$A$1:$R$401,10,FALSE)</f>
        <v>30.634444444444444</v>
      </c>
      <c r="V17" s="154">
        <f>VLOOKUP($B17,Hitters!$A$1:$R$401,11,FALSE)</f>
        <v>2.0033333333333334</v>
      </c>
      <c r="W17" s="154">
        <f>VLOOKUP($B17,Hitters!$A$1:$R$401,12,FALSE)</f>
        <v>71.291666666666671</v>
      </c>
      <c r="X17" s="154">
        <f>VLOOKUP($B17,Hitters!$A$1:$R$401,13,FALSE)</f>
        <v>124.31333333333333</v>
      </c>
      <c r="Y17" s="152">
        <f>VLOOKUP($B17,Hitters!$A$1:$R$401,16,FALSE)</f>
        <v>0.56141251143026194</v>
      </c>
      <c r="Z17" s="152">
        <f>VLOOKUP($B17,Hitters!$A$1:$R$401,17,FALSE)</f>
        <v>0.94425049589836574</v>
      </c>
      <c r="AA17" s="31">
        <f>VLOOKUP($B17,Hitters!$A1:$R401,18,FALSE)</f>
        <v>0</v>
      </c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ht="20.100000000000001" customHeight="1">
      <c r="A18" s="25">
        <f ca="1">RANK(I18,I$2:I$651)</f>
        <v>17</v>
      </c>
      <c r="B18" s="26" t="s">
        <v>116</v>
      </c>
      <c r="C18" s="27" t="s">
        <v>117</v>
      </c>
      <c r="D18" s="27" t="s">
        <v>69</v>
      </c>
      <c r="E18" s="38" t="s">
        <v>27</v>
      </c>
      <c r="F18" s="39">
        <f ca="1">VLOOKUP(B18,SS!A1:I45,IF(Settings!$J$13="points",4,7),FALSE)</f>
        <v>4</v>
      </c>
      <c r="G18" s="30">
        <f>(M18*Settings!$B$2)+(N18*Settings!$B$3)+(O18*Settings!$B$4)+(P18*Settings!$B$5)+(Q18*Settings!$B$6)+((T18-U18-V18-O18)*Settings!$B$9)+(U18*Settings!$B$10)+(V18*Settings!$B$11)+(W18*Settings!$B$12)+(X18*Settings!$B$13)+(AA18*Settings!$B$16)</f>
        <v>463.75388888888887</v>
      </c>
      <c r="H18" s="31">
        <f>VLOOKUP(B18,'Standard Deviations'!$A1:$D651,4,FALSE)</f>
        <v>8.2776510004937585</v>
      </c>
      <c r="I18" s="32">
        <f ca="1">IF(Settings!$J$16="no",VLOOKUP(B18,SS!A1:I45,IF(Settings!$J$13="points",6,9),FALSE),VLOOKUP(B18,'2B+SS'!$A1:$I94,IF(Settings!$J$13="points",6,9),FALSE))</f>
        <v>8.2716134453985681</v>
      </c>
      <c r="J18" s="31"/>
      <c r="K18" s="31">
        <f ca="1">J18-A18</f>
        <v>-17</v>
      </c>
      <c r="L18" s="31"/>
      <c r="M18" s="31">
        <f>VLOOKUP($B18,Hitters!$A1:$R401,4,FALSE)</f>
        <v>590.12222222222215</v>
      </c>
      <c r="N18" s="31">
        <f>VLOOKUP($B18,Hitters!$A1:$R401,5,FALSE)</f>
        <v>87.396666666666661</v>
      </c>
      <c r="O18" s="31">
        <f>VLOOKUP($B18,Hitters!$A1:$R401,6,FALSE)</f>
        <v>22.877777777777776</v>
      </c>
      <c r="P18" s="31">
        <f>VLOOKUP($B18,Hitters!$A1:$R401,7,FALSE)</f>
        <v>78.223333333333343</v>
      </c>
      <c r="Q18" s="31">
        <f>VLOOKUP($B18,Hitters!$A1:$R401,8,FALSE)</f>
        <v>30.914444444444445</v>
      </c>
      <c r="R18" s="152">
        <f>VLOOKUP($B18,Hitters!$A$1:$R$401,14,FALSE)</f>
        <v>0.26241080002259426</v>
      </c>
      <c r="S18" s="152">
        <f>VLOOKUP($B18,Hitters!$A$1:$R$401,15,FALSE)</f>
        <v>0.31629075219908503</v>
      </c>
      <c r="T18" s="154">
        <f>VLOOKUP($B18,Hitters!$A$1:$R$401,9,FALSE)</f>
        <v>154.85444444444445</v>
      </c>
      <c r="U18" s="154">
        <f>VLOOKUP($B18,Hitters!$A$1:$R$401,10,FALSE)</f>
        <v>32.976666666666667</v>
      </c>
      <c r="V18" s="154">
        <f>VLOOKUP($B18,Hitters!$A$1:$R$401,11,FALSE)</f>
        <v>5.0083333333333337</v>
      </c>
      <c r="W18" s="154">
        <f>VLOOKUP($B18,Hitters!$A$1:$R$401,12,FALSE)</f>
        <v>37.211666666666666</v>
      </c>
      <c r="X18" s="154">
        <f>VLOOKUP($B18,Hitters!$A$1:$R$401,13,FALSE)</f>
        <v>134.77555555555554</v>
      </c>
      <c r="Y18" s="152">
        <f>VLOOKUP($B18,Hitters!$A$1:$R$401,16,FALSE)</f>
        <v>0.45156935474760407</v>
      </c>
      <c r="Z18" s="152">
        <f>VLOOKUP($B18,Hitters!$A$1:$R$401,17,FALSE)</f>
        <v>0.76786010694668905</v>
      </c>
      <c r="AA18" s="31">
        <f>VLOOKUP($B18,Hitters!$A1:$R401,18,FALSE)</f>
        <v>0</v>
      </c>
      <c r="AB18" s="31"/>
      <c r="AC18" s="31"/>
      <c r="AD18" s="33"/>
      <c r="AE18" s="33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ht="18.600000000000001" customHeight="1">
      <c r="A19" s="25">
        <f ca="1">RANK(I19,I$2:I$651)</f>
        <v>18</v>
      </c>
      <c r="B19" s="26" t="s">
        <v>96</v>
      </c>
      <c r="C19" s="27" t="s">
        <v>97</v>
      </c>
      <c r="D19" s="27" t="s">
        <v>74</v>
      </c>
      <c r="E19" s="36" t="s">
        <v>31</v>
      </c>
      <c r="F19" s="37">
        <f ca="1">VLOOKUP(B19,SP!A1:I161,IF(Settings!$J$13="points",4,7),FALSE)</f>
        <v>3</v>
      </c>
      <c r="G19" s="30">
        <f>(AC19*Settings!$F$2)+(AF19*Settings!$F$5)+(AG19*Settings!$F$6)+(AH19*Settings!$F$7)+(AI19*Settings!$F$8)+(AJ19*Settings!$F$9)+(AK19*Settings!$F$10)+(AL19*Settings!$F$11)+(AM19*Settings!$F$12)+(AN19*Settings!$F$13)+(AO19*Settings!$F$14)+(AP19*Settings!$F$15)+(AQ19*Settings!$F$16)+(AR19*Settings!$F$17)</f>
        <v>544.46333333333337</v>
      </c>
      <c r="H19" s="31">
        <f>VLOOKUP(B19,'Standard Deviations'!$A1:$D651,4,FALSE)</f>
        <v>7.3512602432637291</v>
      </c>
      <c r="I19" s="32">
        <f ca="1">IF(Settings!$J$16="no",VLOOKUP(B19,SP!A1:I161,IF(Settings!$J$13="points",6,9),FALSE),VLOOKUP(B19,'SP+RP'!$A1:$I251,IF(Settings!$J$13="points",6,9),FALSE))</f>
        <v>8.2188405410005707</v>
      </c>
      <c r="J19" s="31"/>
      <c r="K19" s="31">
        <f ca="1">J19-A19</f>
        <v>-18</v>
      </c>
      <c r="L19" s="31"/>
      <c r="M19" s="31"/>
      <c r="N19" s="31"/>
      <c r="O19" s="31"/>
      <c r="P19" s="31"/>
      <c r="Q19" s="31"/>
      <c r="R19" s="152"/>
      <c r="S19" s="152"/>
      <c r="T19" s="154"/>
      <c r="U19" s="154"/>
      <c r="V19" s="154"/>
      <c r="W19" s="154"/>
      <c r="X19" s="154"/>
      <c r="Y19" s="152"/>
      <c r="Z19" s="152"/>
      <c r="AA19" s="31"/>
      <c r="AB19" s="31"/>
      <c r="AC19" s="31">
        <f>VLOOKUP($B19,Pitchers!$A1:$S251,4,FALSE)</f>
        <v>191.71888888888887</v>
      </c>
      <c r="AD19" s="33">
        <f>VLOOKUP($B19,Pitchers!$A1:$S251,5,FALSE)</f>
        <v>3.0356946223347845</v>
      </c>
      <c r="AE19" s="33">
        <f>VLOOKUP($B19,Pitchers!$A1:$S251,6,FALSE)</f>
        <v>1.0561122476774445</v>
      </c>
      <c r="AF19" s="31">
        <f>VLOOKUP($B19,Pitchers!$A1:$S251,7,FALSE)</f>
        <v>232.1866666666667</v>
      </c>
      <c r="AG19" s="31">
        <f>VLOOKUP($B19,Pitchers!$A1:$S251,8,FALSE)</f>
        <v>13.07</v>
      </c>
      <c r="AH19" s="31">
        <f>VLOOKUP($B19,Pitchers!$A1:$S251,9,FALSE)</f>
        <v>0</v>
      </c>
      <c r="AI19" s="31">
        <f>VLOOKUP($B19,Pitchers!$A1:$S251,10,FALSE)</f>
        <v>64.666666666666671</v>
      </c>
      <c r="AJ19" s="31">
        <f>VLOOKUP($B19,Pitchers!$A1:$S251,11,FALSE)</f>
        <v>150.73333333333332</v>
      </c>
      <c r="AK19" s="31">
        <f>VLOOKUP($B19,Pitchers!$A1:$S251,12,FALSE)</f>
        <v>51.743333333333332</v>
      </c>
      <c r="AL19" s="31">
        <f>VLOOKUP($B19,Pitchers!$A1:$S251,13,FALSE)</f>
        <v>19.2</v>
      </c>
      <c r="AM19" s="31">
        <f>VLOOKUP($B19,Pitchers!$A1:$S251,14,FALSE)</f>
        <v>31.331111111111113</v>
      </c>
      <c r="AN19" s="31">
        <f>VLOOKUP($B19,Pitchers!$A1:$S251,15,FALSE)</f>
        <v>31.03</v>
      </c>
      <c r="AO19" s="31">
        <f>VLOOKUP($B19,Pitchers!$A1:$S251,16,FALSE)</f>
        <v>7.9666666666666659</v>
      </c>
      <c r="AP19" s="31">
        <f>VLOOKUP($B19,Pitchers!$A1:$S251,17,FALSE)</f>
        <v>22.9</v>
      </c>
      <c r="AQ19" s="31">
        <f>VLOOKUP($B19,Pitchers!$A1:$S251,18,FALSE)</f>
        <v>0</v>
      </c>
      <c r="AR19" s="31">
        <f>VLOOKUP($B19,Pitchers!$A1:$S251,19,FALSE)</f>
        <v>0</v>
      </c>
    </row>
    <row r="20" spans="1:44" ht="18.600000000000001" customHeight="1">
      <c r="A20" s="25">
        <f ca="1">RANK(I20,I$2:I$651)</f>
        <v>19</v>
      </c>
      <c r="B20" s="26" t="s">
        <v>89</v>
      </c>
      <c r="C20" s="27" t="s">
        <v>84</v>
      </c>
      <c r="D20" s="27" t="s">
        <v>69</v>
      </c>
      <c r="E20" s="28" t="s">
        <v>23</v>
      </c>
      <c r="F20" s="29">
        <f ca="1">VLOOKUP(B20,OF!A1:I139,IF(Settings!$J$13="points",4,7),FALSE)</f>
        <v>8</v>
      </c>
      <c r="G20" s="30">
        <f>(M20*Settings!$B$2)+(N20*Settings!$B$3)+(O20*Settings!$B$4)+(P20*Settings!$B$5)+(Q20*Settings!$B$6)+((T20-U20-V20-O20)*Settings!$B$9)+(U20*Settings!$B$10)+(V20*Settings!$B$11)+(W20*Settings!$B$12)+(X20*Settings!$B$13)+(AA20*Settings!$B$16)</f>
        <v>486.66944444444437</v>
      </c>
      <c r="H20" s="31">
        <f>VLOOKUP(B20,'Standard Deviations'!$A1:$D651,4,FALSE)</f>
        <v>7.7341456626224581</v>
      </c>
      <c r="I20" s="32">
        <f ca="1">VLOOKUP(B20,OF!A1:I139,IF(Settings!$J$13="points",6,9),FALSE)</f>
        <v>7.8910735542214301</v>
      </c>
      <c r="J20" s="31"/>
      <c r="K20" s="31">
        <f ca="1">J20-A20</f>
        <v>-19</v>
      </c>
      <c r="L20" s="31"/>
      <c r="M20" s="31">
        <f>VLOOKUP($B20,Hitters!$A1:$R401,4,FALSE)</f>
        <v>525.44444444444446</v>
      </c>
      <c r="N20" s="31">
        <f>VLOOKUP($B20,Hitters!$A1:$R401,5,FALSE)</f>
        <v>98.410000000000011</v>
      </c>
      <c r="O20" s="31">
        <f>VLOOKUP($B20,Hitters!$A1:$R401,6,FALSE)</f>
        <v>38.815555555555555</v>
      </c>
      <c r="P20" s="31">
        <f>VLOOKUP($B20,Hitters!$A1:$R401,7,FALSE)</f>
        <v>94.399999999999991</v>
      </c>
      <c r="Q20" s="31">
        <f>VLOOKUP($B20,Hitters!$A1:$R401,8,FALSE)</f>
        <v>3.4188888888888886</v>
      </c>
      <c r="R20" s="152">
        <f>VLOOKUP($B20,Hitters!$A$1:$R$401,14,FALSE)</f>
        <v>0.26497568196235988</v>
      </c>
      <c r="S20" s="152">
        <f>VLOOKUP($B20,Hitters!$A$1:$R$401,15,FALSE)</f>
        <v>0.36979304100260962</v>
      </c>
      <c r="T20" s="154">
        <f>VLOOKUP($B20,Hitters!$A$1:$R$401,9,FALSE)</f>
        <v>139.22999999999999</v>
      </c>
      <c r="U20" s="154">
        <f>VLOOKUP($B20,Hitters!$A$1:$R$401,10,FALSE)</f>
        <v>28.387777777777774</v>
      </c>
      <c r="V20" s="154">
        <f>VLOOKUP($B20,Hitters!$A$1:$R$401,11,FALSE)</f>
        <v>2.9888888888888889</v>
      </c>
      <c r="W20" s="154">
        <f>VLOOKUP($B20,Hitters!$A$1:$R$401,12,FALSE)</f>
        <v>80.423333333333332</v>
      </c>
      <c r="X20" s="154">
        <f>VLOOKUP($B20,Hitters!$A$1:$R$401,13,FALSE)</f>
        <v>166.88777777777776</v>
      </c>
      <c r="Y20" s="152">
        <f>VLOOKUP($B20,Hitters!$A$1:$R$401,16,FALSE)</f>
        <v>0.55199407908648757</v>
      </c>
      <c r="Z20" s="152">
        <f>VLOOKUP($B20,Hitters!$A$1:$R$401,17,FALSE)</f>
        <v>0.92178712008909724</v>
      </c>
      <c r="AA20" s="31">
        <f>VLOOKUP($B20,Hitters!$A1:$R401,18,FALSE)</f>
        <v>0</v>
      </c>
      <c r="AB20" s="31"/>
      <c r="AC20" s="31"/>
      <c r="AD20" s="33"/>
      <c r="AE20" s="33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8.600000000000001" customHeight="1">
      <c r="A21" s="25">
        <f ca="1">RANK(I21,I$2:I$651)</f>
        <v>20</v>
      </c>
      <c r="B21" s="26" t="s">
        <v>107</v>
      </c>
      <c r="C21" s="27" t="s">
        <v>95</v>
      </c>
      <c r="D21" s="27" t="s">
        <v>74</v>
      </c>
      <c r="E21" s="36" t="s">
        <v>31</v>
      </c>
      <c r="F21" s="37">
        <f ca="1">VLOOKUP(B21,SP!A1:I161,IF(Settings!$J$13="points",4,7),FALSE)</f>
        <v>4</v>
      </c>
      <c r="G21" s="30">
        <f>(AC21*Settings!$F$2)+(AF21*Settings!$F$5)+(AG21*Settings!$F$6)+(AH21*Settings!$F$7)+(AI21*Settings!$F$8)+(AJ21*Settings!$F$9)+(AK21*Settings!$F$10)+(AL21*Settings!$F$11)+(AM21*Settings!$F$12)+(AN21*Settings!$F$13)+(AO21*Settings!$F$14)+(AP21*Settings!$F$15)+(AQ21*Settings!$F$16)+(AR21*Settings!$F$17)</f>
        <v>482.73333333333335</v>
      </c>
      <c r="H21" s="31">
        <f>VLOOKUP(B21,'Standard Deviations'!$A1:$D651,4,FALSE)</f>
        <v>7.0026124141126758</v>
      </c>
      <c r="I21" s="32">
        <f ca="1">IF(Settings!$J$16="no",VLOOKUP(B21,SP!A1:I161,IF(Settings!$J$13="points",6,9),FALSE),VLOOKUP(B21,'SP+RP'!$A1:$I251,IF(Settings!$J$13="points",6,9),FALSE))</f>
        <v>7.8701934029703384</v>
      </c>
      <c r="J21" s="31"/>
      <c r="K21" s="31">
        <f ca="1">J21-A21</f>
        <v>-20</v>
      </c>
      <c r="L21" s="31"/>
      <c r="M21" s="31"/>
      <c r="N21" s="31"/>
      <c r="O21" s="31"/>
      <c r="P21" s="31"/>
      <c r="Q21" s="31"/>
      <c r="R21" s="152"/>
      <c r="S21" s="152"/>
      <c r="T21" s="154"/>
      <c r="U21" s="154"/>
      <c r="V21" s="154"/>
      <c r="W21" s="154"/>
      <c r="X21" s="154"/>
      <c r="Y21" s="152"/>
      <c r="Z21" s="152"/>
      <c r="AA21" s="31"/>
      <c r="AB21" s="31"/>
      <c r="AC21" s="31">
        <f>VLOOKUP($B21,Pitchers!$A1:$S251,4,FALSE)</f>
        <v>170.09555555555556</v>
      </c>
      <c r="AD21" s="33">
        <f>VLOOKUP($B21,Pitchers!$A1:$S251,5,FALSE)</f>
        <v>2.9489306664227946</v>
      </c>
      <c r="AE21" s="33">
        <f>VLOOKUP($B21,Pitchers!$A1:$S251,6,FALSE)</f>
        <v>1.0194139241994695</v>
      </c>
      <c r="AF21" s="31">
        <f>VLOOKUP($B21,Pitchers!$A1:$S251,7,FALSE)</f>
        <v>187</v>
      </c>
      <c r="AG21" s="31">
        <f>VLOOKUP($B21,Pitchers!$A1:$S251,8,FALSE)</f>
        <v>13.1</v>
      </c>
      <c r="AH21" s="31">
        <f>VLOOKUP($B21,Pitchers!$A1:$S251,9,FALSE)</f>
        <v>0</v>
      </c>
      <c r="AI21" s="31">
        <f>VLOOKUP($B21,Pitchers!$A1:$S251,10,FALSE)</f>
        <v>55.733333333333327</v>
      </c>
      <c r="AJ21" s="31">
        <f>VLOOKUP($B21,Pitchers!$A1:$S251,11,FALSE)</f>
        <v>136.86666666666667</v>
      </c>
      <c r="AK21" s="31">
        <f>VLOOKUP($B21,Pitchers!$A1:$S251,12,FALSE)</f>
        <v>36.531111111111109</v>
      </c>
      <c r="AL21" s="31">
        <f>VLOOKUP($B21,Pitchers!$A1:$S251,13,FALSE)</f>
        <v>21.233333333333334</v>
      </c>
      <c r="AM21" s="31">
        <f>VLOOKUP($B21,Pitchers!$A1:$S251,14,FALSE)</f>
        <v>28.068888888888889</v>
      </c>
      <c r="AN21" s="31">
        <f>VLOOKUP($B21,Pitchers!$A1:$S251,15,FALSE)</f>
        <v>28.402222222222221</v>
      </c>
      <c r="AO21" s="31">
        <f>VLOOKUP($B21,Pitchers!$A1:$S251,16,FALSE)</f>
        <v>7.5244444444444447</v>
      </c>
      <c r="AP21" s="31">
        <f>VLOOKUP($B21,Pitchers!$A1:$S251,17,FALSE)</f>
        <v>18</v>
      </c>
      <c r="AQ21" s="31">
        <f>VLOOKUP($B21,Pitchers!$A1:$S251,18,FALSE)</f>
        <v>0</v>
      </c>
      <c r="AR21" s="31">
        <f>VLOOKUP($B21,Pitchers!$A1:$S251,19,FALSE)</f>
        <v>0</v>
      </c>
    </row>
    <row r="22" spans="1:44" ht="18.600000000000001" customHeight="1">
      <c r="A22" s="25">
        <f ca="1">RANK(I22,I$2:I$651)</f>
        <v>21</v>
      </c>
      <c r="B22" s="26" t="s">
        <v>111</v>
      </c>
      <c r="C22" s="27" t="s">
        <v>73</v>
      </c>
      <c r="D22" s="27" t="s">
        <v>74</v>
      </c>
      <c r="E22" s="36" t="s">
        <v>31</v>
      </c>
      <c r="F22" s="37">
        <f ca="1">VLOOKUP(B22,SP!A1:I161,IF(Settings!$J$13="points",4,7),FALSE)</f>
        <v>5</v>
      </c>
      <c r="G22" s="30">
        <f>(AC22*Settings!$F$2)+(AF22*Settings!$F$5)+(AG22*Settings!$F$6)+(AH22*Settings!$F$7)+(AI22*Settings!$F$8)+(AJ22*Settings!$F$9)+(AK22*Settings!$F$10)+(AL22*Settings!$F$11)+(AM22*Settings!$F$12)+(AN22*Settings!$F$13)+(AO22*Settings!$F$14)+(AP22*Settings!$F$15)+(AQ22*Settings!$F$16)+(AR22*Settings!$F$17)</f>
        <v>494.38666666666677</v>
      </c>
      <c r="H22" s="31">
        <f>VLOOKUP(B22,'Standard Deviations'!$A1:$D651,4,FALSE)</f>
        <v>6.8420052628132417</v>
      </c>
      <c r="I22" s="32">
        <f ca="1">IF(Settings!$J$16="no",VLOOKUP(B22,SP!A1:I161,IF(Settings!$J$13="points",6,9),FALSE),VLOOKUP(B22,'SP+RP'!$A1:$I251,IF(Settings!$J$13="points",6,9),FALSE))</f>
        <v>7.7095875173772512</v>
      </c>
      <c r="J22" s="31"/>
      <c r="K22" s="31">
        <f ca="1">J22-A22</f>
        <v>-21</v>
      </c>
      <c r="L22" s="31"/>
      <c r="M22" s="31"/>
      <c r="N22" s="31"/>
      <c r="O22" s="31"/>
      <c r="P22" s="31"/>
      <c r="Q22" s="31"/>
      <c r="R22" s="152"/>
      <c r="S22" s="152"/>
      <c r="T22" s="154"/>
      <c r="U22" s="154"/>
      <c r="V22" s="154"/>
      <c r="W22" s="154"/>
      <c r="X22" s="154"/>
      <c r="Y22" s="152"/>
      <c r="Z22" s="152"/>
      <c r="AA22" s="31"/>
      <c r="AB22" s="31"/>
      <c r="AC22" s="31">
        <f>VLOOKUP($B22,Pitchers!$A1:$S251,4,FALSE)</f>
        <v>166.15386666666669</v>
      </c>
      <c r="AD22" s="33">
        <f>VLOOKUP($B22,Pitchers!$A1:$S251,5,FALSE)</f>
        <v>3.0493085124310473</v>
      </c>
      <c r="AE22" s="33">
        <f>VLOOKUP($B22,Pitchers!$A1:$S251,6,FALSE)</f>
        <v>1.0891976433089328</v>
      </c>
      <c r="AF22" s="31">
        <f>VLOOKUP($B22,Pitchers!$A1:$S251,7,FALSE)</f>
        <v>225.46453333333332</v>
      </c>
      <c r="AG22" s="31">
        <f>VLOOKUP($B22,Pitchers!$A1:$S251,8,FALSE)</f>
        <v>13.161066666666665</v>
      </c>
      <c r="AH22" s="31">
        <f>VLOOKUP($B22,Pitchers!$A1:$S251,9,FALSE)</f>
        <v>0</v>
      </c>
      <c r="AI22" s="31">
        <f>VLOOKUP($B22,Pitchers!$A1:$S251,10,FALSE)</f>
        <v>56.294933333333326</v>
      </c>
      <c r="AJ22" s="31">
        <f>VLOOKUP($B22,Pitchers!$A1:$S251,11,FALSE)</f>
        <v>123.048</v>
      </c>
      <c r="AK22" s="31">
        <f>VLOOKUP($B22,Pitchers!$A1:$S251,12,FALSE)</f>
        <v>57.926400000000001</v>
      </c>
      <c r="AL22" s="31">
        <f>VLOOKUP($B22,Pitchers!$A1:$S251,13,FALSE)</f>
        <v>16.079999999999998</v>
      </c>
      <c r="AM22" s="31">
        <f>VLOOKUP($B22,Pitchers!$A1:$S251,14,FALSE)</f>
        <v>30.650133333333333</v>
      </c>
      <c r="AN22" s="31">
        <f>VLOOKUP($B22,Pitchers!$A1:$S251,15,FALSE)</f>
        <v>28.58666666666667</v>
      </c>
      <c r="AO22" s="31">
        <f>VLOOKUP($B22,Pitchers!$A1:$S251,16,FALSE)</f>
        <v>7.2330666666666659</v>
      </c>
      <c r="AP22" s="31">
        <f>VLOOKUP($B22,Pitchers!$A1:$S251,17,FALSE)</f>
        <v>21.5</v>
      </c>
      <c r="AQ22" s="31">
        <f>VLOOKUP($B22,Pitchers!$A1:$S251,18,FALSE)</f>
        <v>0</v>
      </c>
      <c r="AR22" s="31">
        <f>VLOOKUP($B22,Pitchers!$A1:$S251,19,FALSE)</f>
        <v>0</v>
      </c>
    </row>
    <row r="23" spans="1:44" ht="18.600000000000001" customHeight="1">
      <c r="A23" s="25">
        <f ca="1">RANK(I23,I$2:I$651)</f>
        <v>22</v>
      </c>
      <c r="B23" s="26" t="s">
        <v>88</v>
      </c>
      <c r="C23" s="27" t="s">
        <v>63</v>
      </c>
      <c r="D23" s="27" t="s">
        <v>74</v>
      </c>
      <c r="E23" s="34" t="s">
        <v>15</v>
      </c>
      <c r="F23" s="35">
        <f ca="1">VLOOKUP(B23,'3B'!A1:I55,IF(Settings!$J$13="points",4,7),FALSE)</f>
        <v>2</v>
      </c>
      <c r="G23" s="30">
        <f>(M23*Settings!$B$2)+(N23*Settings!$B$3)+(O23*Settings!$B$4)+(P23*Settings!$B$5)+(Q23*Settings!$B$6)+((T23-U23-V23-O23)*Settings!$B$9)+(U23*Settings!$B$10)+(V23*Settings!$B$11)+(W23*Settings!$B$12)+(X23*Settings!$B$13)+(AA23*Settings!$B$16)</f>
        <v>493.07722222222225</v>
      </c>
      <c r="H23" s="31">
        <f>VLOOKUP(B23,'Standard Deviations'!$A1:$D651,4,FALSE)</f>
        <v>7.7832968555906463</v>
      </c>
      <c r="I23" s="32">
        <f ca="1">IF(Settings!$J$15="no",VLOOKUP(B23,'3B'!A1:I55,IF(Settings!$J$13="points",6,9),FALSE),VLOOKUP(B23,'1B+3B'!$A1:$I104,IF(Settings!$J$13="points",6,9),FALSE))</f>
        <v>7.5578196835859472</v>
      </c>
      <c r="J23" s="31"/>
      <c r="K23" s="31">
        <f ca="1">J23-A23</f>
        <v>-22</v>
      </c>
      <c r="L23" s="31"/>
      <c r="M23" s="31">
        <f>VLOOKUP($B23,Hitters!$A1:$R401,4,FALSE)</f>
        <v>582.5</v>
      </c>
      <c r="N23" s="31">
        <f>VLOOKUP($B23,Hitters!$A1:$R401,5,FALSE)</f>
        <v>90.825555555555567</v>
      </c>
      <c r="O23" s="31">
        <f>VLOOKUP($B23,Hitters!$A1:$R401,6,FALSE)</f>
        <v>29.934444444444441</v>
      </c>
      <c r="P23" s="31">
        <f>VLOOKUP($B23,Hitters!$A1:$R401,7,FALSE)</f>
        <v>98.217777777777769</v>
      </c>
      <c r="Q23" s="31">
        <f>VLOOKUP($B23,Hitters!$A1:$R401,8,FALSE)</f>
        <v>10.654444444444444</v>
      </c>
      <c r="R23" s="152">
        <f>VLOOKUP($B23,Hitters!$A$1:$R$401,14,FALSE)</f>
        <v>0.27077157844539823</v>
      </c>
      <c r="S23" s="152">
        <f>VLOOKUP($B23,Hitters!$A$1:$R$401,15,FALSE)</f>
        <v>0.35120487773655185</v>
      </c>
      <c r="T23" s="154">
        <f>VLOOKUP($B23,Hitters!$A$1:$R$401,9,FALSE)</f>
        <v>157.72444444444446</v>
      </c>
      <c r="U23" s="154">
        <f>VLOOKUP($B23,Hitters!$A$1:$R$401,10,FALSE)</f>
        <v>30.502222222222219</v>
      </c>
      <c r="V23" s="154">
        <f>VLOOKUP($B23,Hitters!$A$1:$R$401,11,FALSE)</f>
        <v>1.02</v>
      </c>
      <c r="W23" s="154">
        <f>VLOOKUP($B23,Hitters!$A$1:$R$401,12,FALSE)</f>
        <v>63.958333333333336</v>
      </c>
      <c r="X23" s="154">
        <f>VLOOKUP($B23,Hitters!$A$1:$R$401,13,FALSE)</f>
        <v>122.60666666666667</v>
      </c>
      <c r="Y23" s="152">
        <f>VLOOKUP($B23,Hitters!$A$1:$R$401,16,FALSE)</f>
        <v>0.48080686695278968</v>
      </c>
      <c r="Z23" s="152">
        <f>VLOOKUP($B23,Hitters!$A$1:$R$401,17,FALSE)</f>
        <v>0.83201174468934158</v>
      </c>
      <c r="AA23" s="31">
        <f>VLOOKUP($B23,Hitters!$A1:$R401,18,FALSE)</f>
        <v>0</v>
      </c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ht="18.600000000000001" customHeight="1">
      <c r="A24" s="25">
        <f ca="1">RANK(I24,I$2:I$651)</f>
        <v>23</v>
      </c>
      <c r="B24" s="26" t="s">
        <v>100</v>
      </c>
      <c r="C24" s="27" t="s">
        <v>101</v>
      </c>
      <c r="D24" s="27" t="s">
        <v>69</v>
      </c>
      <c r="E24" s="28" t="s">
        <v>23</v>
      </c>
      <c r="F24" s="29">
        <f ca="1">VLOOKUP(B24,OF!A1:I139,IF(Settings!$J$13="points",4,7),FALSE)</f>
        <v>9</v>
      </c>
      <c r="G24" s="30">
        <f>(M24*Settings!$B$2)+(N24*Settings!$B$3)+(O24*Settings!$B$4)+(P24*Settings!$B$5)+(Q24*Settings!$B$6)+((T24-U24-V24-O24)*Settings!$B$9)+(U24*Settings!$B$10)+(V24*Settings!$B$11)+(W24*Settings!$B$12)+(X24*Settings!$B$13)+(AA24*Settings!$B$16)</f>
        <v>437.24833333333339</v>
      </c>
      <c r="H24" s="31">
        <f>VLOOKUP(B24,'Standard Deviations'!$A1:$D651,4,FALSE)</f>
        <v>7.3744292110980156</v>
      </c>
      <c r="I24" s="32">
        <f ca="1">VLOOKUP(B24,OF!A1:I139,IF(Settings!$J$13="points",6,9),FALSE)</f>
        <v>7.5313621571082985</v>
      </c>
      <c r="J24" s="31"/>
      <c r="K24" s="31">
        <f ca="1">J24-A24</f>
        <v>-23</v>
      </c>
      <c r="L24" s="31"/>
      <c r="M24" s="31">
        <f>VLOOKUP($B24,Hitters!$A1:$R401,4,FALSE)</f>
        <v>558.8888888888888</v>
      </c>
      <c r="N24" s="31">
        <f>VLOOKUP($B24,Hitters!$A1:$R401,5,FALSE)</f>
        <v>81.336666666666659</v>
      </c>
      <c r="O24" s="31">
        <f>VLOOKUP($B24,Hitters!$A1:$R401,6,FALSE)</f>
        <v>20.816666666666666</v>
      </c>
      <c r="P24" s="31">
        <f>VLOOKUP($B24,Hitters!$A1:$R401,7,FALSE)</f>
        <v>77.534444444444446</v>
      </c>
      <c r="Q24" s="31">
        <f>VLOOKUP($B24,Hitters!$A1:$R401,8,FALSE)</f>
        <v>30.301111111111112</v>
      </c>
      <c r="R24" s="152">
        <f>VLOOKUP($B24,Hitters!$A$1:$R$401,14,FALSE)</f>
        <v>0.25763618290258455</v>
      </c>
      <c r="S24" s="152">
        <f>VLOOKUP($B24,Hitters!$A$1:$R$401,15,FALSE)</f>
        <v>0.32793829501600119</v>
      </c>
      <c r="T24" s="154">
        <f>VLOOKUP($B24,Hitters!$A$1:$R$401,9,FALSE)</f>
        <v>143.99</v>
      </c>
      <c r="U24" s="154">
        <f>VLOOKUP($B24,Hitters!$A$1:$R$401,10,FALSE)</f>
        <v>32.466666666666669</v>
      </c>
      <c r="V24" s="154">
        <f>VLOOKUP($B24,Hitters!$A$1:$R$401,11,FALSE)</f>
        <v>2.9811111111111113</v>
      </c>
      <c r="W24" s="154">
        <f>VLOOKUP($B24,Hitters!$A$1:$R$401,12,FALSE)</f>
        <v>49.945555555555558</v>
      </c>
      <c r="X24" s="154">
        <f>VLOOKUP($B24,Hitters!$A$1:$R$401,13,FALSE)</f>
        <v>154.07888888888888</v>
      </c>
      <c r="Y24" s="152">
        <f>VLOOKUP($B24,Hitters!$A$1:$R$401,16,FALSE)</f>
        <v>0.43813518886679925</v>
      </c>
      <c r="Z24" s="152">
        <f>VLOOKUP($B24,Hitters!$A$1:$R$401,17,FALSE)</f>
        <v>0.7660734838828005</v>
      </c>
      <c r="AA24" s="31">
        <f>VLOOKUP($B24,Hitters!$A1:$R401,18,FALSE)</f>
        <v>0</v>
      </c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spans="1:44" ht="18.600000000000001" customHeight="1">
      <c r="A25" s="25">
        <f ca="1">RANK(I25,I$2:I$651)</f>
        <v>24</v>
      </c>
      <c r="B25" s="26" t="s">
        <v>102</v>
      </c>
      <c r="C25" s="27" t="s">
        <v>103</v>
      </c>
      <c r="D25" s="27" t="s">
        <v>69</v>
      </c>
      <c r="E25" s="34" t="s">
        <v>15</v>
      </c>
      <c r="F25" s="35">
        <f ca="1">VLOOKUP(B25,'3B'!A1:I55,IF(Settings!$J$13="points",4,7),FALSE)</f>
        <v>3</v>
      </c>
      <c r="G25" s="30">
        <f>(M25*Settings!$B$2)+(N25*Settings!$B$3)+(O25*Settings!$B$4)+(P25*Settings!$B$5)+(Q25*Settings!$B$6)+((T25-U25-V25-O25)*Settings!$B$9)+(U25*Settings!$B$10)+(V25*Settings!$B$11)+(W25*Settings!$B$12)+(X25*Settings!$B$13)+(AA25*Settings!$B$16)</f>
        <v>490.44166666666661</v>
      </c>
      <c r="H25" s="31">
        <f>VLOOKUP(B25,'Standard Deviations'!$A1:$D651,4,FALSE)</f>
        <v>7.738938138438896</v>
      </c>
      <c r="I25" s="32">
        <f ca="1">IF(Settings!$J$15="no",VLOOKUP(B25,'3B'!A1:I55,IF(Settings!$J$13="points",6,9),FALSE),VLOOKUP(B25,'1B+3B'!$A1:$I104,IF(Settings!$J$13="points",6,9),FALSE))</f>
        <v>7.5134574065515611</v>
      </c>
      <c r="J25" s="31"/>
      <c r="K25" s="31">
        <f ca="1">J25-A25</f>
        <v>-24</v>
      </c>
      <c r="L25" s="31"/>
      <c r="M25" s="31">
        <f>VLOOKUP($B25,Hitters!$A1:$R401,4,FALSE)</f>
        <v>582.93333333333328</v>
      </c>
      <c r="N25" s="31">
        <f>VLOOKUP($B25,Hitters!$A1:$R401,5,FALSE)</f>
        <v>92.64222222222223</v>
      </c>
      <c r="O25" s="31">
        <f>VLOOKUP($B25,Hitters!$A1:$R401,6,FALSE)</f>
        <v>31.291666666666668</v>
      </c>
      <c r="P25" s="31">
        <f>VLOOKUP($B25,Hitters!$A1:$R401,7,FALSE)</f>
        <v>97.386666666666656</v>
      </c>
      <c r="Q25" s="31">
        <f>VLOOKUP($B25,Hitters!$A1:$R401,8,FALSE)</f>
        <v>4.9255555555555555</v>
      </c>
      <c r="R25" s="152">
        <f>VLOOKUP($B25,Hitters!$A$1:$R$401,14,FALSE)</f>
        <v>0.28144823116803908</v>
      </c>
      <c r="S25" s="152">
        <f>VLOOKUP($B25,Hitters!$A$1:$R$401,15,FALSE)</f>
        <v>0.35155039304560642</v>
      </c>
      <c r="T25" s="154">
        <f>VLOOKUP($B25,Hitters!$A$1:$R$401,9,FALSE)</f>
        <v>164.06555555555556</v>
      </c>
      <c r="U25" s="154">
        <f>VLOOKUP($B25,Hitters!$A$1:$R$401,10,FALSE)</f>
        <v>37.047777777777775</v>
      </c>
      <c r="V25" s="154">
        <f>VLOOKUP($B25,Hitters!$A$1:$R$401,11,FALSE)</f>
        <v>1.9833333333333334</v>
      </c>
      <c r="W25" s="154">
        <f>VLOOKUP($B25,Hitters!$A$1:$R$401,12,FALSE)</f>
        <v>54.766666666666673</v>
      </c>
      <c r="X25" s="154">
        <f>VLOOKUP($B25,Hitters!$A$1:$R$401,13,FALSE)</f>
        <v>126.32</v>
      </c>
      <c r="Y25" s="152">
        <f>VLOOKUP($B25,Hitters!$A$1:$R$401,16,FALSE)</f>
        <v>0.51284595150960666</v>
      </c>
      <c r="Z25" s="152">
        <f>VLOOKUP($B25,Hitters!$A$1:$R$401,17,FALSE)</f>
        <v>0.86439634455521308</v>
      </c>
      <c r="AA25" s="31">
        <f>VLOOKUP($B25,Hitters!$A1:$R401,18,FALSE)</f>
        <v>0</v>
      </c>
      <c r="AB25" s="31"/>
      <c r="AC25" s="31"/>
      <c r="AD25" s="33"/>
      <c r="AE25" s="33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6" spans="1:44" ht="18.600000000000001" customHeight="1">
      <c r="A26" s="25">
        <f ca="1">RANK(I26,I$2:I$651)</f>
        <v>25</v>
      </c>
      <c r="B26" s="26" t="s">
        <v>83</v>
      </c>
      <c r="C26" s="27" t="s">
        <v>84</v>
      </c>
      <c r="D26" s="27" t="s">
        <v>69</v>
      </c>
      <c r="E26" s="44" t="s">
        <v>112</v>
      </c>
      <c r="F26" s="45">
        <f ca="1">VLOOKUP(B26,'1B'!A1:I63,IF(Settings!$J$13="points",4,7),FALSE)</f>
        <v>2</v>
      </c>
      <c r="G26" s="30">
        <f>(M26*Settings!$B$2)+(N26*Settings!$B$3)+(O26*Settings!$B$4)+(P26*Settings!$B$5)+(Q26*Settings!$B$6)+((T26-U26-V26-O26)*Settings!$B$9)+(U26*Settings!$B$10)+(V26*Settings!$B$11)+(W26*Settings!$B$12)+(X26*Settings!$B$13)+(AA26*Settings!$B$16)</f>
        <v>502.54555555555555</v>
      </c>
      <c r="H26" s="31">
        <f>VLOOKUP(B26,'Standard Deviations'!$A1:$D651,4,FALSE)</f>
        <v>9.2581037971964886</v>
      </c>
      <c r="I26" s="32">
        <f ca="1">VLOOKUP(B26,'1B'!A1:I63,IF(Settings!$J$13="points",6,9),FALSE)</f>
        <v>7.4659792831111451</v>
      </c>
      <c r="J26" s="31"/>
      <c r="K26" s="31">
        <f ca="1">J26-A26</f>
        <v>-25</v>
      </c>
      <c r="L26" s="31"/>
      <c r="M26" s="31">
        <f>VLOOKUP($B26,Hitters!$A1:$R401,4,FALSE)</f>
        <v>540.06666666666672</v>
      </c>
      <c r="N26" s="31">
        <f>VLOOKUP($B26,Hitters!$A1:$R401,5,FALSE)</f>
        <v>94.574444444444453</v>
      </c>
      <c r="O26" s="31">
        <f>VLOOKUP($B26,Hitters!$A1:$R401,6,FALSE)</f>
        <v>34.213333333333331</v>
      </c>
      <c r="P26" s="31">
        <f>VLOOKUP($B26,Hitters!$A1:$R401,7,FALSE)</f>
        <v>91.968333333333348</v>
      </c>
      <c r="Q26" s="31">
        <f>VLOOKUP($B26,Hitters!$A1:$R401,8,FALSE)</f>
        <v>20.004444444444445</v>
      </c>
      <c r="R26" s="152">
        <f>VLOOKUP($B26,Hitters!$A$1:$R$401,14,FALSE)</f>
        <v>0.26541990700736534</v>
      </c>
      <c r="S26" s="152">
        <f>VLOOKUP($B26,Hitters!$A$1:$R$401,15,FALSE)</f>
        <v>0.36109779960342447</v>
      </c>
      <c r="T26" s="154">
        <f>VLOOKUP($B26,Hitters!$A$1:$R$401,9,FALSE)</f>
        <v>143.34444444444446</v>
      </c>
      <c r="U26" s="154">
        <f>VLOOKUP($B26,Hitters!$A$1:$R$401,10,FALSE)</f>
        <v>27.008333333333336</v>
      </c>
      <c r="V26" s="154">
        <f>VLOOKUP($B26,Hitters!$A$1:$R$401,11,FALSE)</f>
        <v>4.6944444444444438</v>
      </c>
      <c r="W26" s="154">
        <f>VLOOKUP($B26,Hitters!$A$1:$R$401,12,FALSE)</f>
        <v>73.48</v>
      </c>
      <c r="X26" s="154">
        <f>VLOOKUP($B26,Hitters!$A$1:$R$401,13,FALSE)</f>
        <v>159.73555555555555</v>
      </c>
      <c r="Y26" s="152">
        <f>VLOOKUP($B26,Hitters!$A$1:$R$401,16,FALSE)</f>
        <v>0.5228644611776323</v>
      </c>
      <c r="Z26" s="152">
        <f>VLOOKUP($B26,Hitters!$A$1:$R$401,17,FALSE)</f>
        <v>0.88396226078105677</v>
      </c>
      <c r="AA26" s="31">
        <f>VLOOKUP($B26,Hitters!$A1:$R401,18,FALSE)</f>
        <v>0</v>
      </c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 spans="1:44" ht="18.600000000000001" customHeight="1">
      <c r="A27" s="25">
        <f ca="1">RANK(I27,I$2:I$651)</f>
        <v>26</v>
      </c>
      <c r="B27" s="26" t="s">
        <v>127</v>
      </c>
      <c r="C27" s="27" t="s">
        <v>95</v>
      </c>
      <c r="D27" s="27" t="s">
        <v>74</v>
      </c>
      <c r="E27" s="40" t="s">
        <v>7</v>
      </c>
      <c r="F27" s="41">
        <f ca="1">VLOOKUP(B27,'1B'!A1:I63,IF(Settings!$J$13="points",4,7),FALSE)</f>
        <v>4</v>
      </c>
      <c r="G27" s="30">
        <f>(M27*Settings!$B$2)+(N27*Settings!$B$3)+(O27*Settings!$B$4)+(P27*Settings!$B$5)+(Q27*Settings!$B$6)+((T27-U27-V27-O27)*Settings!$B$9)+(U27*Settings!$B$10)+(V27*Settings!$B$11)+(W27*Settings!$B$12)+(X27*Settings!$B$13)+(AA27*Settings!$B$16)</f>
        <v>493.17111111111109</v>
      </c>
      <c r="H27" s="31">
        <f>VLOOKUP(B27,'Standard Deviations'!$A1:$D651,4,FALSE)</f>
        <v>7.579447219945239</v>
      </c>
      <c r="I27" s="32">
        <f ca="1">IF(Settings!$J$15="no",VLOOKUP(B27,'1B'!A1:I63,IF(Settings!$J$13="points",6,9),FALSE),VLOOKUP(B27,'1B+3B'!$A1:$I104,IF(Settings!$J$13="points",6,9),FALSE))</f>
        <v>7.3539685572150795</v>
      </c>
      <c r="J27" s="31"/>
      <c r="K27" s="31">
        <f ca="1">J27-A27</f>
        <v>-26</v>
      </c>
      <c r="L27" s="31"/>
      <c r="M27" s="31">
        <f>VLOOKUP($B27,Hitters!$A1:$R401,4,FALSE)</f>
        <v>568.44444444444446</v>
      </c>
      <c r="N27" s="31">
        <f>VLOOKUP($B27,Hitters!$A1:$R401,5,FALSE)</f>
        <v>88.211666666666659</v>
      </c>
      <c r="O27" s="31">
        <f>VLOOKUP($B27,Hitters!$A1:$R401,6,FALSE)</f>
        <v>36.968888888888891</v>
      </c>
      <c r="P27" s="31">
        <f>VLOOKUP($B27,Hitters!$A1:$R401,7,FALSE)</f>
        <v>108.60888888888888</v>
      </c>
      <c r="Q27" s="31">
        <f>VLOOKUP($B27,Hitters!$A1:$R401,8,FALSE)</f>
        <v>3.9911111111111111</v>
      </c>
      <c r="R27" s="152">
        <f>VLOOKUP($B27,Hitters!$A$1:$R$401,14,FALSE)</f>
        <v>0.26133111806098513</v>
      </c>
      <c r="S27" s="152">
        <f>VLOOKUP($B27,Hitters!$A$1:$R$401,15,FALSE)</f>
        <v>0.34585826240835926</v>
      </c>
      <c r="T27" s="154">
        <f>VLOOKUP($B27,Hitters!$A$1:$R$401,9,FALSE)</f>
        <v>148.55222222222221</v>
      </c>
      <c r="U27" s="154">
        <f>VLOOKUP($B27,Hitters!$A$1:$R$401,10,FALSE)</f>
        <v>26.01</v>
      </c>
      <c r="V27" s="154">
        <f>VLOOKUP($B27,Hitters!$A$1:$R$401,11,FALSE)</f>
        <v>1.0016666666666667</v>
      </c>
      <c r="W27" s="154">
        <f>VLOOKUP($B27,Hitters!$A$1:$R$401,12,FALSE)</f>
        <v>65.25333333333333</v>
      </c>
      <c r="X27" s="154">
        <f>VLOOKUP($B27,Hitters!$A$1:$R$401,13,FALSE)</f>
        <v>128.71444444444444</v>
      </c>
      <c r="Y27" s="152">
        <f>VLOOKUP($B27,Hitters!$A$1:$R$401,16,FALSE)</f>
        <v>0.5057173573103988</v>
      </c>
      <c r="Z27" s="152">
        <f>VLOOKUP($B27,Hitters!$A$1:$R$401,17,FALSE)</f>
        <v>0.85157561971875806</v>
      </c>
      <c r="AA27" s="31">
        <f>VLOOKUP($B27,Hitters!$A1:$R401,18,FALSE)</f>
        <v>0</v>
      </c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 spans="1:44" ht="20.100000000000001" customHeight="1">
      <c r="A28" s="25">
        <f ca="1">RANK(I28,I$2:I$651)</f>
        <v>27</v>
      </c>
      <c r="B28" s="26" t="s">
        <v>110</v>
      </c>
      <c r="C28" s="27" t="s">
        <v>95</v>
      </c>
      <c r="D28" s="27" t="s">
        <v>74</v>
      </c>
      <c r="E28" s="36" t="s">
        <v>31</v>
      </c>
      <c r="F28" s="37">
        <f ca="1">VLOOKUP(B28,SP!A1:I161,IF(Settings!$J$13="points",4,7),FALSE)</f>
        <v>6</v>
      </c>
      <c r="G28" s="30">
        <f>(AC28*Settings!$F$2)+(AF28*Settings!$F$5)+(AG28*Settings!$F$6)+(AH28*Settings!$F$7)+(AI28*Settings!$F$8)+(AJ28*Settings!$F$9)+(AK28*Settings!$F$10)+(AL28*Settings!$F$11)+(AM28*Settings!$F$12)+(AN28*Settings!$F$13)+(AO28*Settings!$F$14)+(AP28*Settings!$F$15)+(AQ28*Settings!$F$16)+(AR28*Settings!$F$17)</f>
        <v>485.78444444444443</v>
      </c>
      <c r="H28" s="31">
        <f>VLOOKUP(B28,'Standard Deviations'!$A1:$D651,4,FALSE)</f>
        <v>6.4652290851847498</v>
      </c>
      <c r="I28" s="32">
        <f ca="1">IF(Settings!$J$16="no",VLOOKUP(B28,SP!A1:I161,IF(Settings!$J$13="points",6,9),FALSE),VLOOKUP(B28,'SP+RP'!$A1:$I251,IF(Settings!$J$13="points",6,9),FALSE))</f>
        <v>7.3328126836733309</v>
      </c>
      <c r="J28" s="31"/>
      <c r="K28" s="31">
        <f ca="1">J28-A28</f>
        <v>-27</v>
      </c>
      <c r="L28" s="31"/>
      <c r="M28" s="31"/>
      <c r="N28" s="31"/>
      <c r="O28" s="31"/>
      <c r="P28" s="31"/>
      <c r="Q28" s="31"/>
      <c r="R28" s="152"/>
      <c r="S28" s="152"/>
      <c r="T28" s="154"/>
      <c r="U28" s="154"/>
      <c r="V28" s="154"/>
      <c r="W28" s="154"/>
      <c r="X28" s="154"/>
      <c r="Y28" s="152"/>
      <c r="Z28" s="152"/>
      <c r="AA28" s="31"/>
      <c r="AB28" s="31"/>
      <c r="AC28" s="31">
        <f>VLOOKUP($B28,Pitchers!$A1:$S251,4,FALSE)</f>
        <v>169.99555555555557</v>
      </c>
      <c r="AD28" s="33">
        <f>VLOOKUP($B28,Pitchers!$A1:$S251,5,FALSE)</f>
        <v>3.1311406834165596</v>
      </c>
      <c r="AE28" s="33">
        <f>VLOOKUP($B28,Pitchers!$A1:$S251,6,FALSE)</f>
        <v>1.0319158670814923</v>
      </c>
      <c r="AF28" s="31">
        <f>VLOOKUP($B28,Pitchers!$A1:$S251,7,FALSE)</f>
        <v>202.80222222222221</v>
      </c>
      <c r="AG28" s="31">
        <f>VLOOKUP($B28,Pitchers!$A1:$S251,8,FALSE)</f>
        <v>11.985555555555555</v>
      </c>
      <c r="AH28" s="31">
        <f>VLOOKUP($B28,Pitchers!$A1:$S251,9,FALSE)</f>
        <v>0</v>
      </c>
      <c r="AI28" s="31">
        <f>VLOOKUP($B28,Pitchers!$A1:$S251,10,FALSE)</f>
        <v>59.142222222222223</v>
      </c>
      <c r="AJ28" s="31">
        <f>VLOOKUP($B28,Pitchers!$A1:$S251,11,FALSE)</f>
        <v>137.82222222222222</v>
      </c>
      <c r="AK28" s="31">
        <f>VLOOKUP($B28,Pitchers!$A1:$S251,12,FALSE)</f>
        <v>37.598888888888887</v>
      </c>
      <c r="AL28" s="31">
        <f>VLOOKUP($B28,Pitchers!$A1:$S251,13,FALSE)</f>
        <v>21.133333333333333</v>
      </c>
      <c r="AM28" s="31">
        <f>VLOOKUP($B28,Pitchers!$A1:$S251,14,FALSE)</f>
        <v>28.072222222222223</v>
      </c>
      <c r="AN28" s="31">
        <f>VLOOKUP($B28,Pitchers!$A1:$S251,15,FALSE)</f>
        <v>28.072222222222223</v>
      </c>
      <c r="AO28" s="31">
        <f>VLOOKUP($B28,Pitchers!$A1:$S251,16,FALSE)</f>
        <v>6.9877777777777768</v>
      </c>
      <c r="AP28" s="31">
        <f>VLOOKUP($B28,Pitchers!$A1:$S251,17,FALSE)</f>
        <v>20</v>
      </c>
      <c r="AQ28" s="31">
        <f>VLOOKUP($B28,Pitchers!$A1:$S251,18,FALSE)</f>
        <v>0</v>
      </c>
      <c r="AR28" s="31">
        <f>VLOOKUP($B28,Pitchers!$A1:$S251,19,FALSE)</f>
        <v>0</v>
      </c>
    </row>
    <row r="29" spans="1:44" ht="18.600000000000001" customHeight="1">
      <c r="A29" s="25">
        <f ca="1">RANK(I29,I$2:I$651)</f>
        <v>28</v>
      </c>
      <c r="B29" s="26" t="s">
        <v>745</v>
      </c>
      <c r="C29" s="27" t="s">
        <v>84</v>
      </c>
      <c r="D29" s="27" t="s">
        <v>69</v>
      </c>
      <c r="E29" s="36" t="s">
        <v>31</v>
      </c>
      <c r="F29" s="37">
        <f ca="1">VLOOKUP(B29,SP!A1:I161,IF(Settings!$J$13="points",4,7),FALSE)</f>
        <v>7</v>
      </c>
      <c r="G29" s="30">
        <f>(AC29*Settings!$F$2)+(AF29*Settings!$F$5)+(AG29*Settings!$F$6)+(AH29*Settings!$F$7)+(AI29*Settings!$F$8)+(AJ29*Settings!$F$9)+(AK29*Settings!$F$10)+(AL29*Settings!$F$11)+(AM29*Settings!$F$12)+(AN29*Settings!$F$13)+(AO29*Settings!$F$14)+(AP29*Settings!$F$15)+(AQ29*Settings!$F$16)+(AR29*Settings!$F$17)</f>
        <v>469.69499999999988</v>
      </c>
      <c r="H29" s="31">
        <f>VLOOKUP(B29,'Standard Deviations'!$A1:$D651,4,FALSE)</f>
        <v>6.3638067353409706</v>
      </c>
      <c r="I29" s="32">
        <f ca="1">IF(Settings!$J$16="no",VLOOKUP(B29,SP!A1:I161,IF(Settings!$J$13="points",6,9),FALSE),VLOOKUP(B29,'SP+RP'!$A1:$I251,IF(Settings!$J$13="points",6,9),FALSE))</f>
        <v>7.2313827308740937</v>
      </c>
      <c r="J29" s="31"/>
      <c r="K29" s="31">
        <f ca="1">J29-A29</f>
        <v>-28</v>
      </c>
      <c r="L29" s="31"/>
      <c r="M29" s="31"/>
      <c r="N29" s="31"/>
      <c r="O29" s="31"/>
      <c r="P29" s="31"/>
      <c r="Q29" s="31"/>
      <c r="R29" s="152"/>
      <c r="S29" s="152"/>
      <c r="T29" s="154"/>
      <c r="U29" s="154"/>
      <c r="V29" s="154"/>
      <c r="W29" s="154"/>
      <c r="X29" s="154"/>
      <c r="Y29" s="152"/>
      <c r="Z29" s="152"/>
      <c r="AA29" s="31"/>
      <c r="AB29" s="31"/>
      <c r="AC29" s="31">
        <f>VLOOKUP($B29,Pitchers!$A1:$S251,4,FALSE)</f>
        <v>166.97</v>
      </c>
      <c r="AD29" s="33">
        <f>VLOOKUP($B29,Pitchers!$A1:$S251,5,FALSE)</f>
        <v>3.0672875366832364</v>
      </c>
      <c r="AE29" s="33">
        <f>VLOOKUP($B29,Pitchers!$A1:$S251,6,FALSE)</f>
        <v>1.0781777165558684</v>
      </c>
      <c r="AF29" s="31">
        <f>VLOOKUP($B29,Pitchers!$A1:$S251,7,FALSE)</f>
        <v>206.10666666666665</v>
      </c>
      <c r="AG29" s="31">
        <f>VLOOKUP($B29,Pitchers!$A1:$S251,8,FALSE)</f>
        <v>12.646666666666667</v>
      </c>
      <c r="AH29" s="31">
        <f>VLOOKUP($B29,Pitchers!$A1:$S251,9,FALSE)</f>
        <v>0</v>
      </c>
      <c r="AI29" s="31">
        <f>VLOOKUP($B29,Pitchers!$A1:$S251,10,FALSE)</f>
        <v>56.905000000000001</v>
      </c>
      <c r="AJ29" s="31">
        <f>VLOOKUP($B29,Pitchers!$A1:$S251,11,FALSE)</f>
        <v>130.32833333333335</v>
      </c>
      <c r="AK29" s="31">
        <f>VLOOKUP($B29,Pitchers!$A1:$S251,12,FALSE)</f>
        <v>49.695</v>
      </c>
      <c r="AL29" s="31">
        <f>VLOOKUP($B29,Pitchers!$A1:$S251,13,FALSE)</f>
        <v>17.3</v>
      </c>
      <c r="AM29" s="31">
        <f>VLOOKUP($B29,Pitchers!$A1:$S251,14,FALSE)</f>
        <v>33.024999999999999</v>
      </c>
      <c r="AN29" s="31">
        <f>VLOOKUP($B29,Pitchers!$A1:$S251,15,FALSE)</f>
        <v>28.641666666666666</v>
      </c>
      <c r="AO29" s="31">
        <f>VLOOKUP($B29,Pitchers!$A1:$S251,16,FALSE)</f>
        <v>7.9733333333333336</v>
      </c>
      <c r="AP29" s="31">
        <f>VLOOKUP($B29,Pitchers!$A1:$S251,17,FALSE)</f>
        <v>18</v>
      </c>
      <c r="AQ29" s="31">
        <f>VLOOKUP($B29,Pitchers!$A1:$S251,18,FALSE)</f>
        <v>0</v>
      </c>
      <c r="AR29" s="31">
        <f>VLOOKUP($B29,Pitchers!$A1:$S251,19,FALSE)</f>
        <v>0</v>
      </c>
    </row>
    <row r="30" spans="1:44" ht="18.600000000000001" customHeight="1">
      <c r="A30" s="25">
        <f ca="1">RANK(I30,I$2:I$651)</f>
        <v>29</v>
      </c>
      <c r="B30" s="26" t="s">
        <v>132</v>
      </c>
      <c r="C30" s="27" t="s">
        <v>123</v>
      </c>
      <c r="D30" s="27" t="s">
        <v>74</v>
      </c>
      <c r="E30" s="40" t="s">
        <v>7</v>
      </c>
      <c r="F30" s="41">
        <f ca="1">VLOOKUP(B30,'1B'!A1:I63,IF(Settings!$J$13="points",4,7),FALSE)</f>
        <v>5</v>
      </c>
      <c r="G30" s="30">
        <f>(M30*Settings!$B$2)+(N30*Settings!$B$3)+(O30*Settings!$B$4)+(P30*Settings!$B$5)+(Q30*Settings!$B$6)+((T30-U30-V30-O30)*Settings!$B$9)+(U30*Settings!$B$10)+(V30*Settings!$B$11)+(W30*Settings!$B$12)+(X30*Settings!$B$13)+(AA30*Settings!$B$16)</f>
        <v>484.0622222222222</v>
      </c>
      <c r="H30" s="31">
        <f>VLOOKUP(B30,'Standard Deviations'!$A1:$D651,4,FALSE)</f>
        <v>7.4552435028087096</v>
      </c>
      <c r="I30" s="32">
        <f ca="1">IF(Settings!$J$15="no",VLOOKUP(B30,'1B'!A1:I63,IF(Settings!$J$13="points",6,9),FALSE),VLOOKUP(B30,'1B+3B'!$A1:$I104,IF(Settings!$J$13="points",6,9),FALSE))</f>
        <v>7.2297677832127052</v>
      </c>
      <c r="J30" s="31"/>
      <c r="K30" s="31">
        <f ca="1">J30-A30</f>
        <v>-29</v>
      </c>
      <c r="L30" s="31"/>
      <c r="M30" s="31">
        <f>VLOOKUP($B30,Hitters!$A1:$R401,4,FALSE)</f>
        <v>569.6111111111112</v>
      </c>
      <c r="N30" s="31">
        <f>VLOOKUP($B30,Hitters!$A1:$R401,5,FALSE)</f>
        <v>93.213333333333324</v>
      </c>
      <c r="O30" s="31">
        <f>VLOOKUP($B30,Hitters!$A1:$R401,6,FALSE)</f>
        <v>29.11333333333333</v>
      </c>
      <c r="P30" s="31">
        <f>VLOOKUP($B30,Hitters!$A1:$R401,7,FALSE)</f>
        <v>95.197777777777787</v>
      </c>
      <c r="Q30" s="31">
        <f>VLOOKUP($B30,Hitters!$A1:$R401,8,FALSE)</f>
        <v>7.3144444444444447</v>
      </c>
      <c r="R30" s="152">
        <f>VLOOKUP($B30,Hitters!$A$1:$R$401,14,FALSE)</f>
        <v>0.2761435677362723</v>
      </c>
      <c r="S30" s="152">
        <f>VLOOKUP($B30,Hitters!$A$1:$R$401,15,FALSE)</f>
        <v>0.36607246384641629</v>
      </c>
      <c r="T30" s="154">
        <f>VLOOKUP($B30,Hitters!$A$1:$R$401,9,FALSE)</f>
        <v>157.29444444444445</v>
      </c>
      <c r="U30" s="154">
        <f>VLOOKUP($B30,Hitters!$A$1:$R$401,10,FALSE)</f>
        <v>31.27888888888889</v>
      </c>
      <c r="V30" s="154">
        <f>VLOOKUP($B30,Hitters!$A$1:$R$401,11,FALSE)</f>
        <v>0.99777777777777776</v>
      </c>
      <c r="W30" s="154">
        <f>VLOOKUP($B30,Hitters!$A$1:$R$401,12,FALSE)</f>
        <v>73.143333333333331</v>
      </c>
      <c r="X30" s="154">
        <f>VLOOKUP($B30,Hitters!$A$1:$R$401,13,FALSE)</f>
        <v>140.06</v>
      </c>
      <c r="Y30" s="152">
        <f>VLOOKUP($B30,Hitters!$A$1:$R$401,16,FALSE)</f>
        <v>0.48789232419779571</v>
      </c>
      <c r="Z30" s="152">
        <f>VLOOKUP($B30,Hitters!$A$1:$R$401,17,FALSE)</f>
        <v>0.85396478804421205</v>
      </c>
      <c r="AA30" s="31">
        <f>VLOOKUP($B30,Hitters!$A1:$R401,18,FALSE)</f>
        <v>0</v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spans="1:44" ht="18.600000000000001" customHeight="1">
      <c r="A31" s="25">
        <f ca="1">RANK(I31,I$2:I$651)</f>
        <v>30</v>
      </c>
      <c r="B31" s="26" t="s">
        <v>87</v>
      </c>
      <c r="C31" s="27" t="s">
        <v>73</v>
      </c>
      <c r="D31" s="27" t="s">
        <v>74</v>
      </c>
      <c r="E31" s="28" t="s">
        <v>23</v>
      </c>
      <c r="F31" s="29">
        <f ca="1">VLOOKUP(B31,OF!A1:I139,IF(Settings!$J$13="points",4,7),FALSE)</f>
        <v>10</v>
      </c>
      <c r="G31" s="30">
        <f>(M31*Settings!$B$2)+(N31*Settings!$B$3)+(O31*Settings!$B$4)+(P31*Settings!$B$5)+(Q31*Settings!$B$6)+((T31-U31-V31-O31)*Settings!$B$9)+(U31*Settings!$B$10)+(V31*Settings!$B$11)+(W31*Settings!$B$12)+(X31*Settings!$B$13)+(AA31*Settings!$B$16)</f>
        <v>423.75777777777779</v>
      </c>
      <c r="H31" s="31">
        <f>VLOOKUP(B31,'Standard Deviations'!$A1:$D651,4,FALSE)</f>
        <v>7.0725053513588474</v>
      </c>
      <c r="I31" s="32">
        <f ca="1">VLOOKUP(B31,OF!A1:I139,IF(Settings!$J$13="points",6,9),FALSE)</f>
        <v>7.2294352559080011</v>
      </c>
      <c r="J31" s="31"/>
      <c r="K31" s="31">
        <f ca="1">J31-A31</f>
        <v>-30</v>
      </c>
      <c r="L31" s="31"/>
      <c r="M31" s="31">
        <f>VLOOKUP($B31,Hitters!$A1:$R401,4,FALSE)</f>
        <v>546.61666666666667</v>
      </c>
      <c r="N31" s="31">
        <f>VLOOKUP($B31,Hitters!$A1:$R401,5,FALSE)</f>
        <v>82.373333333333335</v>
      </c>
      <c r="O31" s="31">
        <f>VLOOKUP($B31,Hitters!$A1:$R401,6,FALSE)</f>
        <v>19.105</v>
      </c>
      <c r="P31" s="31">
        <f>VLOOKUP($B31,Hitters!$A1:$R401,7,FALSE)</f>
        <v>77.384444444444441</v>
      </c>
      <c r="Q31" s="31">
        <f>VLOOKUP($B31,Hitters!$A1:$R401,8,FALSE)</f>
        <v>23.040000000000003</v>
      </c>
      <c r="R31" s="152">
        <f>VLOOKUP($B31,Hitters!$A$1:$R$401,14,FALSE)</f>
        <v>0.27501905662103243</v>
      </c>
      <c r="S31" s="152">
        <f>VLOOKUP($B31,Hitters!$A$1:$R$401,15,FALSE)</f>
        <v>0.3291444341039127</v>
      </c>
      <c r="T31" s="154">
        <f>VLOOKUP($B31,Hitters!$A$1:$R$401,9,FALSE)</f>
        <v>150.33000000000001</v>
      </c>
      <c r="U31" s="154">
        <f>VLOOKUP($B31,Hitters!$A$1:$R$401,10,FALSE)</f>
        <v>33.271666666666668</v>
      </c>
      <c r="V31" s="154">
        <f>VLOOKUP($B31,Hitters!$A$1:$R$401,11,FALSE)</f>
        <v>3.9822222222222226</v>
      </c>
      <c r="W31" s="154">
        <f>VLOOKUP($B31,Hitters!$A$1:$R$401,12,FALSE)</f>
        <v>35.800000000000004</v>
      </c>
      <c r="X31" s="154">
        <f>VLOOKUP($B31,Hitters!$A$1:$R$401,13,FALSE)</f>
        <v>133.52222222222221</v>
      </c>
      <c r="Y31" s="152">
        <f>VLOOKUP($B31,Hitters!$A$1:$R$401,16,FALSE)</f>
        <v>0.45531196959071463</v>
      </c>
      <c r="Z31" s="152">
        <f>VLOOKUP($B31,Hitters!$A$1:$R$401,17,FALSE)</f>
        <v>0.78445640369462732</v>
      </c>
      <c r="AA31" s="31">
        <f>VLOOKUP($B31,Hitters!$A1:$R401,18,FALSE)</f>
        <v>0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spans="1:44" ht="18.600000000000001" customHeight="1">
      <c r="A32" s="25">
        <f ca="1">RANK(I32,I$2:I$651)</f>
        <v>31</v>
      </c>
      <c r="B32" s="26" t="s">
        <v>104</v>
      </c>
      <c r="C32" s="27" t="s">
        <v>68</v>
      </c>
      <c r="D32" s="27" t="s">
        <v>69</v>
      </c>
      <c r="E32" s="36" t="s">
        <v>31</v>
      </c>
      <c r="F32" s="37">
        <f ca="1">VLOOKUP(B32,SP!A1:I161,IF(Settings!$J$13="points",4,7),FALSE)</f>
        <v>8</v>
      </c>
      <c r="G32" s="30">
        <f>(AC32*Settings!$F$2)+(AF32*Settings!$F$5)+(AG32*Settings!$F$6)+(AH32*Settings!$F$7)+(AI32*Settings!$F$8)+(AJ32*Settings!$F$9)+(AK32*Settings!$F$10)+(AL32*Settings!$F$11)+(AM32*Settings!$F$12)+(AN32*Settings!$F$13)+(AO32*Settings!$F$14)+(AP32*Settings!$F$15)+(AQ32*Settings!$F$16)+(AR32*Settings!$F$17)</f>
        <v>430.50844444444431</v>
      </c>
      <c r="H32" s="31">
        <f>VLOOKUP(B32,'Standard Deviations'!$A1:$D651,4,FALSE)</f>
        <v>6.325478499601596</v>
      </c>
      <c r="I32" s="32">
        <f ca="1">IF(Settings!$J$16="no",VLOOKUP(B32,SP!A1:I161,IF(Settings!$J$13="points",6,9),FALSE),VLOOKUP(B32,'SP+RP'!$A1:$I251,IF(Settings!$J$13="points",6,9),FALSE))</f>
        <v>7.1930593383398733</v>
      </c>
      <c r="J32" s="31"/>
      <c r="K32" s="31">
        <f ca="1">J32-A32</f>
        <v>-31</v>
      </c>
      <c r="L32" s="31"/>
      <c r="M32" s="31"/>
      <c r="N32" s="31"/>
      <c r="O32" s="31"/>
      <c r="P32" s="31"/>
      <c r="Q32" s="31"/>
      <c r="R32" s="152"/>
      <c r="S32" s="152"/>
      <c r="T32" s="154"/>
      <c r="U32" s="154"/>
      <c r="V32" s="154"/>
      <c r="W32" s="154"/>
      <c r="X32" s="154"/>
      <c r="Y32" s="152"/>
      <c r="Z32" s="152"/>
      <c r="AA32" s="31"/>
      <c r="AB32" s="31"/>
      <c r="AC32" s="31">
        <f>VLOOKUP($B32,Pitchers!$A1:$S251,4,FALSE)</f>
        <v>148.22333333333333</v>
      </c>
      <c r="AD32" s="33">
        <f>VLOOKUP($B32,Pitchers!$A1:$S251,5,FALSE)</f>
        <v>3.0059774664357839</v>
      </c>
      <c r="AE32" s="33">
        <f>VLOOKUP($B32,Pitchers!$A1:$S251,6,FALSE)</f>
        <v>1.0249818217254745</v>
      </c>
      <c r="AF32" s="31">
        <f>VLOOKUP($B32,Pitchers!$A1:$S251,7,FALSE)</f>
        <v>187.77733333333333</v>
      </c>
      <c r="AG32" s="31">
        <f>VLOOKUP($B32,Pitchers!$A1:$S251,8,FALSE)</f>
        <v>11.36</v>
      </c>
      <c r="AH32" s="31">
        <f>VLOOKUP($B32,Pitchers!$A1:$S251,9,FALSE)</f>
        <v>0</v>
      </c>
      <c r="AI32" s="31">
        <f>VLOOKUP($B32,Pitchers!$A1:$S251,10,FALSE)</f>
        <v>49.50622222222222</v>
      </c>
      <c r="AJ32" s="31">
        <f>VLOOKUP($B32,Pitchers!$A1:$S251,11,FALSE)</f>
        <v>109.69733333333333</v>
      </c>
      <c r="AK32" s="31">
        <f>VLOOKUP($B32,Pitchers!$A1:$S251,12,FALSE)</f>
        <v>42.228888888888889</v>
      </c>
      <c r="AL32" s="31">
        <f>VLOOKUP($B32,Pitchers!$A1:$S251,13,FALSE)</f>
        <v>15.12</v>
      </c>
      <c r="AM32" s="31">
        <f>VLOOKUP($B32,Pitchers!$A1:$S251,14,FALSE)</f>
        <v>25.602666666666668</v>
      </c>
      <c r="AN32" s="31">
        <f>VLOOKUP($B32,Pitchers!$A1:$S251,15,FALSE)</f>
        <v>25.575999999999997</v>
      </c>
      <c r="AO32" s="31">
        <f>VLOOKUP($B32,Pitchers!$A1:$S251,16,FALSE)</f>
        <v>6.3475555555555561</v>
      </c>
      <c r="AP32" s="31">
        <f>VLOOKUP($B32,Pitchers!$A1:$S251,17,FALSE)</f>
        <v>15.200000000000001</v>
      </c>
      <c r="AQ32" s="31">
        <f>VLOOKUP($B32,Pitchers!$A1:$S251,18,FALSE)</f>
        <v>0</v>
      </c>
      <c r="AR32" s="31">
        <f>VLOOKUP($B32,Pitchers!$A1:$S251,19,FALSE)</f>
        <v>0</v>
      </c>
    </row>
    <row r="33" spans="1:44" ht="18.600000000000001" customHeight="1">
      <c r="A33" s="25">
        <f ca="1">RANK(I33,I$2:I$651)</f>
        <v>32</v>
      </c>
      <c r="B33" s="26" t="s">
        <v>98</v>
      </c>
      <c r="C33" s="27" t="s">
        <v>99</v>
      </c>
      <c r="D33" s="27" t="s">
        <v>69</v>
      </c>
      <c r="E33" s="28" t="s">
        <v>23</v>
      </c>
      <c r="F33" s="29">
        <f ca="1">VLOOKUP(B33,OF!A1:I139,IF(Settings!$J$13="points",4,7),FALSE)</f>
        <v>11</v>
      </c>
      <c r="G33" s="30">
        <f>(M33*Settings!$B$2)+(N33*Settings!$B$3)+(O33*Settings!$B$4)+(P33*Settings!$B$5)+(Q33*Settings!$B$6)+((T33-U33-V33-O33)*Settings!$B$9)+(U33*Settings!$B$10)+(V33*Settings!$B$11)+(W33*Settings!$B$12)+(X33*Settings!$B$13)+(AA33*Settings!$B$16)</f>
        <v>446.12222222222215</v>
      </c>
      <c r="H33" s="31">
        <f>VLOOKUP(B33,'Standard Deviations'!$A1:$D651,4,FALSE)</f>
        <v>7.0213802351752683</v>
      </c>
      <c r="I33" s="32">
        <f ca="1">VLOOKUP(B33,OF!A1:I139,IF(Settings!$J$13="points",6,9),FALSE)</f>
        <v>7.1783145786268321</v>
      </c>
      <c r="J33" s="31"/>
      <c r="K33" s="31">
        <f ca="1">J33-A33</f>
        <v>-32</v>
      </c>
      <c r="L33" s="31"/>
      <c r="M33" s="31">
        <f>VLOOKUP($B33,Hitters!$A1:$R401,4,FALSE)</f>
        <v>578.62222222222215</v>
      </c>
      <c r="N33" s="31">
        <f>VLOOKUP($B33,Hitters!$A1:$R401,5,FALSE)</f>
        <v>85.883333333333326</v>
      </c>
      <c r="O33" s="31">
        <f>VLOOKUP($B33,Hitters!$A1:$R401,6,FALSE)</f>
        <v>18.364444444444445</v>
      </c>
      <c r="P33" s="31">
        <f>VLOOKUP($B33,Hitters!$A1:$R401,7,FALSE)</f>
        <v>63.31111111111111</v>
      </c>
      <c r="Q33" s="31">
        <f>VLOOKUP($B33,Hitters!$A1:$R401,8,FALSE)</f>
        <v>33.607777777777777</v>
      </c>
      <c r="R33" s="152">
        <f>VLOOKUP($B33,Hitters!$A$1:$R$401,14,FALSE)</f>
        <v>0.25624087871572321</v>
      </c>
      <c r="S33" s="152">
        <f>VLOOKUP($B33,Hitters!$A$1:$R$401,15,FALSE)</f>
        <v>0.3230479311813258</v>
      </c>
      <c r="T33" s="154">
        <f>VLOOKUP($B33,Hitters!$A$1:$R$401,9,FALSE)</f>
        <v>148.26666666666668</v>
      </c>
      <c r="U33" s="154">
        <f>VLOOKUP($B33,Hitters!$A$1:$R$401,10,FALSE)</f>
        <v>30.377777777777776</v>
      </c>
      <c r="V33" s="154">
        <f>VLOOKUP($B33,Hitters!$A$1:$R$401,11,FALSE)</f>
        <v>4.0083333333333337</v>
      </c>
      <c r="W33" s="154">
        <f>VLOOKUP($B33,Hitters!$A$1:$R$401,12,FALSE)</f>
        <v>48.16</v>
      </c>
      <c r="X33" s="154">
        <f>VLOOKUP($B33,Hitters!$A$1:$R$401,13,FALSE)</f>
        <v>120.40444444444444</v>
      </c>
      <c r="Y33" s="152">
        <f>VLOOKUP($B33,Hitters!$A$1:$R$401,16,FALSE)</f>
        <v>0.41781050771948697</v>
      </c>
      <c r="Z33" s="152">
        <f>VLOOKUP($B33,Hitters!$A$1:$R$401,17,FALSE)</f>
        <v>0.74085843890081282</v>
      </c>
      <c r="AA33" s="31">
        <f>VLOOKUP($B33,Hitters!$A1:$R401,18,FALSE)</f>
        <v>0</v>
      </c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spans="1:44" ht="18.600000000000001" customHeight="1">
      <c r="A34" s="25">
        <f ca="1">RANK(I34,I$2:I$651)</f>
        <v>33</v>
      </c>
      <c r="B34" s="26" t="s">
        <v>121</v>
      </c>
      <c r="C34" s="27" t="s">
        <v>91</v>
      </c>
      <c r="D34" s="27" t="s">
        <v>74</v>
      </c>
      <c r="E34" s="36" t="s">
        <v>31</v>
      </c>
      <c r="F34" s="37">
        <f ca="1">VLOOKUP(B34,SP!A1:I161,IF(Settings!$J$13="points",4,7),FALSE)</f>
        <v>9</v>
      </c>
      <c r="G34" s="30">
        <f>(AC34*Settings!$F$2)+(AF34*Settings!$F$5)+(AG34*Settings!$F$6)+(AH34*Settings!$F$7)+(AI34*Settings!$F$8)+(AJ34*Settings!$F$9)+(AK34*Settings!$F$10)+(AL34*Settings!$F$11)+(AM34*Settings!$F$12)+(AN34*Settings!$F$13)+(AO34*Settings!$F$14)+(AP34*Settings!$F$15)+(AQ34*Settings!$F$16)+(AR34*Settings!$F$17)</f>
        <v>530.48388888888894</v>
      </c>
      <c r="H34" s="31">
        <f>VLOOKUP(B34,'Standard Deviations'!$A1:$D651,4,FALSE)</f>
        <v>6.2381041552868828</v>
      </c>
      <c r="I34" s="32">
        <f ca="1">IF(Settings!$J$16="no",VLOOKUP(B34,SP!A1:I161,IF(Settings!$J$13="points",6,9),FALSE),VLOOKUP(B34,'SP+RP'!$A1:$I251,IF(Settings!$J$13="points",6,9),FALSE))</f>
        <v>7.1056820695755709</v>
      </c>
      <c r="J34" s="31"/>
      <c r="K34" s="31">
        <f ca="1">J34-A34</f>
        <v>-33</v>
      </c>
      <c r="L34" s="31"/>
      <c r="M34" s="31"/>
      <c r="N34" s="31"/>
      <c r="O34" s="31"/>
      <c r="P34" s="31"/>
      <c r="Q34" s="31"/>
      <c r="R34" s="152"/>
      <c r="S34" s="152"/>
      <c r="T34" s="154"/>
      <c r="U34" s="154"/>
      <c r="V34" s="154"/>
      <c r="W34" s="154"/>
      <c r="X34" s="154"/>
      <c r="Y34" s="152"/>
      <c r="Z34" s="152"/>
      <c r="AA34" s="31"/>
      <c r="AB34" s="31"/>
      <c r="AC34" s="31">
        <f>VLOOKUP($B34,Pitchers!$A1:$S251,4,FALSE)</f>
        <v>195.86333333333334</v>
      </c>
      <c r="AD34" s="33">
        <f>VLOOKUP($B34,Pitchers!$A1:$S251,5,FALSE)</f>
        <v>3.4112561479943495</v>
      </c>
      <c r="AE34" s="33">
        <f>VLOOKUP($B34,Pitchers!$A1:$S251,6,FALSE)</f>
        <v>1.0673372022441951</v>
      </c>
      <c r="AF34" s="31">
        <f>VLOOKUP($B34,Pitchers!$A1:$S251,7,FALSE)</f>
        <v>217.03666666666666</v>
      </c>
      <c r="AG34" s="31">
        <f>VLOOKUP($B34,Pitchers!$A1:$S251,8,FALSE)</f>
        <v>13.691111111111113</v>
      </c>
      <c r="AH34" s="31">
        <f>VLOOKUP($B34,Pitchers!$A1:$S251,9,FALSE)</f>
        <v>0</v>
      </c>
      <c r="AI34" s="31">
        <f>VLOOKUP($B34,Pitchers!$A1:$S251,10,FALSE)</f>
        <v>74.237777777777779</v>
      </c>
      <c r="AJ34" s="31">
        <f>VLOOKUP($B34,Pitchers!$A1:$S251,11,FALSE)</f>
        <v>168.81222222222223</v>
      </c>
      <c r="AK34" s="31">
        <f>VLOOKUP($B34,Pitchers!$A1:$S251,12,FALSE)</f>
        <v>40.24</v>
      </c>
      <c r="AL34" s="31">
        <f>VLOOKUP($B34,Pitchers!$A1:$S251,13,FALSE)</f>
        <v>23.066666666666666</v>
      </c>
      <c r="AM34" s="31">
        <f>VLOOKUP($B34,Pitchers!$A1:$S251,14,FALSE)</f>
        <v>31.03</v>
      </c>
      <c r="AN34" s="31">
        <f>VLOOKUP($B34,Pitchers!$A1:$S251,15,FALSE)</f>
        <v>31.03</v>
      </c>
      <c r="AO34" s="31">
        <f>VLOOKUP($B34,Pitchers!$A1:$S251,16,FALSE)</f>
        <v>9.0144444444444449</v>
      </c>
      <c r="AP34" s="31">
        <f>VLOOKUP($B34,Pitchers!$A1:$S251,17,FALSE)</f>
        <v>22.3</v>
      </c>
      <c r="AQ34" s="31">
        <f>VLOOKUP($B34,Pitchers!$A1:$S251,18,FALSE)</f>
        <v>0</v>
      </c>
      <c r="AR34" s="31">
        <f>VLOOKUP($B34,Pitchers!$A1:$S251,19,FALSE)</f>
        <v>0</v>
      </c>
    </row>
    <row r="35" spans="1:44" ht="18.600000000000001" customHeight="1">
      <c r="A35" s="25">
        <f ca="1">RANK(I35,I$2:I$651)</f>
        <v>34</v>
      </c>
      <c r="B35" s="26" t="s">
        <v>106</v>
      </c>
      <c r="C35" s="27" t="s">
        <v>73</v>
      </c>
      <c r="D35" s="27" t="s">
        <v>74</v>
      </c>
      <c r="E35" s="34" t="s">
        <v>15</v>
      </c>
      <c r="F35" s="35">
        <f ca="1">VLOOKUP(B35,'3B'!A1:I55,IF(Settings!$J$13="points",4,7),FALSE)</f>
        <v>4</v>
      </c>
      <c r="G35" s="30">
        <f>(M35*Settings!$B$2)+(N35*Settings!$B$3)+(O35*Settings!$B$4)+(P35*Settings!$B$5)+(Q35*Settings!$B$6)+((T35-U35-V35-O35)*Settings!$B$9)+(U35*Settings!$B$10)+(V35*Settings!$B$11)+(W35*Settings!$B$12)+(X35*Settings!$B$13)+(AA35*Settings!$B$16)</f>
        <v>462.80166666666656</v>
      </c>
      <c r="H35" s="31">
        <f>VLOOKUP(B35,'Standard Deviations'!$A1:$D651,4,FALSE)</f>
        <v>7.057536978983082</v>
      </c>
      <c r="I35" s="32">
        <f ca="1">IF(Settings!$J$15="no",VLOOKUP(B35,'3B'!A1:I55,IF(Settings!$J$13="points",6,9),FALSE),VLOOKUP(B35,'1B+3B'!$A1:$I104,IF(Settings!$J$13="points",6,9),FALSE))</f>
        <v>6.832059059221252</v>
      </c>
      <c r="J35" s="31"/>
      <c r="K35" s="31">
        <f ca="1">J35-A35</f>
        <v>-34</v>
      </c>
      <c r="L35" s="31"/>
      <c r="M35" s="31">
        <f>VLOOKUP($B35,Hitters!$A1:$R401,4,FALSE)</f>
        <v>582.95555555555552</v>
      </c>
      <c r="N35" s="31">
        <f>VLOOKUP($B35,Hitters!$A1:$R401,5,FALSE)</f>
        <v>90.435555555555553</v>
      </c>
      <c r="O35" s="31">
        <f>VLOOKUP($B35,Hitters!$A1:$R401,6,FALSE)</f>
        <v>33.204999999999998</v>
      </c>
      <c r="P35" s="31">
        <f>VLOOKUP($B35,Hitters!$A1:$R401,7,FALSE)</f>
        <v>100.30444444444443</v>
      </c>
      <c r="Q35" s="31">
        <f>VLOOKUP($B35,Hitters!$A1:$R401,8,FALSE)</f>
        <v>1.1266666666666667</v>
      </c>
      <c r="R35" s="152">
        <f>VLOOKUP($B35,Hitters!$A$1:$R$401,14,FALSE)</f>
        <v>0.27354095985971866</v>
      </c>
      <c r="S35" s="152">
        <f>VLOOKUP($B35,Hitters!$A$1:$R$401,15,FALSE)</f>
        <v>0.3431316394470687</v>
      </c>
      <c r="T35" s="154">
        <f>VLOOKUP($B35,Hitters!$A$1:$R$401,9,FALSE)</f>
        <v>159.46222222222221</v>
      </c>
      <c r="U35" s="154">
        <f>VLOOKUP($B35,Hitters!$A$1:$R$401,10,FALSE)</f>
        <v>32.13111111111111</v>
      </c>
      <c r="V35" s="154">
        <f>VLOOKUP($B35,Hitters!$A$1:$R$401,11,FALSE)</f>
        <v>1.9966666666666668</v>
      </c>
      <c r="W35" s="154">
        <f>VLOOKUP($B35,Hitters!$A$1:$R$401,12,FALSE)</f>
        <v>53.276666666666671</v>
      </c>
      <c r="X35" s="154">
        <f>VLOOKUP($B35,Hitters!$A$1:$R$401,13,FALSE)</f>
        <v>157.34</v>
      </c>
      <c r="Y35" s="152">
        <f>VLOOKUP($B35,Hitters!$A$1:$R$401,16,FALSE)</f>
        <v>0.50638794647962493</v>
      </c>
      <c r="Z35" s="152">
        <f>VLOOKUP($B35,Hitters!$A$1:$R$401,17,FALSE)</f>
        <v>0.84951958592669363</v>
      </c>
      <c r="AA35" s="31">
        <f>VLOOKUP($B35,Hitters!$A1:$R401,18,FALSE)</f>
        <v>0</v>
      </c>
      <c r="AB35" s="31"/>
      <c r="AC35" s="31"/>
      <c r="AD35" s="33"/>
      <c r="AE35" s="33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spans="1:44" ht="18.600000000000001" customHeight="1">
      <c r="A36" s="25">
        <f ca="1">RANK(I36,I$2:I$651)</f>
        <v>35</v>
      </c>
      <c r="B36" s="26" t="s">
        <v>115</v>
      </c>
      <c r="C36" s="27" t="s">
        <v>101</v>
      </c>
      <c r="D36" s="27" t="s">
        <v>69</v>
      </c>
      <c r="E36" s="36" t="s">
        <v>31</v>
      </c>
      <c r="F36" s="37">
        <f ca="1">VLOOKUP(B36,SP!A1:I161,IF(Settings!$J$13="points",4,7),FALSE)</f>
        <v>10</v>
      </c>
      <c r="G36" s="30">
        <f>(AC36*Settings!$F$2)+(AF36*Settings!$F$5)+(AG36*Settings!$F$6)+(AH36*Settings!$F$7)+(AI36*Settings!$F$8)+(AJ36*Settings!$F$9)+(AK36*Settings!$F$10)+(AL36*Settings!$F$11)+(AM36*Settings!$F$12)+(AN36*Settings!$F$13)+(AO36*Settings!$F$14)+(AP36*Settings!$F$15)+(AQ36*Settings!$F$16)+(AR36*Settings!$F$17)</f>
        <v>480.07611111111112</v>
      </c>
      <c r="H36" s="31">
        <f>VLOOKUP(B36,'Standard Deviations'!$A1:$D651,4,FALSE)</f>
        <v>5.9469564448776051</v>
      </c>
      <c r="I36" s="32">
        <f ca="1">IF(Settings!$J$16="no",VLOOKUP(B36,SP!A1:I161,IF(Settings!$J$13="points",6,9),FALSE),VLOOKUP(B36,'SP+RP'!$A1:$I251,IF(Settings!$J$13="points",6,9),FALSE))</f>
        <v>6.8145416830696179</v>
      </c>
      <c r="J36" s="31"/>
      <c r="K36" s="31">
        <f ca="1">J36-A36</f>
        <v>-35</v>
      </c>
      <c r="L36" s="31"/>
      <c r="M36" s="31"/>
      <c r="N36" s="31"/>
      <c r="O36" s="31"/>
      <c r="P36" s="31"/>
      <c r="Q36" s="31"/>
      <c r="R36" s="152"/>
      <c r="S36" s="152"/>
      <c r="T36" s="154"/>
      <c r="U36" s="154"/>
      <c r="V36" s="154"/>
      <c r="W36" s="154"/>
      <c r="X36" s="154"/>
      <c r="Y36" s="152"/>
      <c r="Z36" s="152"/>
      <c r="AA36" s="31"/>
      <c r="AB36" s="31"/>
      <c r="AC36" s="31">
        <f>VLOOKUP($B36,Pitchers!$A1:$S251,4,FALSE)</f>
        <v>174.71666666666667</v>
      </c>
      <c r="AD36" s="33">
        <f>VLOOKUP($B36,Pitchers!$A1:$S251,5,FALSE)</f>
        <v>3.1002766383668803</v>
      </c>
      <c r="AE36" s="33">
        <f>VLOOKUP($B36,Pitchers!$A1:$S251,6,FALSE)</f>
        <v>1.089064835129893</v>
      </c>
      <c r="AF36" s="31">
        <f>VLOOKUP($B36,Pitchers!$A1:$S251,7,FALSE)</f>
        <v>198.35</v>
      </c>
      <c r="AG36" s="31">
        <f>VLOOKUP($B36,Pitchers!$A1:$S251,8,FALSE)</f>
        <v>12.443333333333333</v>
      </c>
      <c r="AH36" s="31">
        <f>VLOOKUP($B36,Pitchers!$A1:$S251,9,FALSE)</f>
        <v>0</v>
      </c>
      <c r="AI36" s="31">
        <f>VLOOKUP($B36,Pitchers!$A1:$S251,10,FALSE)</f>
        <v>60.18555555555556</v>
      </c>
      <c r="AJ36" s="31">
        <f>VLOOKUP($B36,Pitchers!$A1:$S251,11,FALSE)</f>
        <v>142.70111111111112</v>
      </c>
      <c r="AK36" s="31">
        <f>VLOOKUP($B36,Pitchers!$A1:$S251,12,FALSE)</f>
        <v>47.576666666666675</v>
      </c>
      <c r="AL36" s="31">
        <f>VLOOKUP($B36,Pitchers!$A1:$S251,13,FALSE)</f>
        <v>18.233333333333334</v>
      </c>
      <c r="AM36" s="31">
        <f>VLOOKUP($B36,Pitchers!$A1:$S251,14,FALSE)</f>
        <v>29.513333333333332</v>
      </c>
      <c r="AN36" s="31">
        <f>VLOOKUP($B36,Pitchers!$A1:$S251,15,FALSE)</f>
        <v>29.513333333333332</v>
      </c>
      <c r="AO36" s="31">
        <f>VLOOKUP($B36,Pitchers!$A1:$S251,16,FALSE)</f>
        <v>7.9777777777777779</v>
      </c>
      <c r="AP36" s="31">
        <f>VLOOKUP($B36,Pitchers!$A1:$S251,17,FALSE)</f>
        <v>20</v>
      </c>
      <c r="AQ36" s="31">
        <f>VLOOKUP($B36,Pitchers!$A1:$S251,18,FALSE)</f>
        <v>0</v>
      </c>
      <c r="AR36" s="31">
        <f>VLOOKUP($B36,Pitchers!$A1:$S251,19,FALSE)</f>
        <v>0</v>
      </c>
    </row>
    <row r="37" spans="1:44" ht="18.600000000000001" customHeight="1">
      <c r="A37" s="25">
        <f ca="1">RANK(I37,I$2:I$651)</f>
        <v>36</v>
      </c>
      <c r="B37" s="26" t="s">
        <v>152</v>
      </c>
      <c r="C37" s="27" t="s">
        <v>78</v>
      </c>
      <c r="D37" s="27" t="s">
        <v>69</v>
      </c>
      <c r="E37" s="36" t="s">
        <v>31</v>
      </c>
      <c r="F37" s="37">
        <f ca="1">VLOOKUP(B37,SP!A1:I161,IF(Settings!$J$13="points",4,7),FALSE)</f>
        <v>11</v>
      </c>
      <c r="G37" s="30">
        <f>(AC37*Settings!$F$2)+(AF37*Settings!$F$5)+(AG37*Settings!$F$6)+(AH37*Settings!$F$7)+(AI37*Settings!$F$8)+(AJ37*Settings!$F$9)+(AK37*Settings!$F$10)+(AL37*Settings!$F$11)+(AM37*Settings!$F$12)+(AN37*Settings!$F$13)+(AO37*Settings!$F$14)+(AP37*Settings!$F$15)+(AQ37*Settings!$F$16)+(AR37*Settings!$F$17)</f>
        <v>503.31173333333334</v>
      </c>
      <c r="H37" s="31">
        <f>VLOOKUP(B37,'Standard Deviations'!$A1:$D651,4,FALSE)</f>
        <v>5.7680705875569904</v>
      </c>
      <c r="I37" s="32">
        <f ca="1">IF(Settings!$J$16="no",VLOOKUP(B37,SP!A1:I161,IF(Settings!$J$13="points",6,9),FALSE),VLOOKUP(B37,'SP+RP'!$A1:$I251,IF(Settings!$J$13="points",6,9),FALSE))</f>
        <v>6.6356520499383329</v>
      </c>
      <c r="J37" s="31"/>
      <c r="K37" s="31">
        <f ca="1">J37-A37</f>
        <v>-36</v>
      </c>
      <c r="L37" s="31"/>
      <c r="M37" s="31"/>
      <c r="N37" s="31"/>
      <c r="O37" s="31"/>
      <c r="P37" s="31"/>
      <c r="Q37" s="31"/>
      <c r="R37" s="152"/>
      <c r="S37" s="152"/>
      <c r="T37" s="154"/>
      <c r="U37" s="154"/>
      <c r="V37" s="154"/>
      <c r="W37" s="154"/>
      <c r="X37" s="154"/>
      <c r="Y37" s="152"/>
      <c r="Z37" s="152"/>
      <c r="AA37" s="31"/>
      <c r="AB37" s="31"/>
      <c r="AC37" s="31">
        <f>VLOOKUP($B37,Pitchers!$A1:$S251,4,FALSE)</f>
        <v>181.52666666666667</v>
      </c>
      <c r="AD37" s="33">
        <f>VLOOKUP($B37,Pitchers!$A1:$S251,5,FALSE)</f>
        <v>3.4832832641668809</v>
      </c>
      <c r="AE37" s="33">
        <f>VLOOKUP($B37,Pitchers!$A1:$S251,6,FALSE)</f>
        <v>1.0990811267398728</v>
      </c>
      <c r="AF37" s="31">
        <f>VLOOKUP($B37,Pitchers!$A1:$S251,7,FALSE)</f>
        <v>221.11306666666667</v>
      </c>
      <c r="AG37" s="31">
        <f>VLOOKUP($B37,Pitchers!$A1:$S251,8,FALSE)</f>
        <v>13.534133333333335</v>
      </c>
      <c r="AH37" s="31">
        <f>VLOOKUP($B37,Pitchers!$A1:$S251,9,FALSE)</f>
        <v>0</v>
      </c>
      <c r="AI37" s="31">
        <f>VLOOKUP($B37,Pitchers!$A1:$S251,10,FALSE)</f>
        <v>70.256533333333337</v>
      </c>
      <c r="AJ37" s="31">
        <f>VLOOKUP($B37,Pitchers!$A1:$S251,11,FALSE)</f>
        <v>130.77279999999999</v>
      </c>
      <c r="AK37" s="31">
        <f>VLOOKUP($B37,Pitchers!$A1:$S251,12,FALSE)</f>
        <v>68.739733333333334</v>
      </c>
      <c r="AL37" s="31">
        <f>VLOOKUP($B37,Pitchers!$A1:$S251,13,FALSE)</f>
        <v>24.912000000000003</v>
      </c>
      <c r="AM37" s="31">
        <f>VLOOKUP($B37,Pitchers!$A1:$S251,14,FALSE)</f>
        <v>32.572800000000001</v>
      </c>
      <c r="AN37" s="31">
        <f>VLOOKUP($B37,Pitchers!$A1:$S251,15,FALSE)</f>
        <v>29.881333333333334</v>
      </c>
      <c r="AO37" s="31">
        <f>VLOOKUP($B37,Pitchers!$A1:$S251,16,FALSE)</f>
        <v>8.438933333333333</v>
      </c>
      <c r="AP37" s="31">
        <f>VLOOKUP($B37,Pitchers!$A1:$S251,17,FALSE)</f>
        <v>21.8</v>
      </c>
      <c r="AQ37" s="31">
        <f>VLOOKUP($B37,Pitchers!$A1:$S251,18,FALSE)</f>
        <v>0</v>
      </c>
      <c r="AR37" s="31">
        <f>VLOOKUP($B37,Pitchers!$A1:$S251,19,FALSE)</f>
        <v>0</v>
      </c>
    </row>
    <row r="38" spans="1:44" ht="18.600000000000001" customHeight="1">
      <c r="A38" s="25">
        <f ca="1">RANK(I38,I$2:I$651)</f>
        <v>37</v>
      </c>
      <c r="B38" s="26" t="s">
        <v>113</v>
      </c>
      <c r="C38" s="27" t="s">
        <v>114</v>
      </c>
      <c r="D38" s="27" t="s">
        <v>69</v>
      </c>
      <c r="E38" s="28" t="s">
        <v>23</v>
      </c>
      <c r="F38" s="29">
        <f ca="1">VLOOKUP(B38,OF!A1:I139,IF(Settings!$J$13="points",4,7),FALSE)</f>
        <v>12</v>
      </c>
      <c r="G38" s="30">
        <f>(M38*Settings!$B$2)+(N38*Settings!$B$3)+(O38*Settings!$B$4)+(P38*Settings!$B$5)+(Q38*Settings!$B$6)+((T38-U38-V38-O38)*Settings!$B$9)+(U38*Settings!$B$10)+(V38*Settings!$B$11)+(W38*Settings!$B$12)+(X38*Settings!$B$13)+(AA38*Settings!$B$16)</f>
        <v>406.08638888888891</v>
      </c>
      <c r="H38" s="31">
        <f>VLOOKUP(B38,'Standard Deviations'!$A1:$D651,4,FALSE)</f>
        <v>6.4546461284013992</v>
      </c>
      <c r="I38" s="32">
        <f ca="1">VLOOKUP(B38,OF!A1:I139,IF(Settings!$J$13="points",6,9),FALSE)</f>
        <v>6.6115809707925113</v>
      </c>
      <c r="J38" s="31"/>
      <c r="K38" s="31">
        <f ca="1">J38-A38</f>
        <v>-37</v>
      </c>
      <c r="L38" s="31"/>
      <c r="M38" s="31">
        <f>VLOOKUP($B38,Hitters!$A1:$R401,4,FALSE)</f>
        <v>523.38888888888891</v>
      </c>
      <c r="N38" s="31">
        <f>VLOOKUP($B38,Hitters!$A1:$R401,5,FALSE)</f>
        <v>77.731111111111105</v>
      </c>
      <c r="O38" s="31">
        <f>VLOOKUP($B38,Hitters!$A1:$R401,6,FALSE)</f>
        <v>21.74111111111111</v>
      </c>
      <c r="P38" s="31">
        <f>VLOOKUP($B38,Hitters!$A1:$R401,7,FALSE)</f>
        <v>76.24166666666666</v>
      </c>
      <c r="Q38" s="31">
        <f>VLOOKUP($B38,Hitters!$A1:$R401,8,FALSE)</f>
        <v>16.132222222222222</v>
      </c>
      <c r="R38" s="152">
        <f>VLOOKUP($B38,Hitters!$A$1:$R$401,14,FALSE)</f>
        <v>0.28077698758093617</v>
      </c>
      <c r="S38" s="152">
        <f>VLOOKUP($B38,Hitters!$A$1:$R$401,15,FALSE)</f>
        <v>0.33145659428981739</v>
      </c>
      <c r="T38" s="154">
        <f>VLOOKUP($B38,Hitters!$A$1:$R$401,9,FALSE)</f>
        <v>146.95555555555555</v>
      </c>
      <c r="U38" s="154">
        <f>VLOOKUP($B38,Hitters!$A$1:$R$401,10,FALSE)</f>
        <v>30.507777777777779</v>
      </c>
      <c r="V38" s="154">
        <f>VLOOKUP($B38,Hitters!$A$1:$R$401,11,FALSE)</f>
        <v>1.9544444444444444</v>
      </c>
      <c r="W38" s="154">
        <f>VLOOKUP($B38,Hitters!$A$1:$R$401,12,FALSE)</f>
        <v>31.781111111111112</v>
      </c>
      <c r="X38" s="154">
        <f>VLOOKUP($B38,Hitters!$A$1:$R$401,13,FALSE)</f>
        <v>117.05500000000001</v>
      </c>
      <c r="Y38" s="152">
        <f>VLOOKUP($B38,Hitters!$A$1:$R$401,16,FALSE)</f>
        <v>0.47115168241163358</v>
      </c>
      <c r="Z38" s="152">
        <f>VLOOKUP($B38,Hitters!$A$1:$R$401,17,FALSE)</f>
        <v>0.80260827670145096</v>
      </c>
      <c r="AA38" s="31">
        <f>VLOOKUP($B38,Hitters!$A1:$R401,18,FALSE)</f>
        <v>0</v>
      </c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  <row r="39" spans="1:44" ht="18.600000000000001" customHeight="1">
      <c r="A39" s="25">
        <f ca="1">RANK(I39,I$2:I$651)</f>
        <v>38</v>
      </c>
      <c r="B39" s="26" t="s">
        <v>172</v>
      </c>
      <c r="C39" s="27" t="s">
        <v>63</v>
      </c>
      <c r="D39" s="27" t="s">
        <v>74</v>
      </c>
      <c r="E39" s="42" t="s">
        <v>34</v>
      </c>
      <c r="F39" s="43">
        <f ca="1">VLOOKUP(B39,RP!A1:I91,IF(Settings!$J$13="points",4,7),FALSE)</f>
        <v>2</v>
      </c>
      <c r="G39" s="30">
        <f>(AC39*Settings!$F$2)+(AF39*Settings!$F$5)+(AG39*Settings!$F$6)+(AH39*Settings!$F$7)+(AI39*Settings!$F$8)+(AJ39*Settings!$F$9)+(AK39*Settings!$F$10)+(AL39*Settings!$F$11)+(AM39*Settings!$F$12)+(AN39*Settings!$F$13)+(AO39*Settings!$F$14)+(AP39*Settings!$F$15)+(AQ39*Settings!$F$16)+(AR39*Settings!$F$17)</f>
        <v>381.32166666666672</v>
      </c>
      <c r="H39" s="31">
        <f>VLOOKUP(B39,'Standard Deviations'!$A1:$D651,4,FALSE)</f>
        <v>5.7431635890630588</v>
      </c>
      <c r="I39" s="32">
        <f ca="1">IF(Settings!$J$16="no",VLOOKUP(B39,RP!A1:I91,IF(Settings!$J$13="points",6,9),FALSE),VLOOKUP(B39,'SP+RP'!$A1:$I251,IF(Settings!$J$13="points",6,9),FALSE))</f>
        <v>6.6107430632410464</v>
      </c>
      <c r="J39" s="31"/>
      <c r="K39" s="31">
        <f ca="1">J39-A39</f>
        <v>-38</v>
      </c>
      <c r="L39" s="31"/>
      <c r="M39" s="31"/>
      <c r="N39" s="31"/>
      <c r="O39" s="31"/>
      <c r="P39" s="31"/>
      <c r="Q39" s="31"/>
      <c r="R39" s="152"/>
      <c r="S39" s="152"/>
      <c r="T39" s="154"/>
      <c r="U39" s="154"/>
      <c r="V39" s="154"/>
      <c r="W39" s="154"/>
      <c r="X39" s="154"/>
      <c r="Y39" s="152"/>
      <c r="Z39" s="152"/>
      <c r="AA39" s="31"/>
      <c r="AB39" s="31"/>
      <c r="AC39" s="31">
        <f>VLOOKUP($B39,Pitchers!$A1:$S251,4,FALSE)</f>
        <v>59.354444444444447</v>
      </c>
      <c r="AD39" s="33">
        <f>VLOOKUP($B39,Pitchers!$A1:$S251,5,FALSE)</f>
        <v>3.0772758756247778</v>
      </c>
      <c r="AE39" s="33">
        <f>VLOOKUP($B39,Pitchers!$A1:$S251,6,FALSE)</f>
        <v>1.0535202830453585</v>
      </c>
      <c r="AF39" s="31">
        <f>VLOOKUP($B39,Pitchers!$A1:$S251,7,FALSE)</f>
        <v>88.850000000000009</v>
      </c>
      <c r="AG39" s="31">
        <f>VLOOKUP($B39,Pitchers!$A1:$S251,8,FALSE)</f>
        <v>3.0044444444444447</v>
      </c>
      <c r="AH39" s="31">
        <f>VLOOKUP($B39,Pitchers!$A1:$S251,9,FALSE)</f>
        <v>33.211111111111116</v>
      </c>
      <c r="AI39" s="31">
        <f>VLOOKUP($B39,Pitchers!$A1:$S251,10,FALSE)</f>
        <v>20.294444444444444</v>
      </c>
      <c r="AJ39" s="31">
        <f>VLOOKUP($B39,Pitchers!$A1:$S251,11,FALSE)</f>
        <v>39.537777777777777</v>
      </c>
      <c r="AK39" s="31">
        <f>VLOOKUP($B39,Pitchers!$A1:$S251,12,FALSE)</f>
        <v>22.993333333333336</v>
      </c>
      <c r="AL39" s="31">
        <f>VLOOKUP($B39,Pitchers!$A1:$S251,13,FALSE)</f>
        <v>7</v>
      </c>
      <c r="AM39" s="31">
        <f>VLOOKUP($B39,Pitchers!$A1:$S251,14,FALSE)</f>
        <v>61.52</v>
      </c>
      <c r="AN39" s="31">
        <f>VLOOKUP($B39,Pitchers!$A1:$S251,15,FALSE)</f>
        <v>0</v>
      </c>
      <c r="AO39" s="31">
        <f>VLOOKUP($B39,Pitchers!$A1:$S251,16,FALSE)</f>
        <v>2.37</v>
      </c>
      <c r="AP39" s="31">
        <f>VLOOKUP($B39,Pitchers!$A1:$S251,17,FALSE)</f>
        <v>0</v>
      </c>
      <c r="AQ39" s="31">
        <f>VLOOKUP($B39,Pitchers!$A1:$S251,18,FALSE)</f>
        <v>0</v>
      </c>
      <c r="AR39" s="31">
        <f>VLOOKUP($B39,Pitchers!$A1:$S251,19,FALSE)</f>
        <v>3</v>
      </c>
    </row>
    <row r="40" spans="1:44" ht="18.600000000000001" customHeight="1">
      <c r="A40" s="25">
        <f ca="1">RANK(I40,I$2:I$651)</f>
        <v>39</v>
      </c>
      <c r="B40" s="26" t="s">
        <v>160</v>
      </c>
      <c r="C40" s="27" t="s">
        <v>134</v>
      </c>
      <c r="D40" s="27" t="s">
        <v>74</v>
      </c>
      <c r="E40" s="48" t="s">
        <v>11</v>
      </c>
      <c r="F40" s="49">
        <f ca="1">VLOOKUP(B40,'2B'!A1:I50,IF(Settings!$J$13="points",4,7),FALSE)</f>
        <v>1</v>
      </c>
      <c r="G40" s="30">
        <f>(M40*Settings!$B$2)+(N40*Settings!$B$3)+(O40*Settings!$B$4)+(P40*Settings!$B$5)+(Q40*Settings!$B$6)+((T40-U40-V40-O40)*Settings!$B$9)+(U40*Settings!$B$10)+(V40*Settings!$B$11)+(W40*Settings!$B$12)+(X40*Settings!$B$13)+(AA40*Settings!$B$16)</f>
        <v>407.44722222222225</v>
      </c>
      <c r="H40" s="31">
        <f>VLOOKUP(B40,'Standard Deviations'!$A1:$D651,4,FALSE)</f>
        <v>6.5904317601746918</v>
      </c>
      <c r="I40" s="32">
        <f ca="1">IF(Settings!$J$16="no",VLOOKUP(B40,'2B'!A1:I50,IF(Settings!$J$13="points",6,9),FALSE),VLOOKUP(B40,'2B+SS'!$A1:$I94,IF(Settings!$J$13="points",6,9),FALSE))</f>
        <v>6.5843890588520511</v>
      </c>
      <c r="J40" s="31"/>
      <c r="K40" s="31">
        <f ca="1">J40-A40</f>
        <v>-39</v>
      </c>
      <c r="L40" s="31"/>
      <c r="M40" s="31">
        <f>VLOOKUP($B40,Hitters!$A1:$R401,4,FALSE)</f>
        <v>506.36666666666673</v>
      </c>
      <c r="N40" s="31">
        <f>VLOOKUP($B40,Hitters!$A1:$R401,5,FALSE)</f>
        <v>80.209999999999994</v>
      </c>
      <c r="O40" s="31">
        <f>VLOOKUP($B40,Hitters!$A1:$R401,6,FALSE)</f>
        <v>23.861666666666665</v>
      </c>
      <c r="P40" s="31">
        <f>VLOOKUP($B40,Hitters!$A1:$R401,7,FALSE)</f>
        <v>69.231666666666669</v>
      </c>
      <c r="Q40" s="31">
        <f>VLOOKUP($B40,Hitters!$A1:$R401,8,FALSE)</f>
        <v>29.935555555555556</v>
      </c>
      <c r="R40" s="152">
        <f>VLOOKUP($B40,Hitters!$A$1:$R$401,14,FALSE)</f>
        <v>0.24457244421038773</v>
      </c>
      <c r="S40" s="152">
        <f>VLOOKUP($B40,Hitters!$A$1:$R$401,15,FALSE)</f>
        <v>0.31618561150619734</v>
      </c>
      <c r="T40" s="154">
        <f>VLOOKUP($B40,Hitters!$A$1:$R$401,9,FALSE)</f>
        <v>123.84333333333335</v>
      </c>
      <c r="U40" s="154">
        <f>VLOOKUP($B40,Hitters!$A$1:$R$401,10,FALSE)</f>
        <v>22.106666666666666</v>
      </c>
      <c r="V40" s="154">
        <f>VLOOKUP($B40,Hitters!$A$1:$R$401,11,FALSE)</f>
        <v>5.0116666666666667</v>
      </c>
      <c r="W40" s="154">
        <f>VLOOKUP($B40,Hitters!$A$1:$R$401,12,FALSE)</f>
        <v>45.053333333333335</v>
      </c>
      <c r="X40" s="154">
        <f>VLOOKUP($B40,Hitters!$A$1:$R$401,13,FALSE)</f>
        <v>148.95444444444445</v>
      </c>
      <c r="Y40" s="152">
        <f>VLOOKUP($B40,Hitters!$A$1:$R$401,16,FALSE)</f>
        <v>0.44939437825027972</v>
      </c>
      <c r="Z40" s="152">
        <f>VLOOKUP($B40,Hitters!$A$1:$R$401,17,FALSE)</f>
        <v>0.76557998975647701</v>
      </c>
      <c r="AA40" s="31">
        <f>VLOOKUP($B40,Hitters!$A1:$R401,18,FALSE)</f>
        <v>0</v>
      </c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spans="1:44" ht="18.600000000000001" customHeight="1">
      <c r="A41" s="25">
        <f ca="1">RANK(I41,I$2:I$651)</f>
        <v>40</v>
      </c>
      <c r="B41" s="26" t="s">
        <v>148</v>
      </c>
      <c r="C41" s="27" t="s">
        <v>86</v>
      </c>
      <c r="D41" s="27" t="s">
        <v>69</v>
      </c>
      <c r="E41" s="48" t="s">
        <v>11</v>
      </c>
      <c r="F41" s="49">
        <f ca="1">VLOOKUP(B41,'2B'!A1:I50,IF(Settings!$J$13="points",4,7),FALSE)</f>
        <v>2</v>
      </c>
      <c r="G41" s="30">
        <f>(M41*Settings!$B$2)+(N41*Settings!$B$3)+(O41*Settings!$B$4)+(P41*Settings!$B$5)+(Q41*Settings!$B$6)+((T41-U41-V41-O41)*Settings!$B$9)+(U41*Settings!$B$10)+(V41*Settings!$B$11)+(W41*Settings!$B$12)+(X41*Settings!$B$13)+(AA41*Settings!$B$16)</f>
        <v>468.45</v>
      </c>
      <c r="H41" s="31">
        <f>VLOOKUP(B41,'Standard Deviations'!$A1:$D651,4,FALSE)</f>
        <v>6.5829961654160432</v>
      </c>
      <c r="I41" s="32">
        <f ca="1">IF(Settings!$J$16="no",VLOOKUP(B41,'2B'!A1:I50,IF(Settings!$J$13="points",6,9),FALSE),VLOOKUP(B41,'2B+SS'!$A1:$I94,IF(Settings!$J$13="points",6,9),FALSE))</f>
        <v>6.5769505630561342</v>
      </c>
      <c r="J41" s="31"/>
      <c r="K41" s="31">
        <f ca="1">J41-A41</f>
        <v>-40</v>
      </c>
      <c r="L41" s="31"/>
      <c r="M41" s="31">
        <f>VLOOKUP($B41,Hitters!$A1:$R401,4,FALSE)</f>
        <v>601.94444444444446</v>
      </c>
      <c r="N41" s="31">
        <f>VLOOKUP($B41,Hitters!$A1:$R401,5,FALSE)</f>
        <v>91.701666666666668</v>
      </c>
      <c r="O41" s="31">
        <f>VLOOKUP($B41,Hitters!$A1:$R401,6,FALSE)</f>
        <v>25.615555555555556</v>
      </c>
      <c r="P41" s="31">
        <f>VLOOKUP($B41,Hitters!$A1:$R401,7,FALSE)</f>
        <v>75.661111111111111</v>
      </c>
      <c r="Q41" s="31">
        <f>VLOOKUP($B41,Hitters!$A1:$R401,8,FALSE)</f>
        <v>20.047777777777778</v>
      </c>
      <c r="R41" s="152">
        <f>VLOOKUP($B41,Hitters!$A$1:$R$401,14,FALSE)</f>
        <v>0.25152930318412553</v>
      </c>
      <c r="S41" s="152">
        <f>VLOOKUP($B41,Hitters!$A$1:$R$401,15,FALSE)</f>
        <v>0.32574432170391199</v>
      </c>
      <c r="T41" s="154">
        <f>VLOOKUP($B41,Hitters!$A$1:$R$401,9,FALSE)</f>
        <v>151.40666666666667</v>
      </c>
      <c r="U41" s="154">
        <f>VLOOKUP($B41,Hitters!$A$1:$R$401,10,FALSE)</f>
        <v>30.961111111111109</v>
      </c>
      <c r="V41" s="154">
        <f>VLOOKUP($B41,Hitters!$A$1:$R$401,11,FALSE)</f>
        <v>3.0183333333333331</v>
      </c>
      <c r="W41" s="154">
        <f>VLOOKUP($B41,Hitters!$A$1:$R$401,12,FALSE)</f>
        <v>57.023333333333333</v>
      </c>
      <c r="X41" s="154">
        <f>VLOOKUP($B41,Hitters!$A$1:$R$401,13,FALSE)</f>
        <v>122.56555555555555</v>
      </c>
      <c r="Y41" s="152">
        <f>VLOOKUP($B41,Hitters!$A$1:$R$401,16,FALSE)</f>
        <v>0.44065712967235809</v>
      </c>
      <c r="Z41" s="152">
        <f>VLOOKUP($B41,Hitters!$A$1:$R$401,17,FALSE)</f>
        <v>0.76640145137627003</v>
      </c>
      <c r="AA41" s="31">
        <f>VLOOKUP($B41,Hitters!$A1:$R401,18,FALSE)</f>
        <v>0</v>
      </c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spans="1:44" ht="18.600000000000001" customHeight="1">
      <c r="A42" s="25">
        <f ca="1">RANK(I42,I$2:I$651)</f>
        <v>41</v>
      </c>
      <c r="B42" s="26" t="s">
        <v>128</v>
      </c>
      <c r="C42" s="27" t="s">
        <v>97</v>
      </c>
      <c r="D42" s="27" t="s">
        <v>74</v>
      </c>
      <c r="E42" s="36" t="s">
        <v>31</v>
      </c>
      <c r="F42" s="37">
        <f ca="1">VLOOKUP(B42,SP!A1:I161,IF(Settings!$J$13="points",4,7),FALSE)</f>
        <v>12</v>
      </c>
      <c r="G42" s="30">
        <f>(AC42*Settings!$F$2)+(AF42*Settings!$F$5)+(AG42*Settings!$F$6)+(AH42*Settings!$F$7)+(AI42*Settings!$F$8)+(AJ42*Settings!$F$9)+(AK42*Settings!$F$10)+(AL42*Settings!$F$11)+(AM42*Settings!$F$12)+(AN42*Settings!$F$13)+(AO42*Settings!$F$14)+(AP42*Settings!$F$15)+(AQ42*Settings!$F$16)+(AR42*Settings!$F$17)</f>
        <v>461.63083333333333</v>
      </c>
      <c r="H42" s="31">
        <f>VLOOKUP(B42,'Standard Deviations'!$A1:$D651,4,FALSE)</f>
        <v>5.4020097335196571</v>
      </c>
      <c r="I42" s="32">
        <f ca="1">IF(Settings!$J$16="no",VLOOKUP(B42,SP!A1:I161,IF(Settings!$J$13="points",6,9),FALSE),VLOOKUP(B42,'SP+RP'!$A1:$I251,IF(Settings!$J$13="points",6,9),FALSE))</f>
        <v>6.2695931825250906</v>
      </c>
      <c r="J42" s="31"/>
      <c r="K42" s="31">
        <f ca="1">J42-A42</f>
        <v>-41</v>
      </c>
      <c r="L42" s="31"/>
      <c r="M42" s="31"/>
      <c r="N42" s="31"/>
      <c r="O42" s="31"/>
      <c r="P42" s="31"/>
      <c r="Q42" s="31"/>
      <c r="R42" s="152"/>
      <c r="S42" s="152"/>
      <c r="T42" s="154"/>
      <c r="U42" s="154"/>
      <c r="V42" s="154"/>
      <c r="W42" s="154"/>
      <c r="X42" s="154"/>
      <c r="Y42" s="152"/>
      <c r="Z42" s="152"/>
      <c r="AA42" s="31"/>
      <c r="AB42" s="31"/>
      <c r="AC42" s="31">
        <f>VLOOKUP($B42,Pitchers!$A1:$S251,4,FALSE)</f>
        <v>173.04333333333332</v>
      </c>
      <c r="AD42" s="33">
        <f>VLOOKUP($B42,Pitchers!$A1:$S251,5,FALSE)</f>
        <v>3.276867066052819</v>
      </c>
      <c r="AE42" s="33">
        <f>VLOOKUP($B42,Pitchers!$A1:$S251,6,FALSE)</f>
        <v>1.091537765107006</v>
      </c>
      <c r="AF42" s="31">
        <f>VLOOKUP($B42,Pitchers!$A1:$S251,7,FALSE)</f>
        <v>199.02833333333334</v>
      </c>
      <c r="AG42" s="31">
        <f>VLOOKUP($B42,Pitchers!$A1:$S251,8,FALSE)</f>
        <v>11.984444444444444</v>
      </c>
      <c r="AH42" s="31">
        <f>VLOOKUP($B42,Pitchers!$A1:$S251,9,FALSE)</f>
        <v>0</v>
      </c>
      <c r="AI42" s="31">
        <f>VLOOKUP($B42,Pitchers!$A1:$S251,10,FALSE)</f>
        <v>63.004444444444438</v>
      </c>
      <c r="AJ42" s="31">
        <f>VLOOKUP($B42,Pitchers!$A1:$S251,11,FALSE)</f>
        <v>141.72333333333333</v>
      </c>
      <c r="AK42" s="31">
        <f>VLOOKUP($B42,Pitchers!$A1:$S251,12,FALSE)</f>
        <v>47.160000000000004</v>
      </c>
      <c r="AL42" s="31">
        <f>VLOOKUP($B42,Pitchers!$A1:$S251,13,FALSE)</f>
        <v>19.866666666666667</v>
      </c>
      <c r="AM42" s="31">
        <f>VLOOKUP($B42,Pitchers!$A1:$S251,14,FALSE)</f>
        <v>29.831111111111113</v>
      </c>
      <c r="AN42" s="31">
        <f>VLOOKUP($B42,Pitchers!$A1:$S251,15,FALSE)</f>
        <v>29.296666666666667</v>
      </c>
      <c r="AO42" s="31">
        <f>VLOOKUP($B42,Pitchers!$A1:$S251,16,FALSE)</f>
        <v>8.0033333333333321</v>
      </c>
      <c r="AP42" s="31">
        <f>VLOOKUP($B42,Pitchers!$A1:$S251,17,FALSE)</f>
        <v>17</v>
      </c>
      <c r="AQ42" s="31">
        <f>VLOOKUP($B42,Pitchers!$A1:$S251,18,FALSE)</f>
        <v>0</v>
      </c>
      <c r="AR42" s="31">
        <f>VLOOKUP($B42,Pitchers!$A1:$S251,19,FALSE)</f>
        <v>0</v>
      </c>
    </row>
    <row r="43" spans="1:44" ht="18.600000000000001" customHeight="1">
      <c r="A43" s="25">
        <f ca="1">RANK(I43,I$2:I$651)</f>
        <v>42</v>
      </c>
      <c r="B43" s="26" t="s">
        <v>138</v>
      </c>
      <c r="C43" s="27" t="s">
        <v>76</v>
      </c>
      <c r="D43" s="27" t="s">
        <v>69</v>
      </c>
      <c r="E43" s="36" t="s">
        <v>31</v>
      </c>
      <c r="F43" s="37">
        <f ca="1">VLOOKUP(B43,SP!A1:I161,IF(Settings!$J$13="points",4,7),FALSE)</f>
        <v>13</v>
      </c>
      <c r="G43" s="30">
        <f>(AC43*Settings!$F$2)+(AF43*Settings!$F$5)+(AG43*Settings!$F$6)+(AH43*Settings!$F$7)+(AI43*Settings!$F$8)+(AJ43*Settings!$F$9)+(AK43*Settings!$F$10)+(AL43*Settings!$F$11)+(AM43*Settings!$F$12)+(AN43*Settings!$F$13)+(AO43*Settings!$F$14)+(AP43*Settings!$F$15)+(AQ43*Settings!$F$16)+(AR43*Settings!$F$17)</f>
        <v>508.77333333333331</v>
      </c>
      <c r="H43" s="31">
        <f>VLOOKUP(B43,'Standard Deviations'!$A1:$D651,4,FALSE)</f>
        <v>5.3848936013571986</v>
      </c>
      <c r="I43" s="32">
        <f ca="1">IF(Settings!$J$16="no",VLOOKUP(B43,SP!A1:I161,IF(Settings!$J$13="points",6,9),FALSE),VLOOKUP(B43,'SP+RP'!$A1:$I251,IF(Settings!$J$13="points",6,9),FALSE))</f>
        <v>6.2524742794649049</v>
      </c>
      <c r="J43" s="31"/>
      <c r="K43" s="31">
        <f ca="1">J43-A43</f>
        <v>-42</v>
      </c>
      <c r="L43" s="31"/>
      <c r="M43" s="31"/>
      <c r="N43" s="31"/>
      <c r="O43" s="31"/>
      <c r="P43" s="31"/>
      <c r="Q43" s="31"/>
      <c r="R43" s="152"/>
      <c r="S43" s="152"/>
      <c r="T43" s="154"/>
      <c r="U43" s="154"/>
      <c r="V43" s="154"/>
      <c r="W43" s="154"/>
      <c r="X43" s="154"/>
      <c r="Y43" s="152"/>
      <c r="Z43" s="152"/>
      <c r="AA43" s="31"/>
      <c r="AB43" s="31"/>
      <c r="AC43" s="31">
        <f>VLOOKUP($B43,Pitchers!$A1:$S251,4,FALSE)</f>
        <v>193.41555555555556</v>
      </c>
      <c r="AD43" s="33">
        <f>VLOOKUP($B43,Pitchers!$A1:$S251,5,FALSE)</f>
        <v>3.3307041832783759</v>
      </c>
      <c r="AE43" s="33">
        <f>VLOOKUP($B43,Pitchers!$A1:$S251,6,FALSE)</f>
        <v>1.1192136677504967</v>
      </c>
      <c r="AF43" s="31">
        <f>VLOOKUP($B43,Pitchers!$A1:$S251,7,FALSE)</f>
        <v>200.06000000000003</v>
      </c>
      <c r="AG43" s="31">
        <f>VLOOKUP($B43,Pitchers!$A1:$S251,8,FALSE)</f>
        <v>13.318888888888887</v>
      </c>
      <c r="AH43" s="31">
        <f>VLOOKUP($B43,Pitchers!$A1:$S251,9,FALSE)</f>
        <v>0</v>
      </c>
      <c r="AI43" s="31">
        <f>VLOOKUP($B43,Pitchers!$A1:$S251,10,FALSE)</f>
        <v>71.578888888888898</v>
      </c>
      <c r="AJ43" s="31">
        <f>VLOOKUP($B43,Pitchers!$A1:$S251,11,FALSE)</f>
        <v>171.27111111111108</v>
      </c>
      <c r="AK43" s="31">
        <f>VLOOKUP($B43,Pitchers!$A1:$S251,12,FALSE)</f>
        <v>45.202222222222225</v>
      </c>
      <c r="AL43" s="31">
        <f>VLOOKUP($B43,Pitchers!$A1:$S251,13,FALSE)</f>
        <v>22.3</v>
      </c>
      <c r="AM43" s="31">
        <f>VLOOKUP($B43,Pitchers!$A1:$S251,14,FALSE)</f>
        <v>30.953333333333333</v>
      </c>
      <c r="AN43" s="31">
        <f>VLOOKUP($B43,Pitchers!$A1:$S251,15,FALSE)</f>
        <v>30.942222222222224</v>
      </c>
      <c r="AO43" s="31">
        <f>VLOOKUP($B43,Pitchers!$A1:$S251,16,FALSE)</f>
        <v>8.956666666666667</v>
      </c>
      <c r="AP43" s="31">
        <f>VLOOKUP($B43,Pitchers!$A1:$S251,17,FALSE)</f>
        <v>22.7</v>
      </c>
      <c r="AQ43" s="31">
        <f>VLOOKUP($B43,Pitchers!$A1:$S251,18,FALSE)</f>
        <v>0</v>
      </c>
      <c r="AR43" s="31">
        <f>VLOOKUP($B43,Pitchers!$A1:$S251,19,FALSE)</f>
        <v>0</v>
      </c>
    </row>
    <row r="44" spans="1:44" ht="18.600000000000001" customHeight="1">
      <c r="A44" s="25">
        <f ca="1">RANK(I44,I$2:I$651)</f>
        <v>43</v>
      </c>
      <c r="B44" s="26" t="s">
        <v>125</v>
      </c>
      <c r="C44" s="27" t="s">
        <v>91</v>
      </c>
      <c r="D44" s="27" t="s">
        <v>74</v>
      </c>
      <c r="E44" s="28" t="s">
        <v>23</v>
      </c>
      <c r="F44" s="29">
        <f ca="1">VLOOKUP(B44,OF!A1:I139,IF(Settings!$J$13="points",4,7),FALSE)</f>
        <v>13</v>
      </c>
      <c r="G44" s="30">
        <f>(M44*Settings!$B$2)+(N44*Settings!$B$3)+(O44*Settings!$B$4)+(P44*Settings!$B$5)+(Q44*Settings!$B$6)+((T44-U44-V44-O44)*Settings!$B$9)+(U44*Settings!$B$10)+(V44*Settings!$B$11)+(W44*Settings!$B$12)+(X44*Settings!$B$13)+(AA44*Settings!$B$16)</f>
        <v>452.22</v>
      </c>
      <c r="H44" s="31">
        <f>VLOOKUP(B44,'Standard Deviations'!$A1:$D651,4,FALSE)</f>
        <v>6.0632895053341898</v>
      </c>
      <c r="I44" s="32">
        <f ca="1">VLOOKUP(B44,OF!A1:I139,IF(Settings!$J$13="points",6,9),FALSE)</f>
        <v>6.2202227921163464</v>
      </c>
      <c r="J44" s="31"/>
      <c r="K44" s="31">
        <f ca="1">J44-A44</f>
        <v>-43</v>
      </c>
      <c r="L44" s="31"/>
      <c r="M44" s="31">
        <f>VLOOKUP($B44,Hitters!$A1:$R401,4,FALSE)</f>
        <v>532.66666666666663</v>
      </c>
      <c r="N44" s="31">
        <f>VLOOKUP($B44,Hitters!$A1:$R401,5,FALSE)</f>
        <v>91.433333333333337</v>
      </c>
      <c r="O44" s="31">
        <f>VLOOKUP($B44,Hitters!$A1:$R401,6,FALSE)</f>
        <v>38.571111111111115</v>
      </c>
      <c r="P44" s="31">
        <f>VLOOKUP($B44,Hitters!$A1:$R401,7,FALSE)</f>
        <v>92.534444444444446</v>
      </c>
      <c r="Q44" s="31">
        <f>VLOOKUP($B44,Hitters!$A1:$R401,8,FALSE)</f>
        <v>6</v>
      </c>
      <c r="R44" s="152">
        <f>VLOOKUP($B44,Hitters!$A$1:$R$401,14,FALSE)</f>
        <v>0.23424071756362122</v>
      </c>
      <c r="S44" s="152">
        <f>VLOOKUP($B44,Hitters!$A$1:$R$401,15,FALSE)</f>
        <v>0.34138132404571075</v>
      </c>
      <c r="T44" s="154">
        <f>VLOOKUP($B44,Hitters!$A$1:$R$401,9,FALSE)</f>
        <v>124.77222222222223</v>
      </c>
      <c r="U44" s="154">
        <f>VLOOKUP($B44,Hitters!$A$1:$R$401,10,FALSE)</f>
        <v>21.483333333333334</v>
      </c>
      <c r="V44" s="154">
        <f>VLOOKUP($B44,Hitters!$A$1:$R$401,11,FALSE)</f>
        <v>1.9977777777777777</v>
      </c>
      <c r="W44" s="154">
        <f>VLOOKUP($B44,Hitters!$A$1:$R$401,12,FALSE)</f>
        <v>78.856666666666669</v>
      </c>
      <c r="X44" s="154">
        <f>VLOOKUP($B44,Hitters!$A$1:$R$401,13,FALSE)</f>
        <v>177.13777777777776</v>
      </c>
      <c r="Y44" s="152">
        <f>VLOOKUP($B44,Hitters!$A$1:$R$401,16,FALSE)</f>
        <v>0.49930746766791828</v>
      </c>
      <c r="Z44" s="152">
        <f>VLOOKUP($B44,Hitters!$A$1:$R$401,17,FALSE)</f>
        <v>0.84068879171362898</v>
      </c>
      <c r="AA44" s="31">
        <f>VLOOKUP($B44,Hitters!$A1:$R401,18,FALSE)</f>
        <v>0</v>
      </c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4" ht="18.600000000000001" customHeight="1">
      <c r="A45" s="25">
        <f ca="1">RANK(I45,I$2:I$651)</f>
        <v>44</v>
      </c>
      <c r="B45" s="26" t="s">
        <v>108</v>
      </c>
      <c r="C45" s="27" t="s">
        <v>95</v>
      </c>
      <c r="D45" s="27" t="s">
        <v>74</v>
      </c>
      <c r="E45" s="28" t="s">
        <v>23</v>
      </c>
      <c r="F45" s="29">
        <f ca="1">VLOOKUP(B45,OF!A1:I139,IF(Settings!$J$13="points",4,7),FALSE)</f>
        <v>14</v>
      </c>
      <c r="G45" s="30">
        <f>(M45*Settings!$B$2)+(N45*Settings!$B$3)+(O45*Settings!$B$4)+(P45*Settings!$B$5)+(Q45*Settings!$B$6)+((T45-U45-V45-O45)*Settings!$B$9)+(U45*Settings!$B$10)+(V45*Settings!$B$11)+(W45*Settings!$B$12)+(X45*Settings!$B$13)+(AA45*Settings!$B$16)</f>
        <v>388.54333333333329</v>
      </c>
      <c r="H45" s="31">
        <f>VLOOKUP(B45,'Standard Deviations'!$A1:$D651,4,FALSE)</f>
        <v>6.0491847431143579</v>
      </c>
      <c r="I45" s="32">
        <f ca="1">VLOOKUP(B45,OF!A1:I139,IF(Settings!$J$13="points",6,9),FALSE)</f>
        <v>6.2061183504344006</v>
      </c>
      <c r="J45" s="31"/>
      <c r="K45" s="31">
        <f ca="1">J45-A45</f>
        <v>-44</v>
      </c>
      <c r="L45" s="31"/>
      <c r="M45" s="31">
        <f>VLOOKUP($B45,Hitters!$A1:$R401,4,FALSE)</f>
        <v>507.85000000000008</v>
      </c>
      <c r="N45" s="31">
        <f>VLOOKUP($B45,Hitters!$A1:$R401,5,FALSE)</f>
        <v>77.123333333333335</v>
      </c>
      <c r="O45" s="31">
        <f>VLOOKUP($B45,Hitters!$A1:$R401,6,FALSE)</f>
        <v>14.106666666666667</v>
      </c>
      <c r="P45" s="31">
        <f>VLOOKUP($B45,Hitters!$A1:$R401,7,FALSE)</f>
        <v>61.598888888888894</v>
      </c>
      <c r="Q45" s="31">
        <f>VLOOKUP($B45,Hitters!$A1:$R401,8,FALSE)</f>
        <v>28.415555555555557</v>
      </c>
      <c r="R45" s="152">
        <f>VLOOKUP($B45,Hitters!$A$1:$R$401,14,FALSE)</f>
        <v>0.27118571756752319</v>
      </c>
      <c r="S45" s="152">
        <f>VLOOKUP($B45,Hitters!$A$1:$R$401,15,FALSE)</f>
        <v>0.32674778874975113</v>
      </c>
      <c r="T45" s="154">
        <f>VLOOKUP($B45,Hitters!$A$1:$R$401,9,FALSE)</f>
        <v>137.72166666666666</v>
      </c>
      <c r="U45" s="154">
        <f>VLOOKUP($B45,Hitters!$A$1:$R$401,10,FALSE)</f>
        <v>24.64222222222222</v>
      </c>
      <c r="V45" s="154">
        <f>VLOOKUP($B45,Hitters!$A$1:$R$401,11,FALSE)</f>
        <v>3.7977777777777781</v>
      </c>
      <c r="W45" s="154">
        <f>VLOOKUP($B45,Hitters!$A$1:$R$401,12,FALSE)</f>
        <v>34.144999999999996</v>
      </c>
      <c r="X45" s="154">
        <f>VLOOKUP($B45,Hitters!$A$1:$R$401,13,FALSE)</f>
        <v>106.86888888888889</v>
      </c>
      <c r="Y45" s="152">
        <f>VLOOKUP($B45,Hitters!$A$1:$R$401,16,FALSE)</f>
        <v>0.41799634625272114</v>
      </c>
      <c r="Z45" s="152">
        <f>VLOOKUP($B45,Hitters!$A$1:$R$401,17,FALSE)</f>
        <v>0.74474413500247227</v>
      </c>
      <c r="AA45" s="31">
        <f>VLOOKUP($B45,Hitters!$A1:$R401,18,FALSE)</f>
        <v>0</v>
      </c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spans="1:44" ht="18.600000000000001" customHeight="1">
      <c r="A46" s="25">
        <f ca="1">RANK(I46,I$2:I$651)</f>
        <v>45</v>
      </c>
      <c r="B46" s="26" t="s">
        <v>180</v>
      </c>
      <c r="C46" s="27" t="s">
        <v>73</v>
      </c>
      <c r="D46" s="27" t="s">
        <v>74</v>
      </c>
      <c r="E46" s="40" t="s">
        <v>7</v>
      </c>
      <c r="F46" s="41">
        <f ca="1">VLOOKUP(B46,'1B'!A1:I63,IF(Settings!$J$13="points",4,7),FALSE)</f>
        <v>6</v>
      </c>
      <c r="G46" s="30">
        <f>(M46*Settings!$B$2)+(N46*Settings!$B$3)+(O46*Settings!$B$4)+(P46*Settings!$B$5)+(Q46*Settings!$B$6)+((T46-U46-V46-O46)*Settings!$B$9)+(U46*Settings!$B$10)+(V46*Settings!$B$11)+(W46*Settings!$B$12)+(X46*Settings!$B$13)+(AA46*Settings!$B$16)</f>
        <v>479.17277777777781</v>
      </c>
      <c r="H46" s="31">
        <f>VLOOKUP(B46,'Standard Deviations'!$A1:$D651,4,FALSE)</f>
        <v>6.329245279906508</v>
      </c>
      <c r="I46" s="32">
        <f ca="1">IF(Settings!$J$15="no",VLOOKUP(B46,'1B'!A1:I63,IF(Settings!$J$13="points",6,9),FALSE),VLOOKUP(B46,'1B+3B'!$A1:$I104,IF(Settings!$J$13="points",6,9),FALSE))</f>
        <v>6.103764556087989</v>
      </c>
      <c r="J46" s="31"/>
      <c r="K46" s="31">
        <f ca="1">J46-A46</f>
        <v>-45</v>
      </c>
      <c r="L46" s="31"/>
      <c r="M46" s="31">
        <f>VLOOKUP($B46,Hitters!$A1:$R401,4,FALSE)</f>
        <v>570.27777777777783</v>
      </c>
      <c r="N46" s="31">
        <f>VLOOKUP($B46,Hitters!$A1:$R401,5,FALSE)</f>
        <v>91.902222222222221</v>
      </c>
      <c r="O46" s="31">
        <f>VLOOKUP($B46,Hitters!$A1:$R401,6,FALSE)</f>
        <v>34.156666666666666</v>
      </c>
      <c r="P46" s="31">
        <f>VLOOKUP($B46,Hitters!$A1:$R401,7,FALSE)</f>
        <v>99.185000000000002</v>
      </c>
      <c r="Q46" s="31">
        <f>VLOOKUP($B46,Hitters!$A1:$R401,8,FALSE)</f>
        <v>1.9944444444444445</v>
      </c>
      <c r="R46" s="152">
        <f>VLOOKUP($B46,Hitters!$A$1:$R$401,14,FALSE)</f>
        <v>0.25463224549439839</v>
      </c>
      <c r="S46" s="152">
        <f>VLOOKUP($B46,Hitters!$A$1:$R$401,15,FALSE)</f>
        <v>0.34918220123287991</v>
      </c>
      <c r="T46" s="154">
        <f>VLOOKUP($B46,Hitters!$A$1:$R$401,9,FALSE)</f>
        <v>145.21111111111111</v>
      </c>
      <c r="U46" s="154">
        <f>VLOOKUP($B46,Hitters!$A$1:$R$401,10,FALSE)</f>
        <v>31.927777777777777</v>
      </c>
      <c r="V46" s="154">
        <f>VLOOKUP($B46,Hitters!$A$1:$R$401,11,FALSE)</f>
        <v>0.98333333333333339</v>
      </c>
      <c r="W46" s="154">
        <f>VLOOKUP($B46,Hitters!$A$1:$R$401,12,FALSE)</f>
        <v>74.711666666666673</v>
      </c>
      <c r="X46" s="154">
        <f>VLOOKUP($B46,Hitters!$A$1:$R$401,13,FALSE)</f>
        <v>144.3811111111111</v>
      </c>
      <c r="Y46" s="152">
        <f>VLOOKUP($B46,Hitters!$A$1:$R$401,16,FALSE)</f>
        <v>0.4937515830491962</v>
      </c>
      <c r="Z46" s="152">
        <f>VLOOKUP($B46,Hitters!$A$1:$R$401,17,FALSE)</f>
        <v>0.8429337842820761</v>
      </c>
      <c r="AA46" s="31">
        <f>VLOOKUP($B46,Hitters!$A1:$R401,18,FALSE)</f>
        <v>0</v>
      </c>
      <c r="AB46" s="31"/>
      <c r="AC46" s="31"/>
      <c r="AD46" s="33"/>
      <c r="AE46" s="33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spans="1:44" ht="18.600000000000001" customHeight="1">
      <c r="A47" s="25">
        <f ca="1">RANK(I47,I$2:I$651)</f>
        <v>46</v>
      </c>
      <c r="B47" s="26" t="s">
        <v>183</v>
      </c>
      <c r="C47" s="27" t="s">
        <v>114</v>
      </c>
      <c r="D47" s="27" t="s">
        <v>69</v>
      </c>
      <c r="E47" s="38" t="s">
        <v>27</v>
      </c>
      <c r="F47" s="39">
        <f ca="1">VLOOKUP(B47,SS!A1:I45,IF(Settings!$J$13="points",4,7),FALSE)</f>
        <v>5</v>
      </c>
      <c r="G47" s="30">
        <f>(M47*Settings!$B$2)+(N47*Settings!$B$3)+(O47*Settings!$B$4)+(P47*Settings!$B$5)+(Q47*Settings!$B$6)+((T47-U47-V47-O47)*Settings!$B$9)+(U47*Settings!$B$10)+(V47*Settings!$B$11)+(W47*Settings!$B$12)+(X47*Settings!$B$13)+(AA47*Settings!$B$16)</f>
        <v>389.77527777777777</v>
      </c>
      <c r="H47" s="31">
        <f>VLOOKUP(B47,'Standard Deviations'!$A1:$D651,4,FALSE)</f>
        <v>5.9808437390515738</v>
      </c>
      <c r="I47" s="32">
        <f ca="1">IF(Settings!$J$16="no",VLOOKUP(B47,SS!A1:I45,IF(Settings!$J$13="points",6,9),FALSE),VLOOKUP(B47,'2B+SS'!$A1:$I94,IF(Settings!$J$13="points",6,9),FALSE))</f>
        <v>5.9747998064877983</v>
      </c>
      <c r="J47" s="31"/>
      <c r="K47" s="31">
        <f ca="1">J47-A47</f>
        <v>-46</v>
      </c>
      <c r="L47" s="31"/>
      <c r="M47" s="31">
        <f>VLOOKUP($B47,Hitters!$A1:$R401,4,FALSE)</f>
        <v>565.65555555555557</v>
      </c>
      <c r="N47" s="31">
        <f>VLOOKUP($B47,Hitters!$A1:$R401,5,FALSE)</f>
        <v>82.72</v>
      </c>
      <c r="O47" s="31">
        <f>VLOOKUP($B47,Hitters!$A1:$R401,6,FALSE)</f>
        <v>14.093333333333334</v>
      </c>
      <c r="P47" s="31">
        <f>VLOOKUP($B47,Hitters!$A1:$R401,7,FALSE)</f>
        <v>59.306666666666672</v>
      </c>
      <c r="Q47" s="31">
        <f>VLOOKUP($B47,Hitters!$A1:$R401,8,FALSE)</f>
        <v>20.126666666666669</v>
      </c>
      <c r="R47" s="152">
        <f>VLOOKUP($B47,Hitters!$A$1:$R$401,14,FALSE)</f>
        <v>0.28966391011412518</v>
      </c>
      <c r="S47" s="152">
        <f>VLOOKUP($B47,Hitters!$A$1:$R$401,15,FALSE)</f>
        <v>0.33005617028514705</v>
      </c>
      <c r="T47" s="154">
        <f>VLOOKUP($B47,Hitters!$A$1:$R$401,9,FALSE)</f>
        <v>163.85</v>
      </c>
      <c r="U47" s="154">
        <f>VLOOKUP($B47,Hitters!$A$1:$R$401,10,FALSE)</f>
        <v>29.487777777777779</v>
      </c>
      <c r="V47" s="154">
        <f>VLOOKUP($B47,Hitters!$A$1:$R$401,11,FALSE)</f>
        <v>1.5033333333333332</v>
      </c>
      <c r="W47" s="154">
        <f>VLOOKUP($B47,Hitters!$A$1:$R$401,12,FALSE)</f>
        <v>25.536666666666665</v>
      </c>
      <c r="X47" s="154">
        <f>VLOOKUP($B47,Hitters!$A$1:$R$401,13,FALSE)</f>
        <v>113.33166666666665</v>
      </c>
      <c r="Y47" s="152">
        <f>VLOOKUP($B47,Hitters!$A$1:$R$401,16,FALSE)</f>
        <v>0.4218546818833605</v>
      </c>
      <c r="Z47" s="152">
        <f>VLOOKUP($B47,Hitters!$A$1:$R$401,17,FALSE)</f>
        <v>0.75191085216850762</v>
      </c>
      <c r="AA47" s="31">
        <f>VLOOKUP($B47,Hitters!$A1:$R401,18,FALSE)</f>
        <v>0</v>
      </c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</row>
    <row r="48" spans="1:44" ht="18.600000000000001" customHeight="1">
      <c r="A48" s="25">
        <f ca="1">RANK(I48,I$2:I$651)</f>
        <v>47</v>
      </c>
      <c r="B48" s="26" t="s">
        <v>133</v>
      </c>
      <c r="C48" s="27" t="s">
        <v>134</v>
      </c>
      <c r="D48" s="27" t="s">
        <v>74</v>
      </c>
      <c r="E48" s="36" t="s">
        <v>31</v>
      </c>
      <c r="F48" s="37">
        <f ca="1">VLOOKUP(B48,SP!A1:I161,IF(Settings!$J$13="points",4,7),FALSE)</f>
        <v>14</v>
      </c>
      <c r="G48" s="30">
        <f>(AC48*Settings!$F$2)+(AF48*Settings!$F$5)+(AG48*Settings!$F$6)+(AH48*Settings!$F$7)+(AI48*Settings!$F$8)+(AJ48*Settings!$F$9)+(AK48*Settings!$F$10)+(AL48*Settings!$F$11)+(AM48*Settings!$F$12)+(AN48*Settings!$F$13)+(AO48*Settings!$F$14)+(AP48*Settings!$F$15)+(AQ48*Settings!$F$16)+(AR48*Settings!$F$17)</f>
        <v>507.75223333333321</v>
      </c>
      <c r="H48" s="31">
        <f>VLOOKUP(B48,'Standard Deviations'!$A1:$D651,4,FALSE)</f>
        <v>5.0351465828187649</v>
      </c>
      <c r="I48" s="32">
        <f ca="1">IF(Settings!$J$16="no",VLOOKUP(B48,SP!A1:I161,IF(Settings!$J$13="points",6,9),FALSE),VLOOKUP(B48,'SP+RP'!$A1:$I251,IF(Settings!$J$13="points",6,9),FALSE))</f>
        <v>5.9027240807408861</v>
      </c>
      <c r="J48" s="31"/>
      <c r="K48" s="31">
        <f ca="1">J48-A48</f>
        <v>-47</v>
      </c>
      <c r="L48" s="31"/>
      <c r="M48" s="31"/>
      <c r="N48" s="31"/>
      <c r="O48" s="31"/>
      <c r="P48" s="31"/>
      <c r="Q48" s="31"/>
      <c r="R48" s="152"/>
      <c r="S48" s="152"/>
      <c r="T48" s="154"/>
      <c r="U48" s="154"/>
      <c r="V48" s="154"/>
      <c r="W48" s="154"/>
      <c r="X48" s="154"/>
      <c r="Y48" s="152"/>
      <c r="Z48" s="152"/>
      <c r="AA48" s="31"/>
      <c r="AB48" s="31"/>
      <c r="AC48" s="31">
        <f>VLOOKUP($B48,Pitchers!$A1:$S251,4,FALSE)</f>
        <v>205.8122222222222</v>
      </c>
      <c r="AD48" s="33">
        <f>VLOOKUP($B48,Pitchers!$A1:$S251,5,FALSE)</f>
        <v>3.3088413926394611</v>
      </c>
      <c r="AE48" s="33">
        <f>VLOOKUP($B48,Pitchers!$A1:$S251,6,FALSE)</f>
        <v>1.1315060653994204</v>
      </c>
      <c r="AF48" s="31">
        <f>VLOOKUP($B48,Pitchers!$A1:$S251,7,FALSE)</f>
        <v>192.1477777777778</v>
      </c>
      <c r="AG48" s="31">
        <f>VLOOKUP($B48,Pitchers!$A1:$S251,8,FALSE)</f>
        <v>12.983333333333334</v>
      </c>
      <c r="AH48" s="31">
        <f>VLOOKUP($B48,Pitchers!$A1:$S251,9,FALSE)</f>
        <v>0</v>
      </c>
      <c r="AI48" s="31">
        <f>VLOOKUP($B48,Pitchers!$A1:$S251,10,FALSE)</f>
        <v>75.666666666666671</v>
      </c>
      <c r="AJ48" s="31">
        <f>VLOOKUP($B48,Pitchers!$A1:$S251,11,FALSE)</f>
        <v>181.20000000000002</v>
      </c>
      <c r="AK48" s="31">
        <f>VLOOKUP($B48,Pitchers!$A1:$S251,12,FALSE)</f>
        <v>51.677777777777777</v>
      </c>
      <c r="AL48" s="31">
        <f>VLOOKUP($B48,Pitchers!$A1:$S251,13,FALSE)</f>
        <v>19.3</v>
      </c>
      <c r="AM48" s="31">
        <f>VLOOKUP($B48,Pitchers!$A1:$S251,14,FALSE)</f>
        <v>30.986666666666668</v>
      </c>
      <c r="AN48" s="31">
        <f>VLOOKUP($B48,Pitchers!$A1:$S251,15,FALSE)</f>
        <v>31.02</v>
      </c>
      <c r="AO48" s="31">
        <f>VLOOKUP($B48,Pitchers!$A1:$S251,16,FALSE)</f>
        <v>9.9922222222222228</v>
      </c>
      <c r="AP48" s="31">
        <f>VLOOKUP($B48,Pitchers!$A1:$S251,17,FALSE)</f>
        <v>20.621300000000002</v>
      </c>
      <c r="AQ48" s="31">
        <f>VLOOKUP($B48,Pitchers!$A1:$S251,18,FALSE)</f>
        <v>0</v>
      </c>
      <c r="AR48" s="31">
        <f>VLOOKUP($B48,Pitchers!$A1:$S251,19,FALSE)</f>
        <v>0</v>
      </c>
    </row>
    <row r="49" spans="1:44" ht="18.600000000000001" customHeight="1">
      <c r="A49" s="25">
        <f ca="1">RANK(I49,I$2:I$651)</f>
        <v>48</v>
      </c>
      <c r="B49" s="26" t="s">
        <v>202</v>
      </c>
      <c r="C49" s="27" t="s">
        <v>95</v>
      </c>
      <c r="D49" s="27" t="s">
        <v>74</v>
      </c>
      <c r="E49" s="38" t="s">
        <v>27</v>
      </c>
      <c r="F49" s="39">
        <f ca="1">VLOOKUP(B49,SS!A1:I45,IF(Settings!$J$13="points",4,7),FALSE)</f>
        <v>6</v>
      </c>
      <c r="G49" s="30">
        <f>(M49*Settings!$B$2)+(N49*Settings!$B$3)+(O49*Settings!$B$4)+(P49*Settings!$B$5)+(Q49*Settings!$B$6)+((T49-U49-V49-O49)*Settings!$B$9)+(U49*Settings!$B$10)+(V49*Settings!$B$11)+(W49*Settings!$B$12)+(X49*Settings!$B$13)+(AA49*Settings!$B$16)</f>
        <v>449.60500000000008</v>
      </c>
      <c r="H49" s="31">
        <f>VLOOKUP(B49,'Standard Deviations'!$A1:$D651,4,FALSE)</f>
        <v>5.8731723908950242</v>
      </c>
      <c r="I49" s="32">
        <f ca="1">IF(Settings!$J$16="no",VLOOKUP(B49,SS!A1:I45,IF(Settings!$J$13="points",6,9),FALSE),VLOOKUP(B49,'2B+SS'!$A1:$I94,IF(Settings!$J$13="points",6,9),FALSE))</f>
        <v>5.8671303078551231</v>
      </c>
      <c r="J49" s="31"/>
      <c r="K49" s="31">
        <f ca="1">J49-A49</f>
        <v>-48</v>
      </c>
      <c r="L49" s="31"/>
      <c r="M49" s="31">
        <f>VLOOKUP($B49,Hitters!$A1:$R401,4,FALSE)</f>
        <v>582.93333333333328</v>
      </c>
      <c r="N49" s="31">
        <f>VLOOKUP($B49,Hitters!$A1:$R401,5,FALSE)</f>
        <v>85.171111111111102</v>
      </c>
      <c r="O49" s="31">
        <f>VLOOKUP($B49,Hitters!$A1:$R401,6,FALSE)</f>
        <v>23.570000000000004</v>
      </c>
      <c r="P49" s="31">
        <f>VLOOKUP($B49,Hitters!$A1:$R401,7,FALSE)</f>
        <v>85.992222222222225</v>
      </c>
      <c r="Q49" s="31">
        <f>VLOOKUP($B49,Hitters!$A1:$R401,8,FALSE)</f>
        <v>15.153333333333334</v>
      </c>
      <c r="R49" s="152">
        <f>VLOOKUP($B49,Hitters!$A$1:$R$401,14,FALSE)</f>
        <v>0.25285338517840811</v>
      </c>
      <c r="S49" s="152">
        <f>VLOOKUP($B49,Hitters!$A$1:$R$401,15,FALSE)</f>
        <v>0.32905637315577341</v>
      </c>
      <c r="T49" s="154">
        <f>VLOOKUP($B49,Hitters!$A$1:$R$401,9,FALSE)</f>
        <v>147.39666666666668</v>
      </c>
      <c r="U49" s="154">
        <f>VLOOKUP($B49,Hitters!$A$1:$R$401,10,FALSE)</f>
        <v>26.599999999999998</v>
      </c>
      <c r="V49" s="154">
        <f>VLOOKUP($B49,Hitters!$A$1:$R$401,11,FALSE)</f>
        <v>3.0116666666666667</v>
      </c>
      <c r="W49" s="154">
        <f>VLOOKUP($B49,Hitters!$A$1:$R$401,12,FALSE)</f>
        <v>57.351666666666659</v>
      </c>
      <c r="X49" s="154">
        <f>VLOOKUP($B49,Hitters!$A$1:$R$401,13,FALSE)</f>
        <v>119.89333333333333</v>
      </c>
      <c r="Y49" s="152">
        <f>VLOOKUP($B49,Hitters!$A$1:$R$401,16,FALSE)</f>
        <v>0.4301177950594694</v>
      </c>
      <c r="Z49" s="152">
        <f>VLOOKUP($B49,Hitters!$A$1:$R$401,17,FALSE)</f>
        <v>0.75917416821524286</v>
      </c>
      <c r="AA49" s="31">
        <f>VLOOKUP($B49,Hitters!$A1:$R401,18,FALSE)</f>
        <v>0</v>
      </c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spans="1:44" ht="18.600000000000001" customHeight="1">
      <c r="A50" s="25">
        <f ca="1">RANK(I50,I$2:I$651)</f>
        <v>49</v>
      </c>
      <c r="B50" s="26" t="s">
        <v>118</v>
      </c>
      <c r="C50" s="27" t="s">
        <v>94</v>
      </c>
      <c r="D50" s="27" t="s">
        <v>69</v>
      </c>
      <c r="E50" s="28" t="s">
        <v>23</v>
      </c>
      <c r="F50" s="29">
        <f ca="1">VLOOKUP(B50,OF!A1:I139,IF(Settings!$J$13="points",4,7),FALSE)</f>
        <v>15</v>
      </c>
      <c r="G50" s="30">
        <f>(M50*Settings!$B$2)+(N50*Settings!$B$3)+(O50*Settings!$B$4)+(P50*Settings!$B$5)+(Q50*Settings!$B$6)+((T50-U50-V50-O50)*Settings!$B$9)+(U50*Settings!$B$10)+(V50*Settings!$B$11)+(W50*Settings!$B$12)+(X50*Settings!$B$13)+(AA50*Settings!$B$16)</f>
        <v>432.17888888888893</v>
      </c>
      <c r="H50" s="31">
        <f>VLOOKUP(B50,'Standard Deviations'!$A1:$D651,4,FALSE)</f>
        <v>5.6847343879969179</v>
      </c>
      <c r="I50" s="32">
        <f ca="1">VLOOKUP(B50,OF!A1:I139,IF(Settings!$J$13="points",6,9),FALSE)</f>
        <v>5.841662274102446</v>
      </c>
      <c r="J50" s="31"/>
      <c r="K50" s="31">
        <f ca="1">J50-A50</f>
        <v>-49</v>
      </c>
      <c r="L50" s="31"/>
      <c r="M50" s="31">
        <f>VLOOKUP($B50,Hitters!$A1:$R401,4,FALSE)</f>
        <v>520.48888888888894</v>
      </c>
      <c r="N50" s="31">
        <f>VLOOKUP($B50,Hitters!$A1:$R401,5,FALSE)</f>
        <v>88.428333333333327</v>
      </c>
      <c r="O50" s="31">
        <f>VLOOKUP($B50,Hitters!$A1:$R401,6,FALSE)</f>
        <v>26.612222222222226</v>
      </c>
      <c r="P50" s="31">
        <f>VLOOKUP($B50,Hitters!$A1:$R401,7,FALSE)</f>
        <v>75.536666666666676</v>
      </c>
      <c r="Q50" s="31">
        <f>VLOOKUP($B50,Hitters!$A1:$R401,8,FALSE)</f>
        <v>11.483333333333334</v>
      </c>
      <c r="R50" s="152">
        <f>VLOOKUP($B50,Hitters!$A$1:$R$401,14,FALSE)</f>
        <v>0.25828708052258559</v>
      </c>
      <c r="S50" s="152">
        <f>VLOOKUP($B50,Hitters!$A$1:$R$401,15,FALSE)</f>
        <v>0.34081970235568265</v>
      </c>
      <c r="T50" s="154">
        <f>VLOOKUP($B50,Hitters!$A$1:$R$401,9,FALSE)</f>
        <v>134.43555555555557</v>
      </c>
      <c r="U50" s="154">
        <f>VLOOKUP($B50,Hitters!$A$1:$R$401,10,FALSE)</f>
        <v>24.78222222222222</v>
      </c>
      <c r="V50" s="154">
        <f>VLOOKUP($B50,Hitters!$A$1:$R$401,11,FALSE)</f>
        <v>3.0150000000000001</v>
      </c>
      <c r="W50" s="154">
        <f>VLOOKUP($B50,Hitters!$A$1:$R$401,12,FALSE)</f>
        <v>57.537777777777784</v>
      </c>
      <c r="X50" s="154">
        <f>VLOOKUP($B50,Hitters!$A$1:$R$401,13,FALSE)</f>
        <v>114.75</v>
      </c>
      <c r="Y50" s="152">
        <f>VLOOKUP($B50,Hitters!$A$1:$R$401,16,FALSE)</f>
        <v>0.47087353769959861</v>
      </c>
      <c r="Z50" s="152">
        <f>VLOOKUP($B50,Hitters!$A$1:$R$401,17,FALSE)</f>
        <v>0.81169324005528121</v>
      </c>
      <c r="AA50" s="31">
        <f>VLOOKUP($B50,Hitters!$A1:$R401,18,FALSE)</f>
        <v>0</v>
      </c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spans="1:44" ht="18.600000000000001" customHeight="1">
      <c r="A51" s="25">
        <f ca="1">RANK(I51,I$2:I$651)</f>
        <v>50</v>
      </c>
      <c r="B51" s="26" t="s">
        <v>181</v>
      </c>
      <c r="C51" s="27" t="s">
        <v>78</v>
      </c>
      <c r="D51" s="27" t="s">
        <v>69</v>
      </c>
      <c r="E51" s="42" t="s">
        <v>34</v>
      </c>
      <c r="F51" s="43">
        <f ca="1">VLOOKUP(B51,RP!A1:I91,IF(Settings!$J$13="points",4,7),FALSE)</f>
        <v>3</v>
      </c>
      <c r="G51" s="30">
        <f>(AC51*Settings!$F$2)+(AF51*Settings!$F$5)+(AG51*Settings!$F$6)+(AH51*Settings!$F$7)+(AI51*Settings!$F$8)+(AJ51*Settings!$F$9)+(AK51*Settings!$F$10)+(AL51*Settings!$F$11)+(AM51*Settings!$F$12)+(AN51*Settings!$F$13)+(AO51*Settings!$F$14)+(AP51*Settings!$F$15)+(AQ51*Settings!$F$16)+(AR51*Settings!$F$17)</f>
        <v>355.56611111111107</v>
      </c>
      <c r="H51" s="31">
        <f>VLOOKUP(B51,'Standard Deviations'!$A1:$D651,4,FALSE)</f>
        <v>4.9379824598970643</v>
      </c>
      <c r="I51" s="32">
        <f ca="1">IF(Settings!$J$16="no",VLOOKUP(B51,RP!A1:I91,IF(Settings!$J$13="points",6,9),FALSE),VLOOKUP(B51,'SP+RP'!$A1:$I251,IF(Settings!$J$13="points",6,9),FALSE))</f>
        <v>5.8055642646561898</v>
      </c>
      <c r="J51" s="31"/>
      <c r="K51" s="31">
        <f ca="1">J51-A51</f>
        <v>-50</v>
      </c>
      <c r="L51" s="31"/>
      <c r="M51" s="31"/>
      <c r="N51" s="31"/>
      <c r="O51" s="31"/>
      <c r="P51" s="31"/>
      <c r="Q51" s="31"/>
      <c r="R51" s="152"/>
      <c r="S51" s="152"/>
      <c r="T51" s="154"/>
      <c r="U51" s="154"/>
      <c r="V51" s="154"/>
      <c r="W51" s="154"/>
      <c r="X51" s="154"/>
      <c r="Y51" s="152"/>
      <c r="Z51" s="152"/>
      <c r="AA51" s="31"/>
      <c r="AB51" s="31"/>
      <c r="AC51" s="31">
        <f>VLOOKUP($B51,Pitchers!$A1:$S251,4,FALSE)</f>
        <v>58.29666666666666</v>
      </c>
      <c r="AD51" s="33">
        <f>VLOOKUP($B51,Pitchers!$A1:$S251,5,FALSE)</f>
        <v>3.0545485733889879</v>
      </c>
      <c r="AE51" s="33">
        <f>VLOOKUP($B51,Pitchers!$A1:$S251,6,FALSE)</f>
        <v>1.0806602245220807</v>
      </c>
      <c r="AF51" s="31">
        <f>VLOOKUP($B51,Pitchers!$A1:$S251,7,FALSE)</f>
        <v>70.290000000000006</v>
      </c>
      <c r="AG51" s="31">
        <f>VLOOKUP($B51,Pitchers!$A1:$S251,8,FALSE)</f>
        <v>3.7522222222222221</v>
      </c>
      <c r="AH51" s="31">
        <f>VLOOKUP($B51,Pitchers!$A1:$S251,9,FALSE)</f>
        <v>30.322222222222223</v>
      </c>
      <c r="AI51" s="31">
        <f>VLOOKUP($B51,Pitchers!$A1:$S251,10,FALSE)</f>
        <v>19.785555555555558</v>
      </c>
      <c r="AJ51" s="31">
        <f>VLOOKUP($B51,Pitchers!$A1:$S251,11,FALSE)</f>
        <v>47.363333333333337</v>
      </c>
      <c r="AK51" s="31">
        <f>VLOOKUP($B51,Pitchers!$A1:$S251,12,FALSE)</f>
        <v>15.635555555555555</v>
      </c>
      <c r="AL51" s="31">
        <f>VLOOKUP($B51,Pitchers!$A1:$S251,13,FALSE)</f>
        <v>5.166666666666667</v>
      </c>
      <c r="AM51" s="31">
        <f>VLOOKUP($B51,Pitchers!$A1:$S251,14,FALSE)</f>
        <v>59.32</v>
      </c>
      <c r="AN51" s="31">
        <f>VLOOKUP($B51,Pitchers!$A1:$S251,15,FALSE)</f>
        <v>0</v>
      </c>
      <c r="AO51" s="31">
        <f>VLOOKUP($B51,Pitchers!$A1:$S251,16,FALSE)</f>
        <v>2.0411111111111109</v>
      </c>
      <c r="AP51" s="31">
        <f>VLOOKUP($B51,Pitchers!$A1:$S251,17,FALSE)</f>
        <v>0</v>
      </c>
      <c r="AQ51" s="31">
        <f>VLOOKUP($B51,Pitchers!$A1:$S251,18,FALSE)</f>
        <v>1.5</v>
      </c>
      <c r="AR51" s="31">
        <f>VLOOKUP($B51,Pitchers!$A1:$S251,19,FALSE)</f>
        <v>4</v>
      </c>
    </row>
    <row r="52" spans="1:44" ht="18.600000000000001" customHeight="1">
      <c r="A52" s="25">
        <f ca="1">RANK(I52,I$2:I$651)</f>
        <v>51</v>
      </c>
      <c r="B52" s="26" t="s">
        <v>147</v>
      </c>
      <c r="C52" s="27" t="s">
        <v>94</v>
      </c>
      <c r="D52" s="27" t="s">
        <v>69</v>
      </c>
      <c r="E52" s="36" t="s">
        <v>31</v>
      </c>
      <c r="F52" s="37">
        <f ca="1">VLOOKUP(B52,SP!A1:I161,IF(Settings!$J$13="points",4,7),FALSE)</f>
        <v>15</v>
      </c>
      <c r="G52" s="30">
        <f>(AC52*Settings!$F$2)+(AF52*Settings!$F$5)+(AG52*Settings!$F$6)+(AH52*Settings!$F$7)+(AI52*Settings!$F$8)+(AJ52*Settings!$F$9)+(AK52*Settings!$F$10)+(AL52*Settings!$F$11)+(AM52*Settings!$F$12)+(AN52*Settings!$F$13)+(AO52*Settings!$F$14)+(AP52*Settings!$F$15)+(AQ52*Settings!$F$16)+(AR52*Settings!$F$17)</f>
        <v>465.13944444444456</v>
      </c>
      <c r="H52" s="31">
        <f>VLOOKUP(B52,'Standard Deviations'!$A1:$D651,4,FALSE)</f>
        <v>4.9284666939339132</v>
      </c>
      <c r="I52" s="32">
        <f ca="1">IF(Settings!$J$16="no",VLOOKUP(B52,SP!A1:I161,IF(Settings!$J$13="points",6,9),FALSE),VLOOKUP(B52,'SP+RP'!$A1:$I251,IF(Settings!$J$13="points",6,9),FALSE))</f>
        <v>5.7960465726251451</v>
      </c>
      <c r="J52" s="31"/>
      <c r="K52" s="31">
        <f ca="1">J52-A52</f>
        <v>-51</v>
      </c>
      <c r="L52" s="31"/>
      <c r="M52" s="31"/>
      <c r="N52" s="31"/>
      <c r="O52" s="31"/>
      <c r="P52" s="31"/>
      <c r="Q52" s="31"/>
      <c r="R52" s="152"/>
      <c r="S52" s="152"/>
      <c r="T52" s="154"/>
      <c r="U52" s="154"/>
      <c r="V52" s="154"/>
      <c r="W52" s="154"/>
      <c r="X52" s="154"/>
      <c r="Y52" s="152"/>
      <c r="Z52" s="152"/>
      <c r="AA52" s="31"/>
      <c r="AB52" s="31"/>
      <c r="AC52" s="31">
        <f>VLOOKUP($B52,Pitchers!$A1:$S251,4,FALSE)</f>
        <v>177.15222222222224</v>
      </c>
      <c r="AD52" s="33">
        <f>VLOOKUP($B52,Pitchers!$A1:$S251,5,FALSE)</f>
        <v>3.4540351361352757</v>
      </c>
      <c r="AE52" s="33">
        <f>VLOOKUP($B52,Pitchers!$A1:$S251,6,FALSE)</f>
        <v>1.1185797525041237</v>
      </c>
      <c r="AF52" s="31">
        <f>VLOOKUP($B52,Pitchers!$A1:$S251,7,FALSE)</f>
        <v>196.17444444444445</v>
      </c>
      <c r="AG52" s="31">
        <f>VLOOKUP($B52,Pitchers!$A1:$S251,8,FALSE)</f>
        <v>12.965555555555556</v>
      </c>
      <c r="AH52" s="31">
        <f>VLOOKUP($B52,Pitchers!$A1:$S251,9,FALSE)</f>
        <v>0</v>
      </c>
      <c r="AI52" s="31">
        <f>VLOOKUP($B52,Pitchers!$A1:$S251,10,FALSE)</f>
        <v>67.987777777777779</v>
      </c>
      <c r="AJ52" s="31">
        <f>VLOOKUP($B52,Pitchers!$A1:$S251,11,FALSE)</f>
        <v>159.50444444444443</v>
      </c>
      <c r="AK52" s="31">
        <f>VLOOKUP($B52,Pitchers!$A1:$S251,12,FALSE)</f>
        <v>38.654444444444444</v>
      </c>
      <c r="AL52" s="31">
        <f>VLOOKUP($B52,Pitchers!$A1:$S251,13,FALSE)</f>
        <v>21.900000000000002</v>
      </c>
      <c r="AM52" s="31">
        <f>VLOOKUP($B52,Pitchers!$A1:$S251,14,FALSE)</f>
        <v>30.331111111111113</v>
      </c>
      <c r="AN52" s="31">
        <f>VLOOKUP($B52,Pitchers!$A1:$S251,15,FALSE)</f>
        <v>30.331111111111113</v>
      </c>
      <c r="AO52" s="31">
        <f>VLOOKUP($B52,Pitchers!$A1:$S251,16,FALSE)</f>
        <v>8.0033333333333321</v>
      </c>
      <c r="AP52" s="31">
        <f>VLOOKUP($B52,Pitchers!$A1:$S251,17,FALSE)</f>
        <v>17</v>
      </c>
      <c r="AQ52" s="31">
        <f>VLOOKUP($B52,Pitchers!$A1:$S251,18,FALSE)</f>
        <v>0</v>
      </c>
      <c r="AR52" s="31">
        <f>VLOOKUP($B52,Pitchers!$A1:$S251,19,FALSE)</f>
        <v>0</v>
      </c>
    </row>
    <row r="53" spans="1:44" ht="18.600000000000001" customHeight="1">
      <c r="A53" s="25">
        <f ca="1">RANK(I53,I$2:I$651)</f>
        <v>52</v>
      </c>
      <c r="B53" s="26" t="s">
        <v>144</v>
      </c>
      <c r="C53" s="27" t="s">
        <v>91</v>
      </c>
      <c r="D53" s="27" t="s">
        <v>74</v>
      </c>
      <c r="E53" s="36" t="s">
        <v>31</v>
      </c>
      <c r="F53" s="37">
        <f ca="1">VLOOKUP(B53,SP!A1:I161,IF(Settings!$J$13="points",4,7),FALSE)</f>
        <v>16</v>
      </c>
      <c r="G53" s="30">
        <f>(AC53*Settings!$F$2)+(AF53*Settings!$F$5)+(AG53*Settings!$F$6)+(AH53*Settings!$F$7)+(AI53*Settings!$F$8)+(AJ53*Settings!$F$9)+(AK53*Settings!$F$10)+(AL53*Settings!$F$11)+(AM53*Settings!$F$12)+(AN53*Settings!$F$13)+(AO53*Settings!$F$14)+(AP53*Settings!$F$15)+(AQ53*Settings!$F$16)+(AR53*Settings!$F$17)</f>
        <v>472.44777777777773</v>
      </c>
      <c r="H53" s="31">
        <f>VLOOKUP(B53,'Standard Deviations'!$A1:$D651,4,FALSE)</f>
        <v>4.8847106598886265</v>
      </c>
      <c r="I53" s="32">
        <f ca="1">IF(Settings!$J$16="no",VLOOKUP(B53,SP!A1:I161,IF(Settings!$J$13="points",6,9),FALSE),VLOOKUP(B53,'SP+RP'!$A1:$I251,IF(Settings!$J$13="points",6,9),FALSE))</f>
        <v>5.7522905579429979</v>
      </c>
      <c r="J53" s="31"/>
      <c r="K53" s="31">
        <f ca="1">J53-A53</f>
        <v>-52</v>
      </c>
      <c r="L53" s="31"/>
      <c r="M53" s="31"/>
      <c r="N53" s="31"/>
      <c r="O53" s="31"/>
      <c r="P53" s="31"/>
      <c r="Q53" s="31"/>
      <c r="R53" s="152"/>
      <c r="S53" s="152"/>
      <c r="T53" s="154"/>
      <c r="U53" s="154"/>
      <c r="V53" s="154"/>
      <c r="W53" s="154"/>
      <c r="X53" s="154"/>
      <c r="Y53" s="152"/>
      <c r="Z53" s="152"/>
      <c r="AA53" s="31"/>
      <c r="AB53" s="31"/>
      <c r="AC53" s="31">
        <f>VLOOKUP($B53,Pitchers!$A1:$S251,4,FALSE)</f>
        <v>182.91777777777779</v>
      </c>
      <c r="AD53" s="33">
        <f>VLOOKUP($B53,Pitchers!$A1:$S251,5,FALSE)</f>
        <v>3.3255925552464376</v>
      </c>
      <c r="AE53" s="33">
        <f>VLOOKUP($B53,Pitchers!$A1:$S251,6,FALSE)</f>
        <v>1.1266385625599844</v>
      </c>
      <c r="AF53" s="31">
        <f>VLOOKUP($B53,Pitchers!$A1:$S251,7,FALSE)</f>
        <v>184.50222222222223</v>
      </c>
      <c r="AG53" s="31">
        <f>VLOOKUP($B53,Pitchers!$A1:$S251,8,FALSE)</f>
        <v>12.968888888888889</v>
      </c>
      <c r="AH53" s="31">
        <f>VLOOKUP($B53,Pitchers!$A1:$S251,9,FALSE)</f>
        <v>0</v>
      </c>
      <c r="AI53" s="31">
        <f>VLOOKUP($B53,Pitchers!$A1:$S251,10,FALSE)</f>
        <v>67.59</v>
      </c>
      <c r="AJ53" s="31">
        <f>VLOOKUP($B53,Pitchers!$A1:$S251,11,FALSE)</f>
        <v>162.21777777777777</v>
      </c>
      <c r="AK53" s="31">
        <f>VLOOKUP($B53,Pitchers!$A1:$S251,12,FALSE)</f>
        <v>43.864444444444445</v>
      </c>
      <c r="AL53" s="31">
        <f>VLOOKUP($B53,Pitchers!$A1:$S251,13,FALSE)</f>
        <v>17.966666666666665</v>
      </c>
      <c r="AM53" s="31">
        <f>VLOOKUP($B53,Pitchers!$A1:$S251,14,FALSE)</f>
        <v>29.64222222222222</v>
      </c>
      <c r="AN53" s="31">
        <f>VLOOKUP($B53,Pitchers!$A1:$S251,15,FALSE)</f>
        <v>29.64222222222222</v>
      </c>
      <c r="AO53" s="31">
        <f>VLOOKUP($B53,Pitchers!$A1:$S251,16,FALSE)</f>
        <v>8.5333333333333332</v>
      </c>
      <c r="AP53" s="31">
        <f>VLOOKUP($B53,Pitchers!$A1:$S251,17,FALSE)</f>
        <v>19</v>
      </c>
      <c r="AQ53" s="31">
        <f>VLOOKUP($B53,Pitchers!$A1:$S251,18,FALSE)</f>
        <v>0</v>
      </c>
      <c r="AR53" s="31">
        <f>VLOOKUP($B53,Pitchers!$A1:$S251,19,FALSE)</f>
        <v>0</v>
      </c>
    </row>
    <row r="54" spans="1:44" ht="18.600000000000001" customHeight="1">
      <c r="A54" s="25">
        <f ca="1">RANK(I54,I$2:I$651)</f>
        <v>53</v>
      </c>
      <c r="B54" s="26" t="s">
        <v>136</v>
      </c>
      <c r="C54" s="27" t="s">
        <v>137</v>
      </c>
      <c r="D54" s="27" t="s">
        <v>74</v>
      </c>
      <c r="E54" s="28" t="s">
        <v>23</v>
      </c>
      <c r="F54" s="29">
        <f ca="1">VLOOKUP(B54,OF!A1:I139,IF(Settings!$J$13="points",4,7),FALSE)</f>
        <v>16</v>
      </c>
      <c r="G54" s="30">
        <f>(M54*Settings!$B$2)+(N54*Settings!$B$3)+(O54*Settings!$B$4)+(P54*Settings!$B$5)+(Q54*Settings!$B$6)+((T54-U54-V54-O54)*Settings!$B$9)+(U54*Settings!$B$10)+(V54*Settings!$B$11)+(W54*Settings!$B$12)+(X54*Settings!$B$13)+(AA54*Settings!$B$16)</f>
        <v>438.21222222222229</v>
      </c>
      <c r="H54" s="31">
        <f>VLOOKUP(B54,'Standard Deviations'!$A1:$D651,4,FALSE)</f>
        <v>5.5272179399730232</v>
      </c>
      <c r="I54" s="32">
        <f ca="1">VLOOKUP(B54,OF!A1:I139,IF(Settings!$J$13="points",6,9),FALSE)</f>
        <v>5.6841451404854393</v>
      </c>
      <c r="J54" s="31"/>
      <c r="K54" s="31">
        <f ca="1">J54-A54</f>
        <v>-53</v>
      </c>
      <c r="L54" s="31"/>
      <c r="M54" s="31">
        <f>VLOOKUP($B54,Hitters!$A1:$R401,4,FALSE)</f>
        <v>566.23333333333335</v>
      </c>
      <c r="N54" s="31">
        <f>VLOOKUP($B54,Hitters!$A1:$R401,5,FALSE)</f>
        <v>85.64222222222223</v>
      </c>
      <c r="O54" s="31">
        <f>VLOOKUP($B54,Hitters!$A1:$R401,6,FALSE)</f>
        <v>23.604444444444443</v>
      </c>
      <c r="P54" s="31">
        <f>VLOOKUP($B54,Hitters!$A1:$R401,7,FALSE)</f>
        <v>79.525555555555556</v>
      </c>
      <c r="Q54" s="31">
        <f>VLOOKUP($B54,Hitters!$A1:$R401,8,FALSE)</f>
        <v>7.5588888888888883</v>
      </c>
      <c r="R54" s="152">
        <f>VLOOKUP($B54,Hitters!$A$1:$R$401,14,FALSE)</f>
        <v>0.27214732834912975</v>
      </c>
      <c r="S54" s="152">
        <f>VLOOKUP($B54,Hitters!$A$1:$R$401,15,FALSE)</f>
        <v>0.35357205221213261</v>
      </c>
      <c r="T54" s="154">
        <f>VLOOKUP($B54,Hitters!$A$1:$R$401,9,FALSE)</f>
        <v>154.09888888888889</v>
      </c>
      <c r="U54" s="154">
        <f>VLOOKUP($B54,Hitters!$A$1:$R$401,10,FALSE)</f>
        <v>29.262222222222221</v>
      </c>
      <c r="V54" s="154">
        <f>VLOOKUP($B54,Hitters!$A$1:$R$401,11,FALSE)</f>
        <v>4.3600000000000003</v>
      </c>
      <c r="W54" s="154">
        <f>VLOOKUP($B54,Hitters!$A$1:$R$401,12,FALSE)</f>
        <v>63.361666666666672</v>
      </c>
      <c r="X54" s="154">
        <f>VLOOKUP($B54,Hitters!$A$1:$R$401,13,FALSE)</f>
        <v>136.6588888888889</v>
      </c>
      <c r="Y54" s="152">
        <f>VLOOKUP($B54,Hitters!$A$1:$R$401,16,FALSE)</f>
        <v>0.46428641510174445</v>
      </c>
      <c r="Z54" s="152">
        <f>VLOOKUP($B54,Hitters!$A$1:$R$401,17,FALSE)</f>
        <v>0.81785846731387712</v>
      </c>
      <c r="AA54" s="31">
        <f>VLOOKUP($B54,Hitters!$A1:$R401,18,FALSE)</f>
        <v>0</v>
      </c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spans="1:44" ht="18.600000000000001" customHeight="1">
      <c r="A55" s="25">
        <f ca="1">RANK(I55,I$2:I$651)</f>
        <v>54</v>
      </c>
      <c r="B55" s="26" t="s">
        <v>192</v>
      </c>
      <c r="C55" s="27" t="s">
        <v>123</v>
      </c>
      <c r="D55" s="27" t="s">
        <v>74</v>
      </c>
      <c r="E55" s="48" t="s">
        <v>11</v>
      </c>
      <c r="F55" s="49">
        <f ca="1">VLOOKUP(B55,'2B'!A1:I50,IF(Settings!$J$13="points",4,7),FALSE)</f>
        <v>3</v>
      </c>
      <c r="G55" s="30">
        <f>(M55*Settings!$B$2)+(N55*Settings!$B$3)+(O55*Settings!$B$4)+(P55*Settings!$B$5)+(Q55*Settings!$B$6)+((T55-U55-V55-O55)*Settings!$B$9)+(U55*Settings!$B$10)+(V55*Settings!$B$11)+(W55*Settings!$B$12)+(X55*Settings!$B$13)+(AA55*Settings!$B$16)</f>
        <v>416.01055555555558</v>
      </c>
      <c r="H55" s="31">
        <f>VLOOKUP(B55,'Standard Deviations'!$A1:$D651,4,FALSE)</f>
        <v>5.6664609415588236</v>
      </c>
      <c r="I55" s="32">
        <f ca="1">IF(Settings!$J$16="no",VLOOKUP(B55,'2B'!A1:I50,IF(Settings!$J$13="points",6,9),FALSE),VLOOKUP(B55,'2B+SS'!$A1:$I94,IF(Settings!$J$13="points",6,9),FALSE))</f>
        <v>5.6604185868248038</v>
      </c>
      <c r="J55" s="31"/>
      <c r="K55" s="31">
        <f ca="1">J55-A55</f>
        <v>-54</v>
      </c>
      <c r="L55" s="31"/>
      <c r="M55" s="31">
        <f>VLOOKUP($B55,Hitters!$A1:$R401,4,FALSE)</f>
        <v>569.20000000000005</v>
      </c>
      <c r="N55" s="31">
        <f>VLOOKUP($B55,Hitters!$A1:$R401,5,FALSE)</f>
        <v>83.935555555555553</v>
      </c>
      <c r="O55" s="31">
        <f>VLOOKUP($B55,Hitters!$A1:$R401,6,FALSE)</f>
        <v>11.996666666666668</v>
      </c>
      <c r="P55" s="31">
        <f>VLOOKUP($B55,Hitters!$A1:$R401,7,FALSE)</f>
        <v>58.855000000000011</v>
      </c>
      <c r="Q55" s="31">
        <f>VLOOKUP($B55,Hitters!$A1:$R401,8,FALSE)</f>
        <v>29.448888888888888</v>
      </c>
      <c r="R55" s="152">
        <f>VLOOKUP($B55,Hitters!$A$1:$R$401,14,FALSE)</f>
        <v>0.26255172952291717</v>
      </c>
      <c r="S55" s="152">
        <f>VLOOKUP($B55,Hitters!$A$1:$R$401,15,FALSE)</f>
        <v>0.3214521853831207</v>
      </c>
      <c r="T55" s="154">
        <f>VLOOKUP($B55,Hitters!$A$1:$R$401,9,FALSE)</f>
        <v>149.44444444444446</v>
      </c>
      <c r="U55" s="154">
        <f>VLOOKUP($B55,Hitters!$A$1:$R$401,10,FALSE)</f>
        <v>31.036666666666665</v>
      </c>
      <c r="V55" s="154">
        <f>VLOOKUP($B55,Hitters!$A$1:$R$401,11,FALSE)</f>
        <v>3.9744444444444444</v>
      </c>
      <c r="W55" s="154">
        <f>VLOOKUP($B55,Hitters!$A$1:$R$401,12,FALSE)</f>
        <v>40.571666666666665</v>
      </c>
      <c r="X55" s="154">
        <f>VLOOKUP($B55,Hitters!$A$1:$R$401,13,FALSE)</f>
        <v>101.33888888888889</v>
      </c>
      <c r="Y55" s="152">
        <f>VLOOKUP($B55,Hitters!$A$1:$R$401,16,FALSE)</f>
        <v>0.39427266338721018</v>
      </c>
      <c r="Z55" s="152">
        <f>VLOOKUP($B55,Hitters!$A$1:$R$401,17,FALSE)</f>
        <v>0.71572484877033093</v>
      </c>
      <c r="AA55" s="31">
        <f>VLOOKUP($B55,Hitters!$A1:$R401,18,FALSE)</f>
        <v>0</v>
      </c>
      <c r="AB55" s="31"/>
      <c r="AC55" s="31"/>
      <c r="AD55" s="33"/>
      <c r="AE55" s="3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spans="1:44" ht="18.600000000000001" customHeight="1">
      <c r="A56" s="25">
        <f ca="1">RANK(I56,I$2:I$651)</f>
        <v>55</v>
      </c>
      <c r="B56" s="26" t="s">
        <v>211</v>
      </c>
      <c r="C56" s="27" t="s">
        <v>86</v>
      </c>
      <c r="D56" s="27" t="s">
        <v>69</v>
      </c>
      <c r="E56" s="38" t="s">
        <v>27</v>
      </c>
      <c r="F56" s="39">
        <f ca="1">VLOOKUP(B56,SS!A1:I45,IF(Settings!$J$13="points",4,7),FALSE)</f>
        <v>7</v>
      </c>
      <c r="G56" s="30">
        <f>(M56*Settings!$B$2)+(N56*Settings!$B$3)+(O56*Settings!$B$4)+(P56*Settings!$B$5)+(Q56*Settings!$B$6)+((T56-U56-V56-O56)*Settings!$B$9)+(U56*Settings!$B$10)+(V56*Settings!$B$11)+(W56*Settings!$B$12)+(X56*Settings!$B$13)+(AA56*Settings!$B$16)</f>
        <v>450.37333333333328</v>
      </c>
      <c r="H56" s="31">
        <f>VLOOKUP(B56,'Standard Deviations'!$A1:$D651,4,FALSE)</f>
        <v>5.6621332256307397</v>
      </c>
      <c r="I56" s="32">
        <f ca="1">IF(Settings!$J$16="no",VLOOKUP(B56,SS!A1:I45,IF(Settings!$J$13="points",6,9),FALSE),VLOOKUP(B56,'2B+SS'!$A1:$I94,IF(Settings!$J$13="points",6,9),FALSE))</f>
        <v>5.656090916440168</v>
      </c>
      <c r="J56" s="31"/>
      <c r="K56" s="31">
        <f ca="1">J56-A56</f>
        <v>-55</v>
      </c>
      <c r="L56" s="31"/>
      <c r="M56" s="31">
        <f>VLOOKUP($B56,Hitters!$A1:$R401,4,FALSE)</f>
        <v>550.6</v>
      </c>
      <c r="N56" s="31">
        <f>VLOOKUP($B56,Hitters!$A1:$R401,5,FALSE)</f>
        <v>84.943333333333328</v>
      </c>
      <c r="O56" s="31">
        <f>VLOOKUP($B56,Hitters!$A1:$R401,6,FALSE)</f>
        <v>26.622222222222224</v>
      </c>
      <c r="P56" s="31">
        <f>VLOOKUP($B56,Hitters!$A1:$R401,7,FALSE)</f>
        <v>83.271111111111111</v>
      </c>
      <c r="Q56" s="31">
        <f>VLOOKUP($B56,Hitters!$A1:$R401,8,FALSE)</f>
        <v>2.6644444444444444</v>
      </c>
      <c r="R56" s="152">
        <f>VLOOKUP($B56,Hitters!$A$1:$R$401,14,FALSE)</f>
        <v>0.27817330588852562</v>
      </c>
      <c r="S56" s="152">
        <f>VLOOKUP($B56,Hitters!$A$1:$R$401,15,FALSE)</f>
        <v>0.35534937292937624</v>
      </c>
      <c r="T56" s="154">
        <f>VLOOKUP($B56,Hitters!$A$1:$R$401,9,FALSE)</f>
        <v>153.16222222222223</v>
      </c>
      <c r="U56" s="154">
        <f>VLOOKUP($B56,Hitters!$A$1:$R$401,10,FALSE)</f>
        <v>31.293333333333333</v>
      </c>
      <c r="V56" s="154">
        <f>VLOOKUP($B56,Hitters!$A$1:$R$401,11,FALSE)</f>
        <v>2</v>
      </c>
      <c r="W56" s="154">
        <f>VLOOKUP($B56,Hitters!$A$1:$R$401,12,FALSE)</f>
        <v>58.221666666666664</v>
      </c>
      <c r="X56" s="154">
        <f>VLOOKUP($B56,Hitters!$A$1:$R$401,13,FALSE)</f>
        <v>99.427777777777763</v>
      </c>
      <c r="Y56" s="152">
        <f>VLOOKUP($B56,Hitters!$A$1:$R$401,16,FALSE)</f>
        <v>0.48732695645154783</v>
      </c>
      <c r="Z56" s="152">
        <f>VLOOKUP($B56,Hitters!$A$1:$R$401,17,FALSE)</f>
        <v>0.84267632938092407</v>
      </c>
      <c r="AA56" s="31">
        <f>VLOOKUP($B56,Hitters!$A1:$R401,18,FALSE)</f>
        <v>0</v>
      </c>
      <c r="AB56" s="31"/>
      <c r="AC56" s="31"/>
      <c r="AD56" s="33"/>
      <c r="AE56" s="33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spans="1:44" ht="18.600000000000001" customHeight="1">
      <c r="A57" s="25">
        <f ca="1">RANK(I57,I$2:I$651)</f>
        <v>56</v>
      </c>
      <c r="B57" s="26" t="s">
        <v>122</v>
      </c>
      <c r="C57" s="27" t="s">
        <v>123</v>
      </c>
      <c r="D57" s="27" t="s">
        <v>74</v>
      </c>
      <c r="E57" s="34" t="s">
        <v>15</v>
      </c>
      <c r="F57" s="35">
        <f ca="1">VLOOKUP(B57,'3B'!A1:I55,IF(Settings!$J$13="points",4,7),FALSE)</f>
        <v>5</v>
      </c>
      <c r="G57" s="30">
        <f>(M57*Settings!$B$2)+(N57*Settings!$B$3)+(O57*Settings!$B$4)+(P57*Settings!$B$5)+(Q57*Settings!$B$6)+((T57-U57-V57-O57)*Settings!$B$9)+(U57*Settings!$B$10)+(V57*Settings!$B$11)+(W57*Settings!$B$12)+(X57*Settings!$B$13)+(AA57*Settings!$B$16)</f>
        <v>470.36166666666662</v>
      </c>
      <c r="H57" s="31">
        <f>VLOOKUP(B57,'Standard Deviations'!$A1:$D651,4,FALSE)</f>
        <v>5.8734111629370824</v>
      </c>
      <c r="I57" s="32">
        <f ca="1">IF(Settings!$J$15="no",VLOOKUP(B57,'3B'!A1:I55,IF(Settings!$J$13="points",6,9),FALSE),VLOOKUP(B57,'1B+3B'!$A1:$I104,IF(Settings!$J$13="points",6,9),FALSE))</f>
        <v>5.6479307245737962</v>
      </c>
      <c r="J57" s="31"/>
      <c r="K57" s="31">
        <f ca="1">J57-A57</f>
        <v>-56</v>
      </c>
      <c r="L57" s="31"/>
      <c r="M57" s="31">
        <f>VLOOKUP($B57,Hitters!$A1:$R401,4,FALSE)</f>
        <v>577.36666666666667</v>
      </c>
      <c r="N57" s="31">
        <f>VLOOKUP($B57,Hitters!$A1:$R401,5,FALSE)</f>
        <v>80.038888888888891</v>
      </c>
      <c r="O57" s="31">
        <f>VLOOKUP($B57,Hitters!$A1:$R401,6,FALSE)</f>
        <v>28.16333333333333</v>
      </c>
      <c r="P57" s="31">
        <f>VLOOKUP($B57,Hitters!$A1:$R401,7,FALSE)</f>
        <v>96.703333333333333</v>
      </c>
      <c r="Q57" s="31">
        <f>VLOOKUP($B57,Hitters!$A1:$R401,8,FALSE)</f>
        <v>4.4866666666666672</v>
      </c>
      <c r="R57" s="152">
        <f>VLOOKUP($B57,Hitters!$A$1:$R$401,14,FALSE)</f>
        <v>0.26604122163847349</v>
      </c>
      <c r="S57" s="152">
        <f>VLOOKUP($B57,Hitters!$A$1:$R$401,15,FALSE)</f>
        <v>0.33586811667868965</v>
      </c>
      <c r="T57" s="154">
        <f>VLOOKUP($B57,Hitters!$A$1:$R$401,9,FALSE)</f>
        <v>153.60333333333332</v>
      </c>
      <c r="U57" s="154">
        <f>VLOOKUP($B57,Hitters!$A$1:$R$401,10,FALSE)</f>
        <v>32.585555555555551</v>
      </c>
      <c r="V57" s="154">
        <f>VLOOKUP($B57,Hitters!$A$1:$R$401,11,FALSE)</f>
        <v>1.9822222222222223</v>
      </c>
      <c r="W57" s="154">
        <f>VLOOKUP($B57,Hitters!$A$1:$R$401,12,FALSE)</f>
        <v>52.110000000000007</v>
      </c>
      <c r="X57" s="154">
        <f>VLOOKUP($B57,Hitters!$A$1:$R$401,13,FALSE)</f>
        <v>84.214444444444453</v>
      </c>
      <c r="Y57" s="152">
        <f>VLOOKUP($B57,Hitters!$A$1:$R$401,16,FALSE)</f>
        <v>0.47568269730385077</v>
      </c>
      <c r="Z57" s="152">
        <f>VLOOKUP($B57,Hitters!$A$1:$R$401,17,FALSE)</f>
        <v>0.81155081398254048</v>
      </c>
      <c r="AA57" s="31">
        <f>VLOOKUP($B57,Hitters!$A1:$R401,18,FALSE)</f>
        <v>0</v>
      </c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</row>
    <row r="58" spans="1:44" ht="18.600000000000001" customHeight="1">
      <c r="A58" s="25">
        <f ca="1">RANK(I58,I$2:I$651)</f>
        <v>57</v>
      </c>
      <c r="B58" s="26" t="s">
        <v>131</v>
      </c>
      <c r="C58" s="27" t="s">
        <v>71</v>
      </c>
      <c r="D58" s="27" t="s">
        <v>69</v>
      </c>
      <c r="E58" s="28" t="s">
        <v>23</v>
      </c>
      <c r="F58" s="29">
        <f ca="1">VLOOKUP(B58,OF!A1:I139,IF(Settings!$J$13="points",4,7),FALSE)</f>
        <v>17</v>
      </c>
      <c r="G58" s="30">
        <f>(M58*Settings!$B$2)+(N58*Settings!$B$3)+(O58*Settings!$B$4)+(P58*Settings!$B$5)+(Q58*Settings!$B$6)+((T58-U58-V58-O58)*Settings!$B$9)+(U58*Settings!$B$10)+(V58*Settings!$B$11)+(W58*Settings!$B$12)+(X58*Settings!$B$13)+(AA58*Settings!$B$16)</f>
        <v>394.3483333333333</v>
      </c>
      <c r="H58" s="31">
        <f>VLOOKUP(B58,'Standard Deviations'!$A1:$D651,4,FALSE)</f>
        <v>5.4298309872489448</v>
      </c>
      <c r="I58" s="32">
        <f ca="1">VLOOKUP(B58,OF!A1:I139,IF(Settings!$J$13="points",6,9),FALSE)</f>
        <v>5.5867581787086564</v>
      </c>
      <c r="J58" s="31"/>
      <c r="K58" s="31">
        <f ca="1">J58-A58</f>
        <v>-57</v>
      </c>
      <c r="L58" s="31"/>
      <c r="M58" s="31">
        <f>VLOOKUP($B58,Hitters!$A1:$R401,4,FALSE)</f>
        <v>545.86666666666667</v>
      </c>
      <c r="N58" s="31">
        <f>VLOOKUP($B58,Hitters!$A1:$R401,5,FALSE)</f>
        <v>76.295555555555552</v>
      </c>
      <c r="O58" s="31">
        <f>VLOOKUP($B58,Hitters!$A1:$R401,6,FALSE)</f>
        <v>28.312222222222221</v>
      </c>
      <c r="P58" s="31">
        <f>VLOOKUP($B58,Hitters!$A1:$R401,7,FALSE)</f>
        <v>85.96</v>
      </c>
      <c r="Q58" s="31">
        <f>VLOOKUP($B58,Hitters!$A1:$R401,8,FALSE)</f>
        <v>10.381111111111112</v>
      </c>
      <c r="R58" s="152">
        <f>VLOOKUP($B58,Hitters!$A$1:$R$401,14,FALSE)</f>
        <v>0.2537900993323563</v>
      </c>
      <c r="S58" s="152">
        <f>VLOOKUP($B58,Hitters!$A$1:$R$401,15,FALSE)</f>
        <v>0.31589707186319671</v>
      </c>
      <c r="T58" s="154">
        <f>VLOOKUP($B58,Hitters!$A$1:$R$401,9,FALSE)</f>
        <v>138.53555555555556</v>
      </c>
      <c r="U58" s="154">
        <f>VLOOKUP($B58,Hitters!$A$1:$R$401,10,FALSE)</f>
        <v>28.048333333333332</v>
      </c>
      <c r="V58" s="154">
        <f>VLOOKUP($B58,Hitters!$A$1:$R$401,11,FALSE)</f>
        <v>0.98777777777777775</v>
      </c>
      <c r="W58" s="154">
        <f>VLOOKUP($B58,Hitters!$A$1:$R$401,12,FALSE)</f>
        <v>40.951666666666661</v>
      </c>
      <c r="X58" s="154">
        <f>VLOOKUP($B58,Hitters!$A$1:$R$401,13,FALSE)</f>
        <v>166.23444444444445</v>
      </c>
      <c r="Y58" s="152">
        <f>VLOOKUP($B58,Hitters!$A$1:$R$401,16,FALSE)</f>
        <v>0.4643919964175216</v>
      </c>
      <c r="Z58" s="152">
        <f>VLOOKUP($B58,Hitters!$A$1:$R$401,17,FALSE)</f>
        <v>0.78028906828071831</v>
      </c>
      <c r="AA58" s="31">
        <f>VLOOKUP($B58,Hitters!$A1:$R401,18,FALSE)</f>
        <v>0</v>
      </c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spans="1:44" ht="18.600000000000001" customHeight="1">
      <c r="A59" s="25">
        <f ca="1">RANK(I59,I$2:I$651)</f>
        <v>58</v>
      </c>
      <c r="B59" s="26" t="s">
        <v>186</v>
      </c>
      <c r="C59" s="27" t="s">
        <v>76</v>
      </c>
      <c r="D59" s="27" t="s">
        <v>69</v>
      </c>
      <c r="E59" s="48" t="s">
        <v>11</v>
      </c>
      <c r="F59" s="49">
        <f ca="1">VLOOKUP(B59,'2B'!A1:I50,IF(Settings!$J$13="points",4,7),FALSE)</f>
        <v>4</v>
      </c>
      <c r="G59" s="30">
        <f>(M59*Settings!$B$2)+(N59*Settings!$B$3)+(O59*Settings!$B$4)+(P59*Settings!$B$5)+(Q59*Settings!$B$6)+((T59-U59-V59-O59)*Settings!$B$9)+(U59*Settings!$B$10)+(V59*Settings!$B$11)+(W59*Settings!$B$12)+(X59*Settings!$B$13)+(AA59*Settings!$B$16)</f>
        <v>391.04888888888888</v>
      </c>
      <c r="H59" s="31">
        <f>VLOOKUP(B59,'Standard Deviations'!$A1:$D651,4,FALSE)</f>
        <v>5.5818789062243432</v>
      </c>
      <c r="I59" s="32">
        <f ca="1">IF(Settings!$J$16="no",VLOOKUP(B59,'2B'!A1:I50,IF(Settings!$J$13="points",6,9),FALSE),VLOOKUP(B59,'2B+SS'!$A1:$I94,IF(Settings!$J$13="points",6,9),FALSE))</f>
        <v>5.5758382508475597</v>
      </c>
      <c r="J59" s="31"/>
      <c r="K59" s="31">
        <f ca="1">J59-A59</f>
        <v>-58</v>
      </c>
      <c r="L59" s="31"/>
      <c r="M59" s="31">
        <f>VLOOKUP($B59,Hitters!$A1:$R401,4,FALSE)</f>
        <v>534.11111111111109</v>
      </c>
      <c r="N59" s="31">
        <f>VLOOKUP($B59,Hitters!$A1:$R401,5,FALSE)</f>
        <v>73.143333333333331</v>
      </c>
      <c r="O59" s="31">
        <f>VLOOKUP($B59,Hitters!$A1:$R401,6,FALSE)</f>
        <v>16.594444444444445</v>
      </c>
      <c r="P59" s="31">
        <f>VLOOKUP($B59,Hitters!$A1:$R401,7,FALSE)</f>
        <v>69.114999999999995</v>
      </c>
      <c r="Q59" s="31">
        <f>VLOOKUP($B59,Hitters!$A1:$R401,8,FALSE)</f>
        <v>23.324444444444442</v>
      </c>
      <c r="R59" s="152">
        <f>VLOOKUP($B59,Hitters!$A$1:$R$401,14,FALSE)</f>
        <v>0.26704389432078218</v>
      </c>
      <c r="S59" s="152">
        <f>VLOOKUP($B59,Hitters!$A$1:$R$401,15,FALSE)</f>
        <v>0.32305862307910266</v>
      </c>
      <c r="T59" s="154">
        <f>VLOOKUP($B59,Hitters!$A$1:$R$401,9,FALSE)</f>
        <v>142.6311111111111</v>
      </c>
      <c r="U59" s="154">
        <f>VLOOKUP($B59,Hitters!$A$1:$R$401,10,FALSE)</f>
        <v>28.75</v>
      </c>
      <c r="V59" s="154">
        <f>VLOOKUP($B59,Hitters!$A$1:$R$401,11,FALSE)</f>
        <v>2.9966666666666666</v>
      </c>
      <c r="W59" s="154">
        <f>VLOOKUP($B59,Hitters!$A$1:$R$401,12,FALSE)</f>
        <v>35.941111111111113</v>
      </c>
      <c r="X59" s="154">
        <f>VLOOKUP($B59,Hitters!$A$1:$R$401,13,FALSE)</f>
        <v>121.91444444444444</v>
      </c>
      <c r="Y59" s="152">
        <f>VLOOKUP($B59,Hitters!$A$1:$R$401,16,FALSE)</f>
        <v>0.4253006032868733</v>
      </c>
      <c r="Z59" s="152">
        <f>VLOOKUP($B59,Hitters!$A$1:$R$401,17,FALSE)</f>
        <v>0.74835922636597596</v>
      </c>
      <c r="AA59" s="31">
        <f>VLOOKUP($B59,Hitters!$A1:$R401,18,FALSE)</f>
        <v>0</v>
      </c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spans="1:44" ht="18.600000000000001" customHeight="1">
      <c r="A60" s="25">
        <f ca="1">RANK(I60,I$2:I$651)</f>
        <v>59</v>
      </c>
      <c r="B60" s="26" t="s">
        <v>150</v>
      </c>
      <c r="C60" s="27" t="s">
        <v>81</v>
      </c>
      <c r="D60" s="27" t="s">
        <v>74</v>
      </c>
      <c r="E60" s="36" t="s">
        <v>31</v>
      </c>
      <c r="F60" s="37">
        <f ca="1">VLOOKUP(B60,SP!A1:I161,IF(Settings!$J$13="points",4,7),FALSE)</f>
        <v>17</v>
      </c>
      <c r="G60" s="30">
        <f>(AC60*Settings!$F$2)+(AF60*Settings!$F$5)+(AG60*Settings!$F$6)+(AH60*Settings!$F$7)+(AI60*Settings!$F$8)+(AJ60*Settings!$F$9)+(AK60*Settings!$F$10)+(AL60*Settings!$F$11)+(AM60*Settings!$F$12)+(AN60*Settings!$F$13)+(AO60*Settings!$F$14)+(AP60*Settings!$F$15)+(AQ60*Settings!$F$16)+(AR60*Settings!$F$17)</f>
        <v>465.73706666666669</v>
      </c>
      <c r="H60" s="31">
        <f>VLOOKUP(B60,'Standard Deviations'!$A1:$D651,4,FALSE)</f>
        <v>4.6839463019312557</v>
      </c>
      <c r="I60" s="32">
        <f ca="1">IF(Settings!$J$16="no",VLOOKUP(B60,SP!A1:I161,IF(Settings!$J$13="points",6,9),FALSE),VLOOKUP(B60,'SP+RP'!$A1:$I251,IF(Settings!$J$13="points",6,9),FALSE))</f>
        <v>5.5515257484295217</v>
      </c>
      <c r="J60" s="31"/>
      <c r="K60" s="31">
        <f ca="1">J60-A60</f>
        <v>-59</v>
      </c>
      <c r="L60" s="31"/>
      <c r="M60" s="31"/>
      <c r="N60" s="31"/>
      <c r="O60" s="31"/>
      <c r="P60" s="31"/>
      <c r="Q60" s="31"/>
      <c r="R60" s="152"/>
      <c r="S60" s="152"/>
      <c r="T60" s="154"/>
      <c r="U60" s="154"/>
      <c r="V60" s="154"/>
      <c r="W60" s="154"/>
      <c r="X60" s="154"/>
      <c r="Y60" s="152"/>
      <c r="Z60" s="152"/>
      <c r="AA60" s="31"/>
      <c r="AB60" s="31"/>
      <c r="AC60" s="31">
        <f>VLOOKUP($B60,Pitchers!$A1:$S251,4,FALSE)</f>
        <v>180.41666666666666</v>
      </c>
      <c r="AD60" s="33">
        <f>VLOOKUP($B60,Pitchers!$A1:$S251,5,FALSE)</f>
        <v>3.4942525635103925</v>
      </c>
      <c r="AE60" s="33">
        <f>VLOOKUP($B60,Pitchers!$A1:$S251,6,FALSE)</f>
        <v>1.1158183217859894</v>
      </c>
      <c r="AF60" s="31">
        <f>VLOOKUP($B60,Pitchers!$A1:$S251,7,FALSE)</f>
        <v>174.06111111111113</v>
      </c>
      <c r="AG60" s="31">
        <f>VLOOKUP($B60,Pitchers!$A1:$S251,8,FALSE)</f>
        <v>13.946666666666667</v>
      </c>
      <c r="AH60" s="31">
        <f>VLOOKUP($B60,Pitchers!$A1:$S251,9,FALSE)</f>
        <v>0</v>
      </c>
      <c r="AI60" s="31">
        <f>VLOOKUP($B60,Pitchers!$A1:$S251,10,FALSE)</f>
        <v>70.046822222222218</v>
      </c>
      <c r="AJ60" s="31">
        <f>VLOOKUP($B60,Pitchers!$A1:$S251,11,FALSE)</f>
        <v>157.68333333333334</v>
      </c>
      <c r="AK60" s="31">
        <f>VLOOKUP($B60,Pitchers!$A1:$S251,12,FALSE)</f>
        <v>43.628888888888888</v>
      </c>
      <c r="AL60" s="31">
        <f>VLOOKUP($B60,Pitchers!$A1:$S251,13,FALSE)</f>
        <v>22.733333333333334</v>
      </c>
      <c r="AM60" s="31">
        <f>VLOOKUP($B60,Pitchers!$A1:$S251,14,FALSE)</f>
        <v>30.997777777777781</v>
      </c>
      <c r="AN60" s="31">
        <f>VLOOKUP($B60,Pitchers!$A1:$S251,15,FALSE)</f>
        <v>30.997777777777781</v>
      </c>
      <c r="AO60" s="31">
        <f>VLOOKUP($B60,Pitchers!$A1:$S251,16,FALSE)</f>
        <v>7.9622222222222225</v>
      </c>
      <c r="AP60" s="31">
        <f>VLOOKUP($B60,Pitchers!$A1:$S251,17,FALSE)</f>
        <v>17</v>
      </c>
      <c r="AQ60" s="31">
        <f>VLOOKUP($B60,Pitchers!$A1:$S251,18,FALSE)</f>
        <v>0</v>
      </c>
      <c r="AR60" s="31">
        <f>VLOOKUP($B60,Pitchers!$A1:$S251,19,FALSE)</f>
        <v>0</v>
      </c>
    </row>
    <row r="61" spans="1:44" ht="18.600000000000001" customHeight="1">
      <c r="A61" s="25">
        <f ca="1">RANK(I61,I$2:I$651)</f>
        <v>60</v>
      </c>
      <c r="B61" s="26" t="s">
        <v>182</v>
      </c>
      <c r="C61" s="27" t="s">
        <v>123</v>
      </c>
      <c r="D61" s="27" t="s">
        <v>74</v>
      </c>
      <c r="E61" s="42" t="s">
        <v>34</v>
      </c>
      <c r="F61" s="43">
        <f ca="1">VLOOKUP(B61,RP!A1:I91,IF(Settings!$J$13="points",4,7),FALSE)</f>
        <v>4</v>
      </c>
      <c r="G61" s="30">
        <f>(AC61*Settings!$F$2)+(AF61*Settings!$F$5)+(AG61*Settings!$F$6)+(AH61*Settings!$F$7)+(AI61*Settings!$F$8)+(AJ61*Settings!$F$9)+(AK61*Settings!$F$10)+(AL61*Settings!$F$11)+(AM61*Settings!$F$12)+(AN61*Settings!$F$13)+(AO61*Settings!$F$14)+(AP61*Settings!$F$15)+(AQ61*Settings!$F$16)+(AR61*Settings!$F$17)</f>
        <v>348.44611111111112</v>
      </c>
      <c r="H61" s="31">
        <f>VLOOKUP(B61,'Standard Deviations'!$A1:$D651,4,FALSE)</f>
        <v>4.6530735897993711</v>
      </c>
      <c r="I61" s="32">
        <f ca="1">IF(Settings!$J$16="no",VLOOKUP(B61,RP!A1:I91,IF(Settings!$J$13="points",6,9),FALSE),VLOOKUP(B61,'SP+RP'!$A1:$I251,IF(Settings!$J$13="points",6,9),FALSE))</f>
        <v>5.5206531453131245</v>
      </c>
      <c r="J61" s="31"/>
      <c r="K61" s="31">
        <f ca="1">J61-A61</f>
        <v>-60</v>
      </c>
      <c r="L61" s="31"/>
      <c r="M61" s="31"/>
      <c r="N61" s="31"/>
      <c r="O61" s="31"/>
      <c r="P61" s="31"/>
      <c r="Q61" s="31"/>
      <c r="R61" s="152"/>
      <c r="S61" s="152"/>
      <c r="T61" s="154"/>
      <c r="U61" s="154"/>
      <c r="V61" s="154"/>
      <c r="W61" s="154"/>
      <c r="X61" s="154"/>
      <c r="Y61" s="152"/>
      <c r="Z61" s="152"/>
      <c r="AA61" s="31"/>
      <c r="AB61" s="31"/>
      <c r="AC61" s="31">
        <f>VLOOKUP($B61,Pitchers!$A1:$S251,4,FALSE)</f>
        <v>66.195555555555543</v>
      </c>
      <c r="AD61" s="33">
        <f>VLOOKUP($B61,Pitchers!$A1:$S251,5,FALSE)</f>
        <v>3.0017120988317449</v>
      </c>
      <c r="AE61" s="33">
        <f>VLOOKUP($B61,Pitchers!$A1:$S251,6,FALSE)</f>
        <v>1.1147609775748626</v>
      </c>
      <c r="AF61" s="31">
        <f>VLOOKUP($B61,Pitchers!$A1:$S251,7,FALSE)</f>
        <v>84.87222222222222</v>
      </c>
      <c r="AG61" s="31">
        <f>VLOOKUP($B61,Pitchers!$A1:$S251,8,FALSE)</f>
        <v>4.0411111111111113</v>
      </c>
      <c r="AH61" s="31">
        <f>VLOOKUP($B61,Pitchers!$A1:$S251,9,FALSE)</f>
        <v>27.133333333333336</v>
      </c>
      <c r="AI61" s="31">
        <f>VLOOKUP($B61,Pitchers!$A1:$S251,10,FALSE)</f>
        <v>22.077777777777779</v>
      </c>
      <c r="AJ61" s="31">
        <f>VLOOKUP($B61,Pitchers!$A1:$S251,11,FALSE)</f>
        <v>47.925555555555555</v>
      </c>
      <c r="AK61" s="31">
        <f>VLOOKUP($B61,Pitchers!$A1:$S251,12,FALSE)</f>
        <v>25.866666666666664</v>
      </c>
      <c r="AL61" s="31">
        <f>VLOOKUP($B61,Pitchers!$A1:$S251,13,FALSE)</f>
        <v>7</v>
      </c>
      <c r="AM61" s="31">
        <f>VLOOKUP($B61,Pitchers!$A1:$S251,14,FALSE)</f>
        <v>63.532222222222224</v>
      </c>
      <c r="AN61" s="31">
        <f>VLOOKUP($B61,Pitchers!$A1:$S251,15,FALSE)</f>
        <v>0</v>
      </c>
      <c r="AO61" s="31">
        <f>VLOOKUP($B61,Pitchers!$A1:$S251,16,FALSE)</f>
        <v>2.9855555555555555</v>
      </c>
      <c r="AP61" s="31">
        <f>VLOOKUP($B61,Pitchers!$A1:$S251,17,FALSE)</f>
        <v>0</v>
      </c>
      <c r="AQ61" s="31">
        <f>VLOOKUP($B61,Pitchers!$A1:$S251,18,FALSE)</f>
        <v>2.5</v>
      </c>
      <c r="AR61" s="31">
        <f>VLOOKUP($B61,Pitchers!$A1:$S251,19,FALSE)</f>
        <v>7</v>
      </c>
    </row>
    <row r="62" spans="1:44" ht="18.600000000000001" customHeight="1">
      <c r="A62" s="25">
        <f ca="1">RANK(I62,I$2:I$651)</f>
        <v>61</v>
      </c>
      <c r="B62" s="26" t="s">
        <v>151</v>
      </c>
      <c r="C62" s="27" t="s">
        <v>73</v>
      </c>
      <c r="D62" s="27" t="s">
        <v>74</v>
      </c>
      <c r="E62" s="36" t="s">
        <v>31</v>
      </c>
      <c r="F62" s="37">
        <f ca="1">VLOOKUP(B62,SP!A1:I161,IF(Settings!$J$13="points",4,7),FALSE)</f>
        <v>18</v>
      </c>
      <c r="G62" s="30">
        <f>(AC62*Settings!$F$2)+(AF62*Settings!$F$5)+(AG62*Settings!$F$6)+(AH62*Settings!$F$7)+(AI62*Settings!$F$8)+(AJ62*Settings!$F$9)+(AK62*Settings!$F$10)+(AL62*Settings!$F$11)+(AM62*Settings!$F$12)+(AN62*Settings!$F$13)+(AO62*Settings!$F$14)+(AP62*Settings!$F$15)+(AQ62*Settings!$F$16)+(AR62*Settings!$F$17)</f>
        <v>480.75656888888892</v>
      </c>
      <c r="H62" s="31">
        <f>VLOOKUP(B62,'Standard Deviations'!$A1:$D651,4,FALSE)</f>
        <v>4.6392329804638974</v>
      </c>
      <c r="I62" s="32">
        <f ca="1">IF(Settings!$J$16="no",VLOOKUP(B62,SP!A1:I161,IF(Settings!$J$13="points",6,9),FALSE),VLOOKUP(B62,'SP+RP'!$A1:$I251,IF(Settings!$J$13="points",6,9),FALSE))</f>
        <v>5.5068107784589317</v>
      </c>
      <c r="J62" s="31"/>
      <c r="K62" s="31">
        <f ca="1">J62-A62</f>
        <v>-61</v>
      </c>
      <c r="L62" s="31"/>
      <c r="M62" s="31"/>
      <c r="N62" s="31"/>
      <c r="O62" s="31"/>
      <c r="P62" s="31"/>
      <c r="Q62" s="31"/>
      <c r="R62" s="152"/>
      <c r="S62" s="152"/>
      <c r="T62" s="154"/>
      <c r="U62" s="154"/>
      <c r="V62" s="154"/>
      <c r="W62" s="154"/>
      <c r="X62" s="154"/>
      <c r="Y62" s="152"/>
      <c r="Z62" s="152"/>
      <c r="AA62" s="31"/>
      <c r="AB62" s="31"/>
      <c r="AC62" s="31">
        <f>VLOOKUP($B62,Pitchers!$A1:$S251,4,FALSE)</f>
        <v>184.75944444444443</v>
      </c>
      <c r="AD62" s="33">
        <f>VLOOKUP($B62,Pitchers!$A1:$S251,5,FALSE)</f>
        <v>3.2761512236632018</v>
      </c>
      <c r="AE62" s="33">
        <f>VLOOKUP($B62,Pitchers!$A1:$S251,6,FALSE)</f>
        <v>1.1577444545008977</v>
      </c>
      <c r="AF62" s="31">
        <f>VLOOKUP($B62,Pitchers!$A1:$S251,7,FALSE)</f>
        <v>168.96666666666667</v>
      </c>
      <c r="AG62" s="31">
        <f>VLOOKUP($B62,Pitchers!$A1:$S251,8,FALSE)</f>
        <v>14.04788888888889</v>
      </c>
      <c r="AH62" s="31">
        <f>VLOOKUP($B62,Pitchers!$A1:$S251,9,FALSE)</f>
        <v>0</v>
      </c>
      <c r="AI62" s="31">
        <f>VLOOKUP($B62,Pitchers!$A1:$S251,10,FALSE)</f>
        <v>67.255542222222218</v>
      </c>
      <c r="AJ62" s="31">
        <f>VLOOKUP($B62,Pitchers!$A1:$S251,11,FALSE)</f>
        <v>170.62233333333333</v>
      </c>
      <c r="AK62" s="31">
        <f>VLOOKUP($B62,Pitchers!$A1:$S251,12,FALSE)</f>
        <v>43.281888888888886</v>
      </c>
      <c r="AL62" s="31">
        <f>VLOOKUP($B62,Pitchers!$A1:$S251,13,FALSE)</f>
        <v>17.366666666666667</v>
      </c>
      <c r="AM62" s="31">
        <f>VLOOKUP($B62,Pitchers!$A1:$S251,14,FALSE)</f>
        <v>30.209777777777777</v>
      </c>
      <c r="AN62" s="31">
        <f>VLOOKUP($B62,Pitchers!$A1:$S251,15,FALSE)</f>
        <v>30.209777777777777</v>
      </c>
      <c r="AO62" s="31">
        <f>VLOOKUP($B62,Pitchers!$A1:$S251,16,FALSE)</f>
        <v>7.9961111111111114</v>
      </c>
      <c r="AP62" s="31">
        <f>VLOOKUP($B62,Pitchers!$A1:$S251,17,FALSE)</f>
        <v>21.6</v>
      </c>
      <c r="AQ62" s="31">
        <f>VLOOKUP($B62,Pitchers!$A1:$S251,18,FALSE)</f>
        <v>0</v>
      </c>
      <c r="AR62" s="31">
        <f>VLOOKUP($B62,Pitchers!$A1:$S251,19,FALSE)</f>
        <v>0</v>
      </c>
    </row>
    <row r="63" spans="1:44" ht="18.600000000000001" customHeight="1">
      <c r="A63" s="25">
        <f ca="1">RANK(I63,I$2:I$651)</f>
        <v>62</v>
      </c>
      <c r="B63" s="26" t="s">
        <v>130</v>
      </c>
      <c r="C63" s="27" t="s">
        <v>86</v>
      </c>
      <c r="D63" s="27" t="s">
        <v>69</v>
      </c>
      <c r="E63" s="28" t="s">
        <v>23</v>
      </c>
      <c r="F63" s="29">
        <f ca="1">VLOOKUP(B63,OF!A1:I139,IF(Settings!$J$13="points",4,7),FALSE)</f>
        <v>18</v>
      </c>
      <c r="G63" s="30">
        <f>(M63*Settings!$B$2)+(N63*Settings!$B$3)+(O63*Settings!$B$4)+(P63*Settings!$B$5)+(Q63*Settings!$B$6)+((T63-U63-V63-O63)*Settings!$B$9)+(U63*Settings!$B$10)+(V63*Settings!$B$11)+(W63*Settings!$B$12)+(X63*Settings!$B$13)+(AA63*Settings!$B$16)</f>
        <v>390.90500000000003</v>
      </c>
      <c r="H63" s="31">
        <f>VLOOKUP(B63,'Standard Deviations'!$A1:$D651,4,FALSE)</f>
        <v>5.3360524212128739</v>
      </c>
      <c r="I63" s="32">
        <f ca="1">VLOOKUP(B63,OF!A1:I139,IF(Settings!$J$13="points",6,9),FALSE)</f>
        <v>5.4929828518549977</v>
      </c>
      <c r="J63" s="31"/>
      <c r="K63" s="31">
        <f ca="1">J63-A63</f>
        <v>-62</v>
      </c>
      <c r="L63" s="31"/>
      <c r="M63" s="31">
        <f>VLOOKUP($B63,Hitters!$A1:$R401,4,FALSE)</f>
        <v>574.25555555555559</v>
      </c>
      <c r="N63" s="31">
        <f>VLOOKUP($B63,Hitters!$A1:$R401,5,FALSE)</f>
        <v>75.667777777777772</v>
      </c>
      <c r="O63" s="31">
        <f>VLOOKUP($B63,Hitters!$A1:$R401,6,FALSE)</f>
        <v>25.904444444444447</v>
      </c>
      <c r="P63" s="31">
        <f>VLOOKUP($B63,Hitters!$A1:$R401,7,FALSE)</f>
        <v>82.88333333333334</v>
      </c>
      <c r="Q63" s="31">
        <f>VLOOKUP($B63,Hitters!$A1:$R401,8,FALSE)</f>
        <v>20.14777777777778</v>
      </c>
      <c r="R63" s="152">
        <f>VLOOKUP($B63,Hitters!$A$1:$R$401,14,FALSE)</f>
        <v>0.23435365594102509</v>
      </c>
      <c r="S63" s="152">
        <f>VLOOKUP($B63,Hitters!$A$1:$R$401,15,FALSE)</f>
        <v>0.29079197675386353</v>
      </c>
      <c r="T63" s="154">
        <f>VLOOKUP($B63,Hitters!$A$1:$R$401,9,FALSE)</f>
        <v>134.57888888888888</v>
      </c>
      <c r="U63" s="154">
        <f>VLOOKUP($B63,Hitters!$A$1:$R$401,10,FALSE)</f>
        <v>27.424444444444447</v>
      </c>
      <c r="V63" s="154">
        <f>VLOOKUP($B63,Hitters!$A$1:$R$401,11,FALSE)</f>
        <v>3</v>
      </c>
      <c r="W63" s="154">
        <f>VLOOKUP($B63,Hitters!$A$1:$R$401,12,FALSE)</f>
        <v>36.051666666666662</v>
      </c>
      <c r="X63" s="154">
        <f>VLOOKUP($B63,Hitters!$A$1:$R$401,13,FALSE)</f>
        <v>179.42</v>
      </c>
      <c r="Y63" s="152">
        <f>VLOOKUP($B63,Hitters!$A$1:$R$401,16,FALSE)</f>
        <v>0.42788731304297356</v>
      </c>
      <c r="Z63" s="152">
        <f>VLOOKUP($B63,Hitters!$A$1:$R$401,17,FALSE)</f>
        <v>0.71867928979683704</v>
      </c>
      <c r="AA63" s="31">
        <f>VLOOKUP($B63,Hitters!$A1:$R401,18,FALSE)</f>
        <v>0</v>
      </c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spans="1:44" ht="18.600000000000001" customHeight="1">
      <c r="A64" s="25">
        <f ca="1">RANK(I64,I$2:I$651)</f>
        <v>63</v>
      </c>
      <c r="B64" s="26" t="s">
        <v>196</v>
      </c>
      <c r="C64" s="27" t="s">
        <v>73</v>
      </c>
      <c r="D64" s="27" t="s">
        <v>74</v>
      </c>
      <c r="E64" s="48" t="s">
        <v>11</v>
      </c>
      <c r="F64" s="49">
        <f ca="1">VLOOKUP(B64,'2B'!A1:I50,IF(Settings!$J$13="points",4,7),FALSE)</f>
        <v>5</v>
      </c>
      <c r="G64" s="30">
        <f>(M64*Settings!$B$2)+(N64*Settings!$B$3)+(O64*Settings!$B$4)+(P64*Settings!$B$5)+(Q64*Settings!$B$6)+((T64-U64-V64-O64)*Settings!$B$9)+(U64*Settings!$B$10)+(V64*Settings!$B$11)+(W64*Settings!$B$12)+(X64*Settings!$B$13)+(AA64*Settings!$B$16)</f>
        <v>415.12555555555554</v>
      </c>
      <c r="H64" s="31">
        <f>VLOOKUP(B64,'Standard Deviations'!$A1:$D651,4,FALSE)</f>
        <v>5.4976121273017373</v>
      </c>
      <c r="I64" s="32">
        <f ca="1">IF(Settings!$J$16="no",VLOOKUP(B64,'2B'!A1:I50,IF(Settings!$J$13="points",6,9),FALSE),VLOOKUP(B64,'2B+SS'!$A1:$I94,IF(Settings!$J$13="points",6,9),FALSE))</f>
        <v>5.4915733054781937</v>
      </c>
      <c r="J64" s="31"/>
      <c r="K64" s="31">
        <f ca="1">J64-A64</f>
        <v>-63</v>
      </c>
      <c r="L64" s="31"/>
      <c r="M64" s="31">
        <f>VLOOKUP($B64,Hitters!$A1:$R401,4,FALSE)</f>
        <v>535.21666666666658</v>
      </c>
      <c r="N64" s="31">
        <f>VLOOKUP($B64,Hitters!$A1:$R401,5,FALSE)</f>
        <v>78.416666666666657</v>
      </c>
      <c r="O64" s="31">
        <f>VLOOKUP($B64,Hitters!$A1:$R401,6,FALSE)</f>
        <v>21.105</v>
      </c>
      <c r="P64" s="31">
        <f>VLOOKUP($B64,Hitters!$A1:$R401,7,FALSE)</f>
        <v>75.186666666666667</v>
      </c>
      <c r="Q64" s="31">
        <f>VLOOKUP($B64,Hitters!$A1:$R401,8,FALSE)</f>
        <v>16.936666666666667</v>
      </c>
      <c r="R64" s="152">
        <f>VLOOKUP($B64,Hitters!$A$1:$R$401,14,FALSE)</f>
        <v>0.26209946127736433</v>
      </c>
      <c r="S64" s="152">
        <f>VLOOKUP($B64,Hitters!$A$1:$R$401,15,FALSE)</f>
        <v>0.32129385638656466</v>
      </c>
      <c r="T64" s="154">
        <f>VLOOKUP($B64,Hitters!$A$1:$R$401,9,FALSE)</f>
        <v>140.28</v>
      </c>
      <c r="U64" s="154">
        <f>VLOOKUP($B64,Hitters!$A$1:$R$401,10,FALSE)</f>
        <v>31.814999999999998</v>
      </c>
      <c r="V64" s="154">
        <f>VLOOKUP($B64,Hitters!$A$1:$R$401,11,FALSE)</f>
        <v>3.3744444444444444</v>
      </c>
      <c r="W64" s="154">
        <f>VLOOKUP($B64,Hitters!$A$1:$R$401,12,FALSE)</f>
        <v>38.366666666666667</v>
      </c>
      <c r="X64" s="154">
        <f>VLOOKUP($B64,Hitters!$A$1:$R$401,13,FALSE)</f>
        <v>105.75333333333333</v>
      </c>
      <c r="Y64" s="152">
        <f>VLOOKUP($B64,Hitters!$A$1:$R$401,16,FALSE)</f>
        <v>0.4524502018912383</v>
      </c>
      <c r="Z64" s="152">
        <f>VLOOKUP($B64,Hitters!$A$1:$R$401,17,FALSE)</f>
        <v>0.77374405827780302</v>
      </c>
      <c r="AA64" s="31">
        <f>VLOOKUP($B64,Hitters!$A1:$R401,18,FALSE)</f>
        <v>0</v>
      </c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spans="1:44" ht="18.600000000000001" customHeight="1">
      <c r="A65" s="25">
        <f ca="1">RANK(I65,I$2:I$651)</f>
        <v>64</v>
      </c>
      <c r="B65" s="26" t="s">
        <v>129</v>
      </c>
      <c r="C65" s="27" t="s">
        <v>91</v>
      </c>
      <c r="D65" s="27" t="s">
        <v>74</v>
      </c>
      <c r="E65" s="46" t="s">
        <v>19</v>
      </c>
      <c r="F65" s="47">
        <f ca="1">VLOOKUP(B65,'C'!A1:I54,IF(Settings!$J$13="points",4,7),FALSE)</f>
        <v>1</v>
      </c>
      <c r="G65" s="30">
        <f>(M65*Settings!$B$2)+(N65*Settings!$B$3)+(O65*Settings!$B$4)+(P65*Settings!$B$5)+(Q65*Settings!$B$6)+((T65-U65-V65-O65)*Settings!$B$9)+(U65*Settings!$B$10)+(V65*Settings!$B$11)+(W65*Settings!$B$12)+(X65*Settings!$B$13)+(AA65*Settings!$B$16)</f>
        <v>373.34444444444449</v>
      </c>
      <c r="H65" s="31">
        <f>VLOOKUP(B65,'Standard Deviations'!$A1:$D651,4,FALSE)</f>
        <v>4.6381927959611602</v>
      </c>
      <c r="I65" s="32">
        <f ca="1">VLOOKUP(B65,'C'!A1:I54,IF(Settings!$J$13="points",6,9),FALSE)</f>
        <v>5.4247112981852146</v>
      </c>
      <c r="J65" s="31"/>
      <c r="K65" s="31">
        <f ca="1">J65-A65</f>
        <v>-64</v>
      </c>
      <c r="L65" s="31"/>
      <c r="M65" s="31">
        <f>VLOOKUP($B65,Hitters!$A1:$R401,4,FALSE)</f>
        <v>488.59999999999997</v>
      </c>
      <c r="N65" s="31">
        <f>VLOOKUP($B65,Hitters!$A1:$R401,5,FALSE)</f>
        <v>70.722222222222229</v>
      </c>
      <c r="O65" s="31">
        <f>VLOOKUP($B65,Hitters!$A1:$R401,6,FALSE)</f>
        <v>19.12</v>
      </c>
      <c r="P65" s="31">
        <f>VLOOKUP($B65,Hitters!$A1:$R401,7,FALSE)</f>
        <v>73.044444444444437</v>
      </c>
      <c r="Q65" s="31">
        <f>VLOOKUP($B65,Hitters!$A1:$R401,8,FALSE)</f>
        <v>15.652222222222221</v>
      </c>
      <c r="R65" s="152">
        <f>VLOOKUP($B65,Hitters!$A$1:$R$401,14,FALSE)</f>
        <v>0.2625187610860964</v>
      </c>
      <c r="S65" s="152">
        <f>VLOOKUP($B65,Hitters!$A$1:$R$401,15,FALSE)</f>
        <v>0.33046984625088416</v>
      </c>
      <c r="T65" s="154">
        <f>VLOOKUP($B65,Hitters!$A$1:$R$401,9,FALSE)</f>
        <v>128.26666666666668</v>
      </c>
      <c r="U65" s="154">
        <f>VLOOKUP($B65,Hitters!$A$1:$R$401,10,FALSE)</f>
        <v>24.727777777777778</v>
      </c>
      <c r="V65" s="154">
        <f>VLOOKUP($B65,Hitters!$A$1:$R$401,11,FALSE)</f>
        <v>3.0383333333333336</v>
      </c>
      <c r="W65" s="154">
        <f>VLOOKUP($B65,Hitters!$A$1:$R$401,12,FALSE)</f>
        <v>42.196666666666665</v>
      </c>
      <c r="X65" s="154">
        <f>VLOOKUP($B65,Hitters!$A$1:$R$401,13,FALSE)</f>
        <v>120.70888888888889</v>
      </c>
      <c r="Y65" s="152">
        <f>VLOOKUP($B65,Hitters!$A$1:$R$401,16,FALSE)</f>
        <v>0.44296175012507399</v>
      </c>
      <c r="Z65" s="152">
        <f>VLOOKUP($B65,Hitters!$A$1:$R$401,17,FALSE)</f>
        <v>0.77343159637595815</v>
      </c>
      <c r="AA65" s="31">
        <f>VLOOKUP($B65,Hitters!$A1:$R401,18,FALSE)</f>
        <v>0</v>
      </c>
      <c r="AB65" s="31"/>
      <c r="AC65" s="31"/>
      <c r="AD65" s="33"/>
      <c r="AE65" s="33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spans="1:44" ht="18.600000000000001" customHeight="1">
      <c r="A66" s="25">
        <f ca="1">RANK(I66,I$2:I$651)</f>
        <v>65</v>
      </c>
      <c r="B66" s="26" t="s">
        <v>188</v>
      </c>
      <c r="C66" s="27" t="s">
        <v>73</v>
      </c>
      <c r="D66" s="27" t="s">
        <v>74</v>
      </c>
      <c r="E66" s="42" t="s">
        <v>34</v>
      </c>
      <c r="F66" s="43">
        <f ca="1">VLOOKUP(B66,RP!A1:I91,IF(Settings!$J$13="points",4,7),FALSE)</f>
        <v>5</v>
      </c>
      <c r="G66" s="30">
        <f>(AC66*Settings!$F$2)+(AF66*Settings!$F$5)+(AG66*Settings!$F$6)+(AH66*Settings!$F$7)+(AI66*Settings!$F$8)+(AJ66*Settings!$F$9)+(AK66*Settings!$F$10)+(AL66*Settings!$F$11)+(AM66*Settings!$F$12)+(AN66*Settings!$F$13)+(AO66*Settings!$F$14)+(AP66*Settings!$F$15)+(AQ66*Settings!$F$16)+(AR66*Settings!$F$17)</f>
        <v>337.16611111111109</v>
      </c>
      <c r="H66" s="31">
        <f>VLOOKUP(B66,'Standard Deviations'!$A1:$D651,4,FALSE)</f>
        <v>4.5484101383825903</v>
      </c>
      <c r="I66" s="32">
        <f ca="1">IF(Settings!$J$16="no",VLOOKUP(B66,RP!A1:I91,IF(Settings!$J$13="points",6,9),FALSE),VLOOKUP(B66,'SP+RP'!$A1:$I251,IF(Settings!$J$13="points",6,9),FALSE))</f>
        <v>5.4159876882276716</v>
      </c>
      <c r="J66" s="31"/>
      <c r="K66" s="31">
        <f ca="1">J66-A66</f>
        <v>-65</v>
      </c>
      <c r="L66" s="31"/>
      <c r="M66" s="31"/>
      <c r="N66" s="31"/>
      <c r="O66" s="31"/>
      <c r="P66" s="31"/>
      <c r="Q66" s="31"/>
      <c r="R66" s="152"/>
      <c r="S66" s="152"/>
      <c r="T66" s="154"/>
      <c r="U66" s="154"/>
      <c r="V66" s="154"/>
      <c r="W66" s="154"/>
      <c r="X66" s="154"/>
      <c r="Y66" s="152"/>
      <c r="Z66" s="152"/>
      <c r="AA66" s="31"/>
      <c r="AB66" s="31"/>
      <c r="AC66" s="31">
        <f>VLOOKUP($B66,Pitchers!$A1:$S251,4,FALSE)</f>
        <v>63.951111111111111</v>
      </c>
      <c r="AD66" s="33">
        <f>VLOOKUP($B66,Pitchers!$A1:$S251,5,FALSE)</f>
        <v>3.1708596844812011</v>
      </c>
      <c r="AE66" s="33">
        <f>VLOOKUP($B66,Pitchers!$A1:$S251,6,FALSE)</f>
        <v>1.064354715407603</v>
      </c>
      <c r="AF66" s="31">
        <f>VLOOKUP($B66,Pitchers!$A1:$S251,7,FALSE)</f>
        <v>77.527777777777771</v>
      </c>
      <c r="AG66" s="31">
        <f>VLOOKUP($B66,Pitchers!$A1:$S251,8,FALSE)</f>
        <v>3.9955555555555553</v>
      </c>
      <c r="AH66" s="31">
        <f>VLOOKUP($B66,Pitchers!$A1:$S251,9,FALSE)</f>
        <v>26.333333333333332</v>
      </c>
      <c r="AI66" s="31">
        <f>VLOOKUP($B66,Pitchers!$A1:$S251,10,FALSE)</f>
        <v>22.531111111111112</v>
      </c>
      <c r="AJ66" s="31">
        <f>VLOOKUP($B66,Pitchers!$A1:$S251,11,FALSE)</f>
        <v>52.526666666666664</v>
      </c>
      <c r="AK66" s="31">
        <f>VLOOKUP($B66,Pitchers!$A1:$S251,12,FALSE)</f>
        <v>15.54</v>
      </c>
      <c r="AL66" s="31">
        <f>VLOOKUP($B66,Pitchers!$A1:$S251,13,FALSE)</f>
        <v>7.166666666666667</v>
      </c>
      <c r="AM66" s="31">
        <f>VLOOKUP($B66,Pitchers!$A1:$S251,14,FALSE)</f>
        <v>64.497777777777785</v>
      </c>
      <c r="AN66" s="31">
        <f>VLOOKUP($B66,Pitchers!$A1:$S251,15,FALSE)</f>
        <v>0</v>
      </c>
      <c r="AO66" s="31">
        <f>VLOOKUP($B66,Pitchers!$A1:$S251,16,FALSE)</f>
        <v>3.0311111111111111</v>
      </c>
      <c r="AP66" s="31">
        <f>VLOOKUP($B66,Pitchers!$A1:$S251,17,FALSE)</f>
        <v>0</v>
      </c>
      <c r="AQ66" s="31">
        <f>VLOOKUP($B66,Pitchers!$A1:$S251,18,FALSE)</f>
        <v>4</v>
      </c>
      <c r="AR66" s="31">
        <f>VLOOKUP($B66,Pitchers!$A1:$S251,19,FALSE)</f>
        <v>7</v>
      </c>
    </row>
    <row r="67" spans="1:44" ht="18.600000000000001" customHeight="1">
      <c r="A67" s="25">
        <f ca="1">RANK(I67,I$2:I$651)</f>
        <v>66</v>
      </c>
      <c r="B67" s="26" t="s">
        <v>174</v>
      </c>
      <c r="C67" s="27" t="s">
        <v>97</v>
      </c>
      <c r="D67" s="27" t="s">
        <v>74</v>
      </c>
      <c r="E67" s="42" t="s">
        <v>34</v>
      </c>
      <c r="F67" s="43">
        <f ca="1">VLOOKUP(B67,RP!A1:I91,IF(Settings!$J$13="points",4,7),FALSE)</f>
        <v>6</v>
      </c>
      <c r="G67" s="30">
        <f>(AC67*Settings!$F$2)+(AF67*Settings!$F$5)+(AG67*Settings!$F$6)+(AH67*Settings!$F$7)+(AI67*Settings!$F$8)+(AJ67*Settings!$F$9)+(AK67*Settings!$F$10)+(AL67*Settings!$F$11)+(AM67*Settings!$F$12)+(AN67*Settings!$F$13)+(AO67*Settings!$F$14)+(AP67*Settings!$F$15)+(AQ67*Settings!$F$16)+(AR67*Settings!$F$17)</f>
        <v>353.68999999999994</v>
      </c>
      <c r="H67" s="31">
        <f>VLOOKUP(B67,'Standard Deviations'!$A1:$D651,4,FALSE)</f>
        <v>4.462439376637148</v>
      </c>
      <c r="I67" s="32">
        <f ca="1">IF(Settings!$J$16="no",VLOOKUP(B67,RP!A1:I91,IF(Settings!$J$13="points",6,9),FALSE),VLOOKUP(B67,'SP+RP'!$A1:$I251,IF(Settings!$J$13="points",6,9),FALSE))</f>
        <v>5.3300169440862639</v>
      </c>
      <c r="J67" s="31"/>
      <c r="K67" s="31">
        <f ca="1">J67-A67</f>
        <v>-66</v>
      </c>
      <c r="L67" s="31"/>
      <c r="M67" s="31"/>
      <c r="N67" s="31"/>
      <c r="O67" s="31"/>
      <c r="P67" s="31"/>
      <c r="Q67" s="31"/>
      <c r="R67" s="152"/>
      <c r="S67" s="152"/>
      <c r="T67" s="154"/>
      <c r="U67" s="154"/>
      <c r="V67" s="154"/>
      <c r="W67" s="154"/>
      <c r="X67" s="154"/>
      <c r="Y67" s="152"/>
      <c r="Z67" s="152"/>
      <c r="AA67" s="31"/>
      <c r="AB67" s="31"/>
      <c r="AC67" s="31">
        <f>VLOOKUP($B67,Pitchers!$A1:$S251,4,FALSE)</f>
        <v>62.544444444444444</v>
      </c>
      <c r="AD67" s="33">
        <f>VLOOKUP($B67,Pitchers!$A1:$S251,5,FALSE)</f>
        <v>2.9449458163084032</v>
      </c>
      <c r="AE67" s="33">
        <f>VLOOKUP($B67,Pitchers!$A1:$S251,6,FALSE)</f>
        <v>1.170563155089714</v>
      </c>
      <c r="AF67" s="31">
        <f>VLOOKUP($B67,Pitchers!$A1:$S251,7,FALSE)</f>
        <v>87.902222222222221</v>
      </c>
      <c r="AG67" s="31">
        <f>VLOOKUP($B67,Pitchers!$A1:$S251,8,FALSE)</f>
        <v>3.9833333333333329</v>
      </c>
      <c r="AH67" s="31">
        <f>VLOOKUP($B67,Pitchers!$A1:$S251,9,FALSE)</f>
        <v>28.983333333333334</v>
      </c>
      <c r="AI67" s="31">
        <f>VLOOKUP($B67,Pitchers!$A1:$S251,10,FALSE)</f>
        <v>20.465555555555557</v>
      </c>
      <c r="AJ67" s="31">
        <f>VLOOKUP($B67,Pitchers!$A1:$S251,11,FALSE)</f>
        <v>44.126666666666665</v>
      </c>
      <c r="AK67" s="31">
        <f>VLOOKUP($B67,Pitchers!$A1:$S251,12,FALSE)</f>
        <v>29.085555555555555</v>
      </c>
      <c r="AL67" s="31">
        <f>VLOOKUP($B67,Pitchers!$A1:$S251,13,FALSE)</f>
        <v>5.0333333333333332</v>
      </c>
      <c r="AM67" s="31">
        <f>VLOOKUP($B67,Pitchers!$A1:$S251,14,FALSE)</f>
        <v>63.180000000000007</v>
      </c>
      <c r="AN67" s="31">
        <f>VLOOKUP($B67,Pitchers!$A1:$S251,15,FALSE)</f>
        <v>0</v>
      </c>
      <c r="AO67" s="31">
        <f>VLOOKUP($B67,Pitchers!$A1:$S251,16,FALSE)</f>
        <v>2.9966666666666666</v>
      </c>
      <c r="AP67" s="31">
        <f>VLOOKUP($B67,Pitchers!$A1:$S251,17,FALSE)</f>
        <v>0</v>
      </c>
      <c r="AQ67" s="31">
        <f>VLOOKUP($B67,Pitchers!$A1:$S251,18,FALSE)</f>
        <v>1.5</v>
      </c>
      <c r="AR67" s="31">
        <f>VLOOKUP($B67,Pitchers!$A1:$S251,19,FALSE)</f>
        <v>8</v>
      </c>
    </row>
    <row r="68" spans="1:44" ht="18.600000000000001" customHeight="1">
      <c r="A68" s="25">
        <f ca="1">RANK(I68,I$2:I$651)</f>
        <v>67</v>
      </c>
      <c r="B68" s="26" t="s">
        <v>177</v>
      </c>
      <c r="C68" s="27" t="s">
        <v>71</v>
      </c>
      <c r="D68" s="27" t="s">
        <v>69</v>
      </c>
      <c r="E68" s="36" t="s">
        <v>31</v>
      </c>
      <c r="F68" s="37">
        <f ca="1">VLOOKUP(B68,SP!A1:I161,IF(Settings!$J$13="points",4,7),FALSE)</f>
        <v>19</v>
      </c>
      <c r="G68" s="30">
        <f>(AC68*Settings!$F$2)+(AF68*Settings!$F$5)+(AG68*Settings!$F$6)+(AH68*Settings!$F$7)+(AI68*Settings!$F$8)+(AJ68*Settings!$F$9)+(AK68*Settings!$F$10)+(AL68*Settings!$F$11)+(AM68*Settings!$F$12)+(AN68*Settings!$F$13)+(AO68*Settings!$F$14)+(AP68*Settings!$F$15)+(AQ68*Settings!$F$16)+(AR68*Settings!$F$17)</f>
        <v>476.30412222222219</v>
      </c>
      <c r="H68" s="31">
        <f>VLOOKUP(B68,'Standard Deviations'!$A1:$D651,4,FALSE)</f>
        <v>4.4469853553627381</v>
      </c>
      <c r="I68" s="32">
        <f ca="1">IF(Settings!$J$16="no",VLOOKUP(B68,SP!A1:I161,IF(Settings!$J$13="points",6,9),FALSE),VLOOKUP(B68,'SP+RP'!$A1:$I251,IF(Settings!$J$13="points",6,9),FALSE))</f>
        <v>5.3145681005498639</v>
      </c>
      <c r="J68" s="31"/>
      <c r="K68" s="31">
        <f ca="1">J68-A68</f>
        <v>-67</v>
      </c>
      <c r="L68" s="31"/>
      <c r="M68" s="31"/>
      <c r="N68" s="31"/>
      <c r="O68" s="31"/>
      <c r="P68" s="31"/>
      <c r="Q68" s="31"/>
      <c r="R68" s="152"/>
      <c r="S68" s="152"/>
      <c r="T68" s="154"/>
      <c r="U68" s="154"/>
      <c r="V68" s="154"/>
      <c r="W68" s="154"/>
      <c r="X68" s="154"/>
      <c r="Y68" s="152"/>
      <c r="Z68" s="152"/>
      <c r="AA68" s="31"/>
      <c r="AB68" s="31"/>
      <c r="AC68" s="31">
        <f>VLOOKUP($B68,Pitchers!$A1:$S251,4,FALSE)</f>
        <v>187.86111111111109</v>
      </c>
      <c r="AD68" s="33">
        <f>VLOOKUP($B68,Pitchers!$A1:$S251,5,FALSE)</f>
        <v>3.3127132929173446</v>
      </c>
      <c r="AE68" s="33">
        <f>VLOOKUP($B68,Pitchers!$A1:$S251,6,FALSE)</f>
        <v>1.1797545467987582</v>
      </c>
      <c r="AF68" s="31">
        <f>VLOOKUP($B68,Pitchers!$A1:$S251,7,FALSE)</f>
        <v>196.23222222222225</v>
      </c>
      <c r="AG68" s="31">
        <f>VLOOKUP($B68,Pitchers!$A1:$S251,8,FALSE)</f>
        <v>12.51</v>
      </c>
      <c r="AH68" s="31">
        <f>VLOOKUP($B68,Pitchers!$A1:$S251,9,FALSE)</f>
        <v>0</v>
      </c>
      <c r="AI68" s="31">
        <f>VLOOKUP($B68,Pitchers!$A1:$S251,10,FALSE)</f>
        <v>69.147777777777776</v>
      </c>
      <c r="AJ68" s="31">
        <f>VLOOKUP($B68,Pitchers!$A1:$S251,11,FALSE)</f>
        <v>159.95333333333335</v>
      </c>
      <c r="AK68" s="31">
        <f>VLOOKUP($B68,Pitchers!$A1:$S251,12,FALSE)</f>
        <v>61.676666666666669</v>
      </c>
      <c r="AL68" s="31">
        <f>VLOOKUP($B68,Pitchers!$A1:$S251,13,FALSE)</f>
        <v>17.3</v>
      </c>
      <c r="AM68" s="31">
        <f>VLOOKUP($B68,Pitchers!$A1:$S251,14,FALSE)</f>
        <v>30.886666666666667</v>
      </c>
      <c r="AN68" s="31">
        <f>VLOOKUP($B68,Pitchers!$A1:$S251,15,FALSE)</f>
        <v>30.886666666666667</v>
      </c>
      <c r="AO68" s="31">
        <f>VLOOKUP($B68,Pitchers!$A1:$S251,16,FALSE)</f>
        <v>9.0088888888888885</v>
      </c>
      <c r="AP68" s="31">
        <f>VLOOKUP($B68,Pitchers!$A1:$S251,17,FALSE)</f>
        <v>20.952300000000001</v>
      </c>
      <c r="AQ68" s="31">
        <f>VLOOKUP($B68,Pitchers!$A1:$S251,18,FALSE)</f>
        <v>0</v>
      </c>
      <c r="AR68" s="31">
        <f>VLOOKUP($B68,Pitchers!$A1:$S251,19,FALSE)</f>
        <v>0</v>
      </c>
    </row>
    <row r="69" spans="1:44" ht="18.600000000000001" customHeight="1">
      <c r="A69" s="25">
        <f ca="1">RANK(I69,I$2:I$651)</f>
        <v>68</v>
      </c>
      <c r="B69" s="26" t="s">
        <v>237</v>
      </c>
      <c r="C69" s="27" t="s">
        <v>71</v>
      </c>
      <c r="D69" s="27" t="s">
        <v>69</v>
      </c>
      <c r="E69" s="42" t="s">
        <v>34</v>
      </c>
      <c r="F69" s="43">
        <f ca="1">VLOOKUP(B69,RP!A1:I91,IF(Settings!$J$13="points",4,7),FALSE)</f>
        <v>7</v>
      </c>
      <c r="G69" s="30">
        <f>(AC69*Settings!$F$2)+(AF69*Settings!$F$5)+(AG69*Settings!$F$6)+(AH69*Settings!$F$7)+(AI69*Settings!$F$8)+(AJ69*Settings!$F$9)+(AK69*Settings!$F$10)+(AL69*Settings!$F$11)+(AM69*Settings!$F$12)+(AN69*Settings!$F$13)+(AO69*Settings!$F$14)+(AP69*Settings!$F$15)+(AQ69*Settings!$F$16)+(AR69*Settings!$F$17)</f>
        <v>230.43833333333333</v>
      </c>
      <c r="H69" s="31">
        <f>VLOOKUP(B69,'Standard Deviations'!$A1:$D651,4,FALSE)</f>
        <v>4.4421851128807441</v>
      </c>
      <c r="I69" s="32">
        <f ca="1">IF(Settings!$J$16="no",VLOOKUP(B69,RP!A1:I91,IF(Settings!$J$13="points",6,9),FALSE),VLOOKUP(B69,'SP+RP'!$A1:$I251,IF(Settings!$J$13="points",6,9),FALSE))</f>
        <v>5.3097688693343024</v>
      </c>
      <c r="J69" s="31"/>
      <c r="K69" s="31">
        <f ca="1">J69-A69</f>
        <v>-68</v>
      </c>
      <c r="L69" s="31"/>
      <c r="M69" s="31"/>
      <c r="N69" s="31"/>
      <c r="O69" s="31"/>
      <c r="P69" s="31"/>
      <c r="Q69" s="31"/>
      <c r="R69" s="152"/>
      <c r="S69" s="152"/>
      <c r="T69" s="154"/>
      <c r="U69" s="154"/>
      <c r="V69" s="154"/>
      <c r="W69" s="154"/>
      <c r="X69" s="154"/>
      <c r="Y69" s="152"/>
      <c r="Z69" s="152"/>
      <c r="AA69" s="31"/>
      <c r="AB69" s="31"/>
      <c r="AC69" s="31">
        <f>VLOOKUP($B69,Pitchers!$A1:$S251,4,FALSE)</f>
        <v>62.772222222222219</v>
      </c>
      <c r="AD69" s="33">
        <f>VLOOKUP($B69,Pitchers!$A1:$S251,5,FALSE)</f>
        <v>2.5695282768386587</v>
      </c>
      <c r="AE69" s="33">
        <f>VLOOKUP($B69,Pitchers!$A1:$S251,6,FALSE)</f>
        <v>1.0016638640587663</v>
      </c>
      <c r="AF69" s="31">
        <f>VLOOKUP($B69,Pitchers!$A1:$S251,7,FALSE)</f>
        <v>89.848888888888894</v>
      </c>
      <c r="AG69" s="31">
        <f>VLOOKUP($B69,Pitchers!$A1:$S251,8,FALSE)</f>
        <v>2.9977777777777774</v>
      </c>
      <c r="AH69" s="31">
        <f>VLOOKUP($B69,Pitchers!$A1:$S251,9,FALSE)</f>
        <v>10.299999999999999</v>
      </c>
      <c r="AI69" s="31">
        <f>VLOOKUP($B69,Pitchers!$A1:$S251,10,FALSE)</f>
        <v>17.921666666666667</v>
      </c>
      <c r="AJ69" s="31">
        <f>VLOOKUP($B69,Pitchers!$A1:$S251,11,FALSE)</f>
        <v>41.833333333333336</v>
      </c>
      <c r="AK69" s="31">
        <f>VLOOKUP($B69,Pitchers!$A1:$S251,12,FALSE)</f>
        <v>21.043333333333333</v>
      </c>
      <c r="AL69" s="31">
        <f>VLOOKUP($B69,Pitchers!$A1:$S251,13,FALSE)</f>
        <v>5</v>
      </c>
      <c r="AM69" s="31">
        <f>VLOOKUP($B69,Pitchers!$A1:$S251,14,FALSE)</f>
        <v>63.631111111111117</v>
      </c>
      <c r="AN69" s="31">
        <f>VLOOKUP($B69,Pitchers!$A1:$S251,15,FALSE)</f>
        <v>0</v>
      </c>
      <c r="AO69" s="31">
        <f>VLOOKUP($B69,Pitchers!$A1:$S251,16,FALSE)</f>
        <v>3.0177777777777774</v>
      </c>
      <c r="AP69" s="31">
        <f>VLOOKUP($B69,Pitchers!$A1:$S251,17,FALSE)</f>
        <v>0</v>
      </c>
      <c r="AQ69" s="31">
        <f>VLOOKUP($B69,Pitchers!$A1:$S251,18,FALSE)</f>
        <v>17</v>
      </c>
      <c r="AR69" s="31">
        <f>VLOOKUP($B69,Pitchers!$A1:$S251,19,FALSE)</f>
        <v>0</v>
      </c>
    </row>
    <row r="70" spans="1:44" ht="18.600000000000001" customHeight="1">
      <c r="A70" s="25">
        <f ca="1">RANK(I70,I$2:I$651)</f>
        <v>69</v>
      </c>
      <c r="B70" s="26" t="s">
        <v>149</v>
      </c>
      <c r="C70" s="27" t="s">
        <v>123</v>
      </c>
      <c r="D70" s="27" t="s">
        <v>74</v>
      </c>
      <c r="E70" s="28" t="s">
        <v>23</v>
      </c>
      <c r="F70" s="29">
        <f ca="1">VLOOKUP(B70,OF!A1:I139,IF(Settings!$J$13="points",4,7),FALSE)</f>
        <v>19</v>
      </c>
      <c r="G70" s="30">
        <f>(M70*Settings!$B$2)+(N70*Settings!$B$3)+(O70*Settings!$B$4)+(P70*Settings!$B$5)+(Q70*Settings!$B$6)+((T70-U70-V70-O70)*Settings!$B$9)+(U70*Settings!$B$10)+(V70*Settings!$B$11)+(W70*Settings!$B$12)+(X70*Settings!$B$13)+(AA70*Settings!$B$16)</f>
        <v>376.30055555555555</v>
      </c>
      <c r="H70" s="31">
        <f>VLOOKUP(B70,'Standard Deviations'!$A1:$D651,4,FALSE)</f>
        <v>5.1192953911417938</v>
      </c>
      <c r="I70" s="32">
        <f ca="1">VLOOKUP(B70,OF!A1:I139,IF(Settings!$J$13="points",6,9),FALSE)</f>
        <v>5.2762307263802928</v>
      </c>
      <c r="J70" s="31"/>
      <c r="K70" s="31">
        <f ca="1">J70-A70</f>
        <v>-69</v>
      </c>
      <c r="L70" s="31"/>
      <c r="M70" s="31">
        <f>VLOOKUP($B70,Hitters!$A1:$R401,4,FALSE)</f>
        <v>492.21111111111105</v>
      </c>
      <c r="N70" s="31">
        <f>VLOOKUP($B70,Hitters!$A1:$R401,5,FALSE)</f>
        <v>76.646666666666661</v>
      </c>
      <c r="O70" s="31">
        <f>VLOOKUP($B70,Hitters!$A1:$R401,6,FALSE)</f>
        <v>25.263333333333332</v>
      </c>
      <c r="P70" s="31">
        <f>VLOOKUP($B70,Hitters!$A1:$R401,7,FALSE)</f>
        <v>75.276666666666671</v>
      </c>
      <c r="Q70" s="31">
        <f>VLOOKUP($B70,Hitters!$A1:$R401,8,FALSE)</f>
        <v>17.302222222222223</v>
      </c>
      <c r="R70" s="152">
        <f>VLOOKUP($B70,Hitters!$A$1:$R$401,14,FALSE)</f>
        <v>0.24533285175737601</v>
      </c>
      <c r="S70" s="152">
        <f>VLOOKUP($B70,Hitters!$A$1:$R$401,15,FALSE)</f>
        <v>0.31925820783118342</v>
      </c>
      <c r="T70" s="154">
        <f>VLOOKUP($B70,Hitters!$A$1:$R$401,9,FALSE)</f>
        <v>120.75555555555555</v>
      </c>
      <c r="U70" s="154">
        <f>VLOOKUP($B70,Hitters!$A$1:$R$401,10,FALSE)</f>
        <v>21.99111111111111</v>
      </c>
      <c r="V70" s="154">
        <f>VLOOKUP($B70,Hitters!$A$1:$R$401,11,FALSE)</f>
        <v>1.9822222222222223</v>
      </c>
      <c r="W70" s="154">
        <f>VLOOKUP($B70,Hitters!$A$1:$R$401,12,FALSE)</f>
        <v>45.763333333333328</v>
      </c>
      <c r="X70" s="154">
        <f>VLOOKUP($B70,Hitters!$A$1:$R$401,13,FALSE)</f>
        <v>156.98333333333332</v>
      </c>
      <c r="Y70" s="152">
        <f>VLOOKUP($B70,Hitters!$A$1:$R$401,16,FALSE)</f>
        <v>0.45204406420009485</v>
      </c>
      <c r="Z70" s="152">
        <f>VLOOKUP($B70,Hitters!$A$1:$R$401,17,FALSE)</f>
        <v>0.77130227203127832</v>
      </c>
      <c r="AA70" s="31">
        <f>VLOOKUP($B70,Hitters!$A1:$R401,18,FALSE)</f>
        <v>0</v>
      </c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spans="1:44" ht="20.100000000000001" customHeight="1">
      <c r="A71" s="25">
        <f ca="1">RANK(I71,I$2:I$651)</f>
        <v>70</v>
      </c>
      <c r="B71" s="26" t="s">
        <v>209</v>
      </c>
      <c r="C71" s="27" t="s">
        <v>158</v>
      </c>
      <c r="D71" s="27" t="s">
        <v>74</v>
      </c>
      <c r="E71" s="38" t="s">
        <v>27</v>
      </c>
      <c r="F71" s="39">
        <f ca="1">VLOOKUP(B71,SS!A1:I45,IF(Settings!$J$13="points",4,7),FALSE)</f>
        <v>8</v>
      </c>
      <c r="G71" s="30">
        <f>(M71*Settings!$B$2)+(N71*Settings!$B$3)+(O71*Settings!$B$4)+(P71*Settings!$B$5)+(Q71*Settings!$B$6)+((T71-U71-V71-O71)*Settings!$B$9)+(U71*Settings!$B$10)+(V71*Settings!$B$11)+(W71*Settings!$B$12)+(X71*Settings!$B$13)+(AA71*Settings!$B$16)</f>
        <v>409.22555555555556</v>
      </c>
      <c r="H71" s="31">
        <f>VLOOKUP(B71,'Standard Deviations'!$A1:$D651,4,FALSE)</f>
        <v>5.255913281228044</v>
      </c>
      <c r="I71" s="32">
        <f ca="1">IF(Settings!$J$16="no",VLOOKUP(B71,SS!A1:I45,IF(Settings!$J$13="points",6,9),FALSE),VLOOKUP(B71,'2B+SS'!$A1:$I94,IF(Settings!$J$13="points",6,9),FALSE))</f>
        <v>5.2498685192728463</v>
      </c>
      <c r="J71" s="31"/>
      <c r="K71" s="31">
        <f ca="1">J71-A71</f>
        <v>-70</v>
      </c>
      <c r="L71" s="31"/>
      <c r="M71" s="31">
        <f>VLOOKUP($B71,Hitters!$A1:$R401,4,FALSE)</f>
        <v>587.5</v>
      </c>
      <c r="N71" s="31">
        <f>VLOOKUP($B71,Hitters!$A1:$R401,5,FALSE)</f>
        <v>82.417777777777772</v>
      </c>
      <c r="O71" s="31">
        <f>VLOOKUP($B71,Hitters!$A1:$R401,6,FALSE)</f>
        <v>22.231666666666666</v>
      </c>
      <c r="P71" s="31">
        <f>VLOOKUP($B71,Hitters!$A1:$R401,7,FALSE)</f>
        <v>78.001111111111115</v>
      </c>
      <c r="Q71" s="31">
        <f>VLOOKUP($B71,Hitters!$A1:$R401,8,FALSE)</f>
        <v>15.215555555555556</v>
      </c>
      <c r="R71" s="152">
        <f>VLOOKUP($B71,Hitters!$A$1:$R$401,14,FALSE)</f>
        <v>0.25349408983451538</v>
      </c>
      <c r="S71" s="152">
        <f>VLOOKUP($B71,Hitters!$A$1:$R$401,15,FALSE)</f>
        <v>0.32182686245989822</v>
      </c>
      <c r="T71" s="154">
        <f>VLOOKUP($B71,Hitters!$A$1:$R$401,9,FALSE)</f>
        <v>148.92777777777778</v>
      </c>
      <c r="U71" s="154">
        <f>VLOOKUP($B71,Hitters!$A$1:$R$401,10,FALSE)</f>
        <v>29.985555555555553</v>
      </c>
      <c r="V71" s="154">
        <f>VLOOKUP($B71,Hitters!$A$1:$R$401,11,FALSE)</f>
        <v>1.9833333333333334</v>
      </c>
      <c r="W71" s="154">
        <f>VLOOKUP($B71,Hitters!$A$1:$R$401,12,FALSE)</f>
        <v>50.085000000000001</v>
      </c>
      <c r="X71" s="154">
        <f>VLOOKUP($B71,Hitters!$A$1:$R$401,13,FALSE)</f>
        <v>162.56888888888889</v>
      </c>
      <c r="Y71" s="152">
        <f>VLOOKUP($B71,Hitters!$A$1:$R$401,16,FALSE)</f>
        <v>0.42480851063829783</v>
      </c>
      <c r="Z71" s="152">
        <f>VLOOKUP($B71,Hitters!$A$1:$R$401,17,FALSE)</f>
        <v>0.74663537309819605</v>
      </c>
      <c r="AA71" s="31">
        <f>VLOOKUP($B71,Hitters!$A1:$R401,18,FALSE)</f>
        <v>0</v>
      </c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</row>
    <row r="72" spans="1:44" ht="18.600000000000001" customHeight="1">
      <c r="A72" s="25">
        <f ca="1">RANK(I72,I$2:I$651)</f>
        <v>71</v>
      </c>
      <c r="B72" s="26" t="s">
        <v>169</v>
      </c>
      <c r="C72" s="27" t="s">
        <v>94</v>
      </c>
      <c r="D72" s="27" t="s">
        <v>69</v>
      </c>
      <c r="E72" s="36" t="s">
        <v>31</v>
      </c>
      <c r="F72" s="37">
        <f ca="1">VLOOKUP(B72,SP!A1:I161,IF(Settings!$J$13="points",4,7),FALSE)</f>
        <v>20</v>
      </c>
      <c r="G72" s="30">
        <f>(AC72*Settings!$F$2)+(AF72*Settings!$F$5)+(AG72*Settings!$F$6)+(AH72*Settings!$F$7)+(AI72*Settings!$F$8)+(AJ72*Settings!$F$9)+(AK72*Settings!$F$10)+(AL72*Settings!$F$11)+(AM72*Settings!$F$12)+(AN72*Settings!$F$13)+(AO72*Settings!$F$14)+(AP72*Settings!$F$15)+(AQ72*Settings!$F$16)+(AR72*Settings!$F$17)</f>
        <v>477.37748888888888</v>
      </c>
      <c r="H72" s="31">
        <f>VLOOKUP(B72,'Standard Deviations'!$A1:$D651,4,FALSE)</f>
        <v>4.3582794029998873</v>
      </c>
      <c r="I72" s="32">
        <f ca="1">IF(Settings!$J$16="no",VLOOKUP(B72,SP!A1:I161,IF(Settings!$J$13="points",6,9),FALSE),VLOOKUP(B72,'SP+RP'!$A1:$I251,IF(Settings!$J$13="points",6,9),FALSE))</f>
        <v>5.22585574561269</v>
      </c>
      <c r="J72" s="31"/>
      <c r="K72" s="31">
        <f ca="1">J72-A72</f>
        <v>-71</v>
      </c>
      <c r="L72" s="31"/>
      <c r="M72" s="31"/>
      <c r="N72" s="31"/>
      <c r="O72" s="31"/>
      <c r="P72" s="31"/>
      <c r="Q72" s="31"/>
      <c r="R72" s="152"/>
      <c r="S72" s="152"/>
      <c r="T72" s="154"/>
      <c r="U72" s="154"/>
      <c r="V72" s="154"/>
      <c r="W72" s="154"/>
      <c r="X72" s="154"/>
      <c r="Y72" s="152"/>
      <c r="Z72" s="152"/>
      <c r="AA72" s="31"/>
      <c r="AB72" s="31"/>
      <c r="AC72" s="31">
        <f>VLOOKUP($B72,Pitchers!$A1:$S251,4,FALSE)</f>
        <v>190.76555555555555</v>
      </c>
      <c r="AD72" s="33">
        <f>VLOOKUP($B72,Pitchers!$A1:$S251,5,FALSE)</f>
        <v>3.5674553407614931</v>
      </c>
      <c r="AE72" s="33">
        <f>VLOOKUP($B72,Pitchers!$A1:$S251,6,FALSE)</f>
        <v>1.1360221097449457</v>
      </c>
      <c r="AF72" s="31">
        <f>VLOOKUP($B72,Pitchers!$A1:$S251,7,FALSE)</f>
        <v>183.77111111111108</v>
      </c>
      <c r="AG72" s="31">
        <f>VLOOKUP($B72,Pitchers!$A1:$S251,8,FALSE)</f>
        <v>13.448888888888888</v>
      </c>
      <c r="AH72" s="31">
        <f>VLOOKUP($B72,Pitchers!$A1:$S251,9,FALSE)</f>
        <v>0</v>
      </c>
      <c r="AI72" s="31">
        <f>VLOOKUP($B72,Pitchers!$A1:$S251,10,FALSE)</f>
        <v>75.616399999999999</v>
      </c>
      <c r="AJ72" s="31">
        <f>VLOOKUP($B72,Pitchers!$A1:$S251,11,FALSE)</f>
        <v>160.90555555555554</v>
      </c>
      <c r="AK72" s="31">
        <f>VLOOKUP($B72,Pitchers!$A1:$S251,12,FALSE)</f>
        <v>55.808333333333337</v>
      </c>
      <c r="AL72" s="31">
        <f>VLOOKUP($B72,Pitchers!$A1:$S251,13,FALSE)</f>
        <v>23.333333333333332</v>
      </c>
      <c r="AM72" s="31">
        <f>VLOOKUP($B72,Pitchers!$A1:$S251,14,FALSE)</f>
        <v>30.997777777777781</v>
      </c>
      <c r="AN72" s="31">
        <f>VLOOKUP($B72,Pitchers!$A1:$S251,15,FALSE)</f>
        <v>30.997777777777781</v>
      </c>
      <c r="AO72" s="31">
        <f>VLOOKUP($B72,Pitchers!$A1:$S251,16,FALSE)</f>
        <v>8.5233333333333334</v>
      </c>
      <c r="AP72" s="31">
        <f>VLOOKUP($B72,Pitchers!$A1:$S251,17,FALSE)</f>
        <v>18</v>
      </c>
      <c r="AQ72" s="31">
        <f>VLOOKUP($B72,Pitchers!$A1:$S251,18,FALSE)</f>
        <v>0</v>
      </c>
      <c r="AR72" s="31">
        <f>VLOOKUP($B72,Pitchers!$A1:$S251,19,FALSE)</f>
        <v>0</v>
      </c>
    </row>
    <row r="73" spans="1:44" ht="18.600000000000001" customHeight="1">
      <c r="A73" s="25">
        <f ca="1">RANK(I73,I$2:I$651)</f>
        <v>72</v>
      </c>
      <c r="B73" s="26" t="s">
        <v>197</v>
      </c>
      <c r="C73" s="27" t="s">
        <v>99</v>
      </c>
      <c r="D73" s="27" t="s">
        <v>69</v>
      </c>
      <c r="E73" s="42" t="s">
        <v>34</v>
      </c>
      <c r="F73" s="43">
        <f ca="1">VLOOKUP(B73,RP!A1:I91,IF(Settings!$J$13="points",4,7),FALSE)</f>
        <v>8</v>
      </c>
      <c r="G73" s="30">
        <f>(AC73*Settings!$F$2)+(AF73*Settings!$F$5)+(AG73*Settings!$F$6)+(AH73*Settings!$F$7)+(AI73*Settings!$F$8)+(AJ73*Settings!$F$9)+(AK73*Settings!$F$10)+(AL73*Settings!$F$11)+(AM73*Settings!$F$12)+(AN73*Settings!$F$13)+(AO73*Settings!$F$14)+(AP73*Settings!$F$15)+(AQ73*Settings!$F$16)+(AR73*Settings!$F$17)</f>
        <v>337.22833333333335</v>
      </c>
      <c r="H73" s="31">
        <f>VLOOKUP(B73,'Standard Deviations'!$A1:$D651,4,FALSE)</f>
        <v>4.3488448048012867</v>
      </c>
      <c r="I73" s="32">
        <f ca="1">IF(Settings!$J$16="no",VLOOKUP(B73,RP!A1:I91,IF(Settings!$J$13="points",6,9),FALSE),VLOOKUP(B73,'SP+RP'!$A1:$I251,IF(Settings!$J$13="points",6,9),FALSE))</f>
        <v>5.2164302772004474</v>
      </c>
      <c r="J73" s="31"/>
      <c r="K73" s="31">
        <f ca="1">J73-A73</f>
        <v>-72</v>
      </c>
      <c r="L73" s="31"/>
      <c r="M73" s="31"/>
      <c r="N73" s="31"/>
      <c r="O73" s="31"/>
      <c r="P73" s="31"/>
      <c r="Q73" s="31"/>
      <c r="R73" s="152"/>
      <c r="S73" s="152"/>
      <c r="T73" s="154"/>
      <c r="U73" s="154"/>
      <c r="V73" s="154"/>
      <c r="W73" s="154"/>
      <c r="X73" s="154"/>
      <c r="Y73" s="152"/>
      <c r="Z73" s="152"/>
      <c r="AA73" s="31"/>
      <c r="AB73" s="31"/>
      <c r="AC73" s="31">
        <f>VLOOKUP($B73,Pitchers!$A1:$S251,4,FALSE)</f>
        <v>63.134444444444448</v>
      </c>
      <c r="AD73" s="33">
        <f>VLOOKUP($B73,Pitchers!$A1:$S251,5,FALSE)</f>
        <v>2.9895725172031464</v>
      </c>
      <c r="AE73" s="33">
        <f>VLOOKUP($B73,Pitchers!$A1:$S251,6,FALSE)</f>
        <v>1.1174917724080886</v>
      </c>
      <c r="AF73" s="31">
        <f>VLOOKUP($B73,Pitchers!$A1:$S251,7,FALSE)</f>
        <v>82.836666666666659</v>
      </c>
      <c r="AG73" s="31">
        <f>VLOOKUP($B73,Pitchers!$A1:$S251,8,FALSE)</f>
        <v>3.0249999999999999</v>
      </c>
      <c r="AH73" s="31">
        <f>VLOOKUP($B73,Pitchers!$A1:$S251,9,FALSE)</f>
        <v>27.400000000000002</v>
      </c>
      <c r="AI73" s="31">
        <f>VLOOKUP($B73,Pitchers!$A1:$S251,10,FALSE)</f>
        <v>20.971666666666668</v>
      </c>
      <c r="AJ73" s="31">
        <f>VLOOKUP($B73,Pitchers!$A1:$S251,11,FALSE)</f>
        <v>45.511111111111113</v>
      </c>
      <c r="AK73" s="31">
        <f>VLOOKUP($B73,Pitchers!$A1:$S251,12,FALSE)</f>
        <v>25.04111111111111</v>
      </c>
      <c r="AL73" s="31">
        <f>VLOOKUP($B73,Pitchers!$A1:$S251,13,FALSE)</f>
        <v>6.1333333333333329</v>
      </c>
      <c r="AM73" s="31">
        <f>VLOOKUP($B73,Pitchers!$A1:$S251,14,FALSE)</f>
        <v>63.413333333333327</v>
      </c>
      <c r="AN73" s="31">
        <f>VLOOKUP($B73,Pitchers!$A1:$S251,15,FALSE)</f>
        <v>0</v>
      </c>
      <c r="AO73" s="31">
        <f>VLOOKUP($B73,Pitchers!$A1:$S251,16,FALSE)</f>
        <v>3.0088888888888889</v>
      </c>
      <c r="AP73" s="31">
        <f>VLOOKUP($B73,Pitchers!$A1:$S251,17,FALSE)</f>
        <v>0</v>
      </c>
      <c r="AQ73" s="31">
        <f>VLOOKUP($B73,Pitchers!$A1:$S251,18,FALSE)</f>
        <v>3.5</v>
      </c>
      <c r="AR73" s="31">
        <f>VLOOKUP($B73,Pitchers!$A1:$S251,19,FALSE)</f>
        <v>4</v>
      </c>
    </row>
    <row r="74" spans="1:44" ht="18.600000000000001" customHeight="1">
      <c r="A74" s="25">
        <f ca="1">RANK(I74,I$2:I$651)</f>
        <v>73</v>
      </c>
      <c r="B74" s="26" t="s">
        <v>146</v>
      </c>
      <c r="C74" s="27" t="s">
        <v>114</v>
      </c>
      <c r="D74" s="27" t="s">
        <v>69</v>
      </c>
      <c r="E74" s="36" t="s">
        <v>31</v>
      </c>
      <c r="F74" s="37">
        <f ca="1">VLOOKUP(B74,SP!A1:I161,IF(Settings!$J$13="points",4,7),FALSE)</f>
        <v>21</v>
      </c>
      <c r="G74" s="30">
        <f>(AC74*Settings!$F$2)+(AF74*Settings!$F$5)+(AG74*Settings!$F$6)+(AH74*Settings!$F$7)+(AI74*Settings!$F$8)+(AJ74*Settings!$F$9)+(AK74*Settings!$F$10)+(AL74*Settings!$F$11)+(AM74*Settings!$F$12)+(AN74*Settings!$F$13)+(AO74*Settings!$F$14)+(AP74*Settings!$F$15)+(AQ74*Settings!$F$16)+(AR74*Settings!$F$17)</f>
        <v>460.36972222222204</v>
      </c>
      <c r="H74" s="31">
        <f>VLOOKUP(B74,'Standard Deviations'!$A1:$D651,4,FALSE)</f>
        <v>4.3347278642397882</v>
      </c>
      <c r="I74" s="32">
        <f ca="1">IF(Settings!$J$16="no",VLOOKUP(B74,SP!A1:I161,IF(Settings!$J$13="points",6,9),FALSE),VLOOKUP(B74,'SP+RP'!$A1:$I251,IF(Settings!$J$13="points",6,9),FALSE))</f>
        <v>5.2023051815996242</v>
      </c>
      <c r="J74" s="31"/>
      <c r="K74" s="31">
        <f ca="1">J74-A74</f>
        <v>-73</v>
      </c>
      <c r="L74" s="31"/>
      <c r="M74" s="31"/>
      <c r="N74" s="31"/>
      <c r="O74" s="31"/>
      <c r="P74" s="31"/>
      <c r="Q74" s="31"/>
      <c r="R74" s="152"/>
      <c r="S74" s="152"/>
      <c r="T74" s="154"/>
      <c r="U74" s="154"/>
      <c r="V74" s="154"/>
      <c r="W74" s="154"/>
      <c r="X74" s="154"/>
      <c r="Y74" s="152"/>
      <c r="Z74" s="152"/>
      <c r="AA74" s="31"/>
      <c r="AB74" s="31"/>
      <c r="AC74" s="31">
        <f>VLOOKUP($B74,Pitchers!$A1:$S251,4,FALSE)</f>
        <v>181.21222222222221</v>
      </c>
      <c r="AD74" s="33">
        <f>VLOOKUP($B74,Pitchers!$A1:$S251,5,FALSE)</f>
        <v>3.5050615913814993</v>
      </c>
      <c r="AE74" s="33">
        <f>VLOOKUP($B74,Pitchers!$A1:$S251,6,FALSE)</f>
        <v>1.1999374582288416</v>
      </c>
      <c r="AF74" s="31">
        <f>VLOOKUP($B74,Pitchers!$A1:$S251,7,FALSE)</f>
        <v>217.26833333333332</v>
      </c>
      <c r="AG74" s="31">
        <f>VLOOKUP($B74,Pitchers!$A1:$S251,8,FALSE)</f>
        <v>12.852222222222222</v>
      </c>
      <c r="AH74" s="31">
        <f>VLOOKUP($B74,Pitchers!$A1:$S251,9,FALSE)</f>
        <v>0</v>
      </c>
      <c r="AI74" s="31">
        <f>VLOOKUP($B74,Pitchers!$A1:$S251,10,FALSE)</f>
        <v>70.573333333333338</v>
      </c>
      <c r="AJ74" s="31">
        <f>VLOOKUP($B74,Pitchers!$A1:$S251,11,FALSE)</f>
        <v>144.42555555555555</v>
      </c>
      <c r="AK74" s="31">
        <f>VLOOKUP($B74,Pitchers!$A1:$S251,12,FALSE)</f>
        <v>73.017777777777781</v>
      </c>
      <c r="AL74" s="31">
        <f>VLOOKUP($B74,Pitchers!$A1:$S251,13,FALSE)</f>
        <v>22.3</v>
      </c>
      <c r="AM74" s="31">
        <f>VLOOKUP($B74,Pitchers!$A1:$S251,14,FALSE)</f>
        <v>31.03</v>
      </c>
      <c r="AN74" s="31">
        <f>VLOOKUP($B74,Pitchers!$A1:$S251,15,FALSE)</f>
        <v>31.013333333333335</v>
      </c>
      <c r="AO74" s="31">
        <f>VLOOKUP($B74,Pitchers!$A1:$S251,16,FALSE)</f>
        <v>8.9700000000000006</v>
      </c>
      <c r="AP74" s="31">
        <f>VLOOKUP($B74,Pitchers!$A1:$S251,17,FALSE)</f>
        <v>17</v>
      </c>
      <c r="AQ74" s="31">
        <f>VLOOKUP($B74,Pitchers!$A1:$S251,18,FALSE)</f>
        <v>0</v>
      </c>
      <c r="AR74" s="31">
        <f>VLOOKUP($B74,Pitchers!$A1:$S251,19,FALSE)</f>
        <v>0</v>
      </c>
    </row>
    <row r="75" spans="1:44" ht="18.600000000000001" customHeight="1">
      <c r="A75" s="25">
        <f ca="1">RANK(I75,I$2:I$651)</f>
        <v>74</v>
      </c>
      <c r="B75" s="26" t="s">
        <v>220</v>
      </c>
      <c r="C75" s="27" t="s">
        <v>156</v>
      </c>
      <c r="D75" s="27" t="s">
        <v>69</v>
      </c>
      <c r="E75" s="42" t="s">
        <v>34</v>
      </c>
      <c r="F75" s="43">
        <f ca="1">VLOOKUP(B75,RP!A1:I91,IF(Settings!$J$13="points",4,7),FALSE)</f>
        <v>9</v>
      </c>
      <c r="G75" s="30">
        <f>(AC75*Settings!$F$2)+(AF75*Settings!$F$5)+(AG75*Settings!$F$6)+(AH75*Settings!$F$7)+(AI75*Settings!$F$8)+(AJ75*Settings!$F$9)+(AK75*Settings!$F$10)+(AL75*Settings!$F$11)+(AM75*Settings!$F$12)+(AN75*Settings!$F$13)+(AO75*Settings!$F$14)+(AP75*Settings!$F$15)+(AQ75*Settings!$F$16)+(AR75*Settings!$F$17)</f>
        <v>298.37444444444446</v>
      </c>
      <c r="H75" s="31">
        <f>VLOOKUP(B75,'Standard Deviations'!$A1:$D651,4,FALSE)</f>
        <v>4.2627270965859161</v>
      </c>
      <c r="I75" s="32">
        <f ca="1">IF(Settings!$J$16="no",VLOOKUP(B75,RP!A1:I91,IF(Settings!$J$13="points",6,9),FALSE),VLOOKUP(B75,'SP+RP'!$A1:$I251,IF(Settings!$J$13="points",6,9),FALSE))</f>
        <v>5.1303030868647799</v>
      </c>
      <c r="J75" s="31"/>
      <c r="K75" s="31">
        <f ca="1">J75-A75</f>
        <v>-74</v>
      </c>
      <c r="L75" s="31"/>
      <c r="M75" s="31"/>
      <c r="N75" s="31"/>
      <c r="O75" s="31"/>
      <c r="P75" s="31"/>
      <c r="Q75" s="31"/>
      <c r="R75" s="152"/>
      <c r="S75" s="152"/>
      <c r="T75" s="154"/>
      <c r="U75" s="154"/>
      <c r="V75" s="154"/>
      <c r="W75" s="154"/>
      <c r="X75" s="154"/>
      <c r="Y75" s="152"/>
      <c r="Z75" s="152"/>
      <c r="AA75" s="31"/>
      <c r="AB75" s="31"/>
      <c r="AC75" s="31">
        <f>VLOOKUP($B75,Pitchers!$A1:$S251,4,FALSE)</f>
        <v>66.476666666666674</v>
      </c>
      <c r="AD75" s="33">
        <f>VLOOKUP($B75,Pitchers!$A1:$S251,5,FALSE)</f>
        <v>2.7930100787243641</v>
      </c>
      <c r="AE75" s="33">
        <f>VLOOKUP($B75,Pitchers!$A1:$S251,6,FALSE)</f>
        <v>1.0952715238429522</v>
      </c>
      <c r="AF75" s="31">
        <f>VLOOKUP($B75,Pitchers!$A1:$S251,7,FALSE)</f>
        <v>87.733333333333334</v>
      </c>
      <c r="AG75" s="31">
        <f>VLOOKUP($B75,Pitchers!$A1:$S251,8,FALSE)</f>
        <v>3.5644444444444443</v>
      </c>
      <c r="AH75" s="31">
        <f>VLOOKUP($B75,Pitchers!$A1:$S251,9,FALSE)</f>
        <v>19.600000000000001</v>
      </c>
      <c r="AI75" s="31">
        <f>VLOOKUP($B75,Pitchers!$A1:$S251,10,FALSE)</f>
        <v>20.63</v>
      </c>
      <c r="AJ75" s="31">
        <f>VLOOKUP($B75,Pitchers!$A1:$S251,11,FALSE)</f>
        <v>50.282222222222224</v>
      </c>
      <c r="AK75" s="31">
        <f>VLOOKUP($B75,Pitchers!$A1:$S251,12,FALSE)</f>
        <v>22.527777777777775</v>
      </c>
      <c r="AL75" s="31">
        <f>VLOOKUP($B75,Pitchers!$A1:$S251,13,FALSE)</f>
        <v>5.333333333333333</v>
      </c>
      <c r="AM75" s="31">
        <f>VLOOKUP($B75,Pitchers!$A1:$S251,14,FALSE)</f>
        <v>61.609999999999992</v>
      </c>
      <c r="AN75" s="31">
        <f>VLOOKUP($B75,Pitchers!$A1:$S251,15,FALSE)</f>
        <v>0</v>
      </c>
      <c r="AO75" s="31">
        <f>VLOOKUP($B75,Pitchers!$A1:$S251,16,FALSE)</f>
        <v>2.7266666666666666</v>
      </c>
      <c r="AP75" s="31">
        <f>VLOOKUP($B75,Pitchers!$A1:$S251,17,FALSE)</f>
        <v>0</v>
      </c>
      <c r="AQ75" s="31">
        <f>VLOOKUP($B75,Pitchers!$A1:$S251,18,FALSE)</f>
        <v>19.5</v>
      </c>
      <c r="AR75" s="31">
        <f>VLOOKUP($B75,Pitchers!$A1:$S251,19,FALSE)</f>
        <v>3</v>
      </c>
    </row>
    <row r="76" spans="1:44" ht="18.600000000000001" customHeight="1">
      <c r="A76" s="25">
        <f ca="1">RANK(I76,I$2:I$651)</f>
        <v>75</v>
      </c>
      <c r="B76" s="26" t="s">
        <v>142</v>
      </c>
      <c r="C76" s="27" t="s">
        <v>94</v>
      </c>
      <c r="D76" s="27" t="s">
        <v>69</v>
      </c>
      <c r="E76" s="46" t="s">
        <v>19</v>
      </c>
      <c r="F76" s="47">
        <f ca="1">VLOOKUP(B76,'C'!A1:I54,IF(Settings!$J$13="points",4,7),FALSE)</f>
        <v>2</v>
      </c>
      <c r="G76" s="30">
        <f>(M76*Settings!$B$2)+(N76*Settings!$B$3)+(O76*Settings!$B$4)+(P76*Settings!$B$5)+(Q76*Settings!$B$6)+((T76-U76-V76-O76)*Settings!$B$9)+(U76*Settings!$B$10)+(V76*Settings!$B$11)+(W76*Settings!$B$12)+(X76*Settings!$B$13)+(AA76*Settings!$B$16)</f>
        <v>380.98388888888894</v>
      </c>
      <c r="H76" s="31">
        <f>VLOOKUP(B76,'Standard Deviations'!$A1:$D651,4,FALSE)</f>
        <v>4.3313745715784968</v>
      </c>
      <c r="I76" s="32">
        <f ca="1">VLOOKUP(B76,'C'!A1:I54,IF(Settings!$J$13="points",6,9),FALSE)</f>
        <v>5.1179018754308583</v>
      </c>
      <c r="J76" s="31"/>
      <c r="K76" s="31">
        <f ca="1">J76-A76</f>
        <v>-75</v>
      </c>
      <c r="L76" s="31"/>
      <c r="M76" s="31">
        <f>VLOOKUP($B76,Hitters!$A1:$R401,4,FALSE)</f>
        <v>493.64999999999992</v>
      </c>
      <c r="N76" s="31">
        <f>VLOOKUP($B76,Hitters!$A1:$R401,5,FALSE)</f>
        <v>73.62222222222222</v>
      </c>
      <c r="O76" s="31">
        <f>VLOOKUP($B76,Hitters!$A1:$R401,6,FALSE)</f>
        <v>25.156666666666666</v>
      </c>
      <c r="P76" s="31">
        <f>VLOOKUP($B76,Hitters!$A1:$R401,7,FALSE)</f>
        <v>73.861666666666665</v>
      </c>
      <c r="Q76" s="31">
        <f>VLOOKUP($B76,Hitters!$A1:$R401,8,FALSE)</f>
        <v>14.706666666666665</v>
      </c>
      <c r="R76" s="152">
        <f>VLOOKUP($B76,Hitters!$A$1:$R$401,14,FALSE)</f>
        <v>0.24146887695960931</v>
      </c>
      <c r="S76" s="152">
        <f>VLOOKUP($B76,Hitters!$A$1:$R$401,15,FALSE)</f>
        <v>0.31432968254392263</v>
      </c>
      <c r="T76" s="154">
        <f>VLOOKUP($B76,Hitters!$A$1:$R$401,9,FALSE)</f>
        <v>119.20111111111112</v>
      </c>
      <c r="U76" s="154">
        <f>VLOOKUP($B76,Hitters!$A$1:$R$401,10,FALSE)</f>
        <v>24.218333333333334</v>
      </c>
      <c r="V76" s="154">
        <f>VLOOKUP($B76,Hitters!$A$1:$R$401,11,FALSE)</f>
        <v>2.4544444444444444</v>
      </c>
      <c r="W76" s="154">
        <f>VLOOKUP($B76,Hitters!$A$1:$R$401,12,FALSE)</f>
        <v>44.641111111111115</v>
      </c>
      <c r="X76" s="154">
        <f>VLOOKUP($B76,Hitters!$A$1:$R$401,13,FALSE)</f>
        <v>128.70555555555555</v>
      </c>
      <c r="Y76" s="152">
        <f>VLOOKUP($B76,Hitters!$A$1:$R$401,16,FALSE)</f>
        <v>0.45335426584287125</v>
      </c>
      <c r="Z76" s="152">
        <f>VLOOKUP($B76,Hitters!$A$1:$R$401,17,FALSE)</f>
        <v>0.76768394838679388</v>
      </c>
      <c r="AA76" s="31">
        <f>VLOOKUP($B76,Hitters!$A1:$R401,18,FALSE)</f>
        <v>0</v>
      </c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</row>
    <row r="77" spans="1:44" ht="18.600000000000001" customHeight="1">
      <c r="A77" s="25">
        <f ca="1">RANK(I77,I$2:I$651)</f>
        <v>76</v>
      </c>
      <c r="B77" s="26" t="s">
        <v>143</v>
      </c>
      <c r="C77" s="27" t="s">
        <v>63</v>
      </c>
      <c r="D77" s="27" t="s">
        <v>74</v>
      </c>
      <c r="E77" s="36" t="s">
        <v>31</v>
      </c>
      <c r="F77" s="37">
        <f ca="1">VLOOKUP(B77,SP!A1:I161,IF(Settings!$J$13="points",4,7),FALSE)</f>
        <v>22</v>
      </c>
      <c r="G77" s="30">
        <f>(AC77*Settings!$F$2)+(AF77*Settings!$F$5)+(AG77*Settings!$F$6)+(AH77*Settings!$F$7)+(AI77*Settings!$F$8)+(AJ77*Settings!$F$9)+(AK77*Settings!$F$10)+(AL77*Settings!$F$11)+(AM77*Settings!$F$12)+(AN77*Settings!$F$13)+(AO77*Settings!$F$14)+(AP77*Settings!$F$15)+(AQ77*Settings!$F$16)+(AR77*Settings!$F$17)</f>
        <v>466.80499999999989</v>
      </c>
      <c r="H77" s="31">
        <f>VLOOKUP(B77,'Standard Deviations'!$A1:$D651,4,FALSE)</f>
        <v>4.2428333701014882</v>
      </c>
      <c r="I77" s="32">
        <f ca="1">IF(Settings!$J$16="no",VLOOKUP(B77,SP!A1:I161,IF(Settings!$J$13="points",6,9),FALSE),VLOOKUP(B77,'SP+RP'!$A1:$I251,IF(Settings!$J$13="points",6,9),FALSE))</f>
        <v>5.110416937664815</v>
      </c>
      <c r="J77" s="31"/>
      <c r="K77" s="31">
        <f ca="1">J77-A77</f>
        <v>-76</v>
      </c>
      <c r="L77" s="31"/>
      <c r="M77" s="31"/>
      <c r="N77" s="31"/>
      <c r="O77" s="31"/>
      <c r="P77" s="31"/>
      <c r="Q77" s="31"/>
      <c r="R77" s="152"/>
      <c r="S77" s="152"/>
      <c r="T77" s="154"/>
      <c r="U77" s="154"/>
      <c r="V77" s="154"/>
      <c r="W77" s="154"/>
      <c r="X77" s="154"/>
      <c r="Y77" s="152"/>
      <c r="Z77" s="152"/>
      <c r="AA77" s="31"/>
      <c r="AB77" s="31"/>
      <c r="AC77" s="31">
        <f>VLOOKUP($B77,Pitchers!$A1:$S251,4,FALSE)</f>
        <v>184.73333333333332</v>
      </c>
      <c r="AD77" s="33">
        <f>VLOOKUP($B77,Pitchers!$A1:$S251,5,FALSE)</f>
        <v>3.718440996030314</v>
      </c>
      <c r="AE77" s="33">
        <f>VLOOKUP($B77,Pitchers!$A1:$S251,6,FALSE)</f>
        <v>1.1154938048839169</v>
      </c>
      <c r="AF77" s="31">
        <f>VLOOKUP($B77,Pitchers!$A1:$S251,7,FALSE)</f>
        <v>189.88555555555556</v>
      </c>
      <c r="AG77" s="31">
        <f>VLOOKUP($B77,Pitchers!$A1:$S251,8,FALSE)</f>
        <v>13.005555555555555</v>
      </c>
      <c r="AH77" s="31">
        <f>VLOOKUP($B77,Pitchers!$A1:$S251,9,FALSE)</f>
        <v>0</v>
      </c>
      <c r="AI77" s="31">
        <f>VLOOKUP($B77,Pitchers!$A1:$S251,10,FALSE)</f>
        <v>76.324444444444438</v>
      </c>
      <c r="AJ77" s="31">
        <f>VLOOKUP($B77,Pitchers!$A1:$S251,11,FALSE)</f>
        <v>159.96666666666667</v>
      </c>
      <c r="AK77" s="31">
        <f>VLOOKUP($B77,Pitchers!$A1:$S251,12,FALSE)</f>
        <v>46.102222222222224</v>
      </c>
      <c r="AL77" s="31">
        <f>VLOOKUP($B77,Pitchers!$A1:$S251,13,FALSE)</f>
        <v>25.066666666666666</v>
      </c>
      <c r="AM77" s="31">
        <f>VLOOKUP($B77,Pitchers!$A1:$S251,14,FALSE)</f>
        <v>29.997777777777781</v>
      </c>
      <c r="AN77" s="31">
        <f>VLOOKUP($B77,Pitchers!$A1:$S251,15,FALSE)</f>
        <v>29.997777777777781</v>
      </c>
      <c r="AO77" s="31">
        <f>VLOOKUP($B77,Pitchers!$A1:$S251,16,FALSE)</f>
        <v>8.9966666666666679</v>
      </c>
      <c r="AP77" s="31">
        <f>VLOOKUP($B77,Pitchers!$A1:$S251,17,FALSE)</f>
        <v>18</v>
      </c>
      <c r="AQ77" s="31">
        <f>VLOOKUP($B77,Pitchers!$A1:$S251,18,FALSE)</f>
        <v>0</v>
      </c>
      <c r="AR77" s="31">
        <f>VLOOKUP($B77,Pitchers!$A1:$S251,19,FALSE)</f>
        <v>0</v>
      </c>
    </row>
    <row r="78" spans="1:44" ht="18.600000000000001" customHeight="1">
      <c r="A78" s="25">
        <f ca="1">RANK(I78,I$2:I$651)</f>
        <v>77</v>
      </c>
      <c r="B78" s="26" t="s">
        <v>161</v>
      </c>
      <c r="C78" s="27" t="s">
        <v>94</v>
      </c>
      <c r="D78" s="27" t="s">
        <v>69</v>
      </c>
      <c r="E78" s="42" t="s">
        <v>34</v>
      </c>
      <c r="F78" s="43">
        <f ca="1">VLOOKUP(B78,RP!A1:I91,IF(Settings!$J$13="points",4,7),FALSE)</f>
        <v>10</v>
      </c>
      <c r="G78" s="30">
        <f>(AC78*Settings!$F$2)+(AF78*Settings!$F$5)+(AG78*Settings!$F$6)+(AH78*Settings!$F$7)+(AI78*Settings!$F$8)+(AJ78*Settings!$F$9)+(AK78*Settings!$F$10)+(AL78*Settings!$F$11)+(AM78*Settings!$F$12)+(AN78*Settings!$F$13)+(AO78*Settings!$F$14)+(AP78*Settings!$F$15)+(AQ78*Settings!$F$16)+(AR78*Settings!$F$17)</f>
        <v>377.06916666666666</v>
      </c>
      <c r="H78" s="31">
        <f>VLOOKUP(B78,'Standard Deviations'!$A1:$D651,4,FALSE)</f>
        <v>4.2338826270262455</v>
      </c>
      <c r="I78" s="32">
        <f ca="1">IF(Settings!$J$16="no",VLOOKUP(B78,RP!A1:I91,IF(Settings!$J$13="points",6,9),FALSE),VLOOKUP(B78,'SP+RP'!$A1:$I251,IF(Settings!$J$13="points",6,9),FALSE))</f>
        <v>5.1014675452544118</v>
      </c>
      <c r="J78" s="31"/>
      <c r="K78" s="31">
        <f ca="1">J78-A78</f>
        <v>-77</v>
      </c>
      <c r="L78" s="31"/>
      <c r="M78" s="31"/>
      <c r="N78" s="31"/>
      <c r="O78" s="31"/>
      <c r="P78" s="31"/>
      <c r="Q78" s="31"/>
      <c r="R78" s="152"/>
      <c r="S78" s="152"/>
      <c r="T78" s="154"/>
      <c r="U78" s="154"/>
      <c r="V78" s="154"/>
      <c r="W78" s="154"/>
      <c r="X78" s="154"/>
      <c r="Y78" s="152"/>
      <c r="Z78" s="152"/>
      <c r="AA78" s="31"/>
      <c r="AB78" s="31"/>
      <c r="AC78" s="31">
        <f>VLOOKUP($B78,Pitchers!$A1:$S251,4,FALSE)</f>
        <v>64.44</v>
      </c>
      <c r="AD78" s="33">
        <f>VLOOKUP($B78,Pitchers!$A1:$S251,5,FALSE)</f>
        <v>3.3154096834264433</v>
      </c>
      <c r="AE78" s="33">
        <f>VLOOKUP($B78,Pitchers!$A1:$S251,6,FALSE)</f>
        <v>1.1381647010138631</v>
      </c>
      <c r="AF78" s="31">
        <f>VLOOKUP($B78,Pitchers!$A1:$S251,7,FALSE)</f>
        <v>74.888333333333335</v>
      </c>
      <c r="AG78" s="31">
        <f>VLOOKUP($B78,Pitchers!$A1:$S251,8,FALSE)</f>
        <v>4.0266666666666664</v>
      </c>
      <c r="AH78" s="31">
        <f>VLOOKUP($B78,Pitchers!$A1:$S251,9,FALSE)</f>
        <v>32.883333333333333</v>
      </c>
      <c r="AI78" s="31">
        <f>VLOOKUP($B78,Pitchers!$A1:$S251,10,FALSE)</f>
        <v>23.738333333333333</v>
      </c>
      <c r="AJ78" s="31">
        <f>VLOOKUP($B78,Pitchers!$A1:$S251,11,FALSE)</f>
        <v>51.140000000000008</v>
      </c>
      <c r="AK78" s="31">
        <f>VLOOKUP($B78,Pitchers!$A1:$S251,12,FALSE)</f>
        <v>22.203333333333333</v>
      </c>
      <c r="AL78" s="31">
        <f>VLOOKUP($B78,Pitchers!$A1:$S251,13,FALSE)</f>
        <v>7.0333333333333341</v>
      </c>
      <c r="AM78" s="31">
        <f>VLOOKUP($B78,Pitchers!$A1:$S251,14,FALSE)</f>
        <v>63.063333333333333</v>
      </c>
      <c r="AN78" s="31">
        <f>VLOOKUP($B78,Pitchers!$A1:$S251,15,FALSE)</f>
        <v>0</v>
      </c>
      <c r="AO78" s="31">
        <f>VLOOKUP($B78,Pitchers!$A1:$S251,16,FALSE)</f>
        <v>2.9966666666666666</v>
      </c>
      <c r="AP78" s="31">
        <f>VLOOKUP($B78,Pitchers!$A1:$S251,17,FALSE)</f>
        <v>0</v>
      </c>
      <c r="AQ78" s="31">
        <f>VLOOKUP($B78,Pitchers!$A1:$S251,18,FALSE)</f>
        <v>2.5</v>
      </c>
      <c r="AR78" s="31">
        <f>VLOOKUP($B78,Pitchers!$A1:$S251,19,FALSE)</f>
        <v>6</v>
      </c>
    </row>
    <row r="79" spans="1:44" ht="18.600000000000001" customHeight="1">
      <c r="A79" s="25">
        <f ca="1">RANK(I79,I$2:I$651)</f>
        <v>78</v>
      </c>
      <c r="B79" s="26" t="s">
        <v>119</v>
      </c>
      <c r="C79" s="27" t="s">
        <v>120</v>
      </c>
      <c r="D79" s="27" t="s">
        <v>74</v>
      </c>
      <c r="E79" s="28" t="s">
        <v>23</v>
      </c>
      <c r="F79" s="29">
        <f ca="1">VLOOKUP(B79,OF!A1:I139,IF(Settings!$J$13="points",4,7),FALSE)</f>
        <v>20</v>
      </c>
      <c r="G79" s="30">
        <f>(M79*Settings!$B$2)+(N79*Settings!$B$3)+(O79*Settings!$B$4)+(P79*Settings!$B$5)+(Q79*Settings!$B$6)+((T79-U79-V79-O79)*Settings!$B$9)+(U79*Settings!$B$10)+(V79*Settings!$B$11)+(W79*Settings!$B$12)+(X79*Settings!$B$13)+(AA79*Settings!$B$16)</f>
        <v>373.07111111111112</v>
      </c>
      <c r="H79" s="31">
        <f>VLOOKUP(B79,'Standard Deviations'!$A1:$D651,4,FALSE)</f>
        <v>4.9312451115789431</v>
      </c>
      <c r="I79" s="32">
        <f ca="1">VLOOKUP(B79,OF!A1:I139,IF(Settings!$J$13="points",6,9),FALSE)</f>
        <v>5.0881797875019306</v>
      </c>
      <c r="J79" s="31"/>
      <c r="K79" s="31">
        <f ca="1">J79-A79</f>
        <v>-78</v>
      </c>
      <c r="L79" s="31"/>
      <c r="M79" s="31">
        <f>VLOOKUP($B79,Hitters!$A1:$R401,4,FALSE)</f>
        <v>506.77777777777777</v>
      </c>
      <c r="N79" s="31">
        <f>VLOOKUP($B79,Hitters!$A1:$R401,5,FALSE)</f>
        <v>70.595555555555549</v>
      </c>
      <c r="O79" s="31">
        <f>VLOOKUP($B79,Hitters!$A1:$R401,6,FALSE)</f>
        <v>11.888333333333334</v>
      </c>
      <c r="P79" s="31">
        <f>VLOOKUP($B79,Hitters!$A1:$R401,7,FALSE)</f>
        <v>60.103333333333332</v>
      </c>
      <c r="Q79" s="31">
        <f>VLOOKUP($B79,Hitters!$A1:$R401,8,FALSE)</f>
        <v>29.540000000000003</v>
      </c>
      <c r="R79" s="152">
        <f>VLOOKUP($B79,Hitters!$A$1:$R$401,14,FALSE)</f>
        <v>0.25904626178469636</v>
      </c>
      <c r="S79" s="152">
        <f>VLOOKUP($B79,Hitters!$A$1:$R$401,15,FALSE)</f>
        <v>0.32486507358340638</v>
      </c>
      <c r="T79" s="154">
        <f>VLOOKUP($B79,Hitters!$A$1:$R$401,9,FALSE)</f>
        <v>131.2788888888889</v>
      </c>
      <c r="U79" s="154">
        <f>VLOOKUP($B79,Hitters!$A$1:$R$401,10,FALSE)</f>
        <v>25.47666666666667</v>
      </c>
      <c r="V79" s="154">
        <f>VLOOKUP($B79,Hitters!$A$1:$R$401,11,FALSE)</f>
        <v>5.97</v>
      </c>
      <c r="W79" s="154">
        <f>VLOOKUP($B79,Hitters!$A$1:$R$401,12,FALSE)</f>
        <v>41.61333333333333</v>
      </c>
      <c r="X79" s="154">
        <f>VLOOKUP($B79,Hitters!$A$1:$R$401,13,FALSE)</f>
        <v>125.36333333333334</v>
      </c>
      <c r="Y79" s="152">
        <f>VLOOKUP($B79,Hitters!$A$1:$R$401,16,FALSE)</f>
        <v>0.40325476869107657</v>
      </c>
      <c r="Z79" s="152">
        <f>VLOOKUP($B79,Hitters!$A$1:$R$401,17,FALSE)</f>
        <v>0.72811984227448301</v>
      </c>
      <c r="AA79" s="31">
        <f>VLOOKUP($B79,Hitters!$A1:$R401,18,FALSE)</f>
        <v>0</v>
      </c>
      <c r="AB79" s="31"/>
      <c r="AC79" s="31"/>
      <c r="AD79" s="33"/>
      <c r="AE79" s="33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ht="18.600000000000001" customHeight="1">
      <c r="A80" s="25">
        <f ca="1">RANK(I80,I$2:I$651)</f>
        <v>79</v>
      </c>
      <c r="B80" s="26" t="s">
        <v>206</v>
      </c>
      <c r="C80" s="27" t="s">
        <v>137</v>
      </c>
      <c r="D80" s="27" t="s">
        <v>74</v>
      </c>
      <c r="E80" s="38" t="s">
        <v>27</v>
      </c>
      <c r="F80" s="39">
        <f ca="1">VLOOKUP(B80,SS!A1:I45,IF(Settings!$J$13="points",4,7),FALSE)</f>
        <v>9</v>
      </c>
      <c r="G80" s="30">
        <f>(M80*Settings!$B$2)+(N80*Settings!$B$3)+(O80*Settings!$B$4)+(P80*Settings!$B$5)+(Q80*Settings!$B$6)+((T80-U80-V80-O80)*Settings!$B$9)+(U80*Settings!$B$10)+(V80*Settings!$B$11)+(W80*Settings!$B$12)+(X80*Settings!$B$13)+(AA80*Settings!$B$16)</f>
        <v>384.78499999999997</v>
      </c>
      <c r="H80" s="31">
        <f>VLOOKUP(B80,'Standard Deviations'!$A1:$D651,4,FALSE)</f>
        <v>5.0758146228852361</v>
      </c>
      <c r="I80" s="32">
        <f ca="1">IF(Settings!$J$16="no",VLOOKUP(B80,SS!A1:I45,IF(Settings!$J$13="points",6,9),FALSE),VLOOKUP(B80,'2B+SS'!$A1:$I94,IF(Settings!$J$13="points",6,9),FALSE))</f>
        <v>5.0697685294161277</v>
      </c>
      <c r="J80" s="31"/>
      <c r="K80" s="31">
        <f ca="1">J80-A80</f>
        <v>-79</v>
      </c>
      <c r="L80" s="31"/>
      <c r="M80" s="31">
        <f>VLOOKUP($B80,Hitters!$A1:$R401,4,FALSE)</f>
        <v>516.4666666666667</v>
      </c>
      <c r="N80" s="31">
        <f>VLOOKUP($B80,Hitters!$A1:$R401,5,FALSE)</f>
        <v>78.776666666666657</v>
      </c>
      <c r="O80" s="31">
        <f>VLOOKUP($B80,Hitters!$A1:$R401,6,FALSE)</f>
        <v>22.945833333333336</v>
      </c>
      <c r="P80" s="31">
        <f>VLOOKUP($B80,Hitters!$A1:$R401,7,FALSE)</f>
        <v>69.606666666666669</v>
      </c>
      <c r="Q80" s="31">
        <f>VLOOKUP($B80,Hitters!$A1:$R401,8,FALSE)</f>
        <v>19.243333333333336</v>
      </c>
      <c r="R80" s="152">
        <f>VLOOKUP($B80,Hitters!$A$1:$R$401,14,FALSE)</f>
        <v>0.2478798244481735</v>
      </c>
      <c r="S80" s="152">
        <f>VLOOKUP($B80,Hitters!$A$1:$R$401,15,FALSE)</f>
        <v>0.32026735371582976</v>
      </c>
      <c r="T80" s="154">
        <f>VLOOKUP($B80,Hitters!$A$1:$R$401,9,FALSE)</f>
        <v>128.02166666666668</v>
      </c>
      <c r="U80" s="154">
        <f>VLOOKUP($B80,Hitters!$A$1:$R$401,10,FALSE)</f>
        <v>24.541666666666668</v>
      </c>
      <c r="V80" s="154">
        <f>VLOOKUP($B80,Hitters!$A$1:$R$401,11,FALSE)</f>
        <v>5.0125000000000002</v>
      </c>
      <c r="W80" s="154">
        <f>VLOOKUP($B80,Hitters!$A$1:$R$401,12,FALSE)</f>
        <v>46.955833333333338</v>
      </c>
      <c r="X80" s="154">
        <f>VLOOKUP($B80,Hitters!$A$1:$R$401,13,FALSE)</f>
        <v>160.93333333333334</v>
      </c>
      <c r="Y80" s="152">
        <f>VLOOKUP($B80,Hitters!$A$1:$R$401,16,FALSE)</f>
        <v>0.44809442364786367</v>
      </c>
      <c r="Z80" s="152">
        <f>VLOOKUP($B80,Hitters!$A$1:$R$401,17,FALSE)</f>
        <v>0.76836177736369349</v>
      </c>
      <c r="AA80" s="31">
        <f>VLOOKUP($B80,Hitters!$A1:$R401,18,FALSE)</f>
        <v>0</v>
      </c>
      <c r="AB80" s="31"/>
      <c r="AC80" s="31"/>
      <c r="AD80" s="33"/>
      <c r="AE80" s="33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</row>
    <row r="81" spans="1:44" ht="18.600000000000001" customHeight="1">
      <c r="A81" s="25">
        <f ca="1">RANK(I81,I$2:I$651)</f>
        <v>80</v>
      </c>
      <c r="B81" s="26" t="s">
        <v>272</v>
      </c>
      <c r="C81" s="27" t="s">
        <v>101</v>
      </c>
      <c r="D81" s="27" t="s">
        <v>69</v>
      </c>
      <c r="E81" s="38" t="s">
        <v>27</v>
      </c>
      <c r="F81" s="39">
        <f ca="1">VLOOKUP(B81,SS!A1:I45,IF(Settings!$J$13="points",4,7),FALSE)</f>
        <v>10</v>
      </c>
      <c r="G81" s="30">
        <f>(M81*Settings!$B$2)+(N81*Settings!$B$3)+(O81*Settings!$B$4)+(P81*Settings!$B$5)+(Q81*Settings!$B$6)+((T81-U81-V81-O81)*Settings!$B$9)+(U81*Settings!$B$10)+(V81*Settings!$B$11)+(W81*Settings!$B$12)+(X81*Settings!$B$13)+(AA81*Settings!$B$16)</f>
        <v>436.91611111111115</v>
      </c>
      <c r="H81" s="31">
        <f>VLOOKUP(B81,'Standard Deviations'!$A1:$D651,4,FALSE)</f>
        <v>5.074437781971282</v>
      </c>
      <c r="I81" s="32">
        <f ca="1">IF(Settings!$J$16="no",VLOOKUP(B81,SS!A1:I45,IF(Settings!$J$13="points",6,9),FALSE),VLOOKUP(B81,'2B+SS'!$A1:$I94,IF(Settings!$J$13="points",6,9),FALSE))</f>
        <v>5.0683973415833767</v>
      </c>
      <c r="J81" s="31"/>
      <c r="K81" s="31">
        <f ca="1">J81-A81</f>
        <v>-80</v>
      </c>
      <c r="L81" s="31"/>
      <c r="M81" s="31">
        <f>VLOOKUP($B81,Hitters!$A1:$R401,4,FALSE)</f>
        <v>551.74444444444441</v>
      </c>
      <c r="N81" s="31">
        <f>VLOOKUP($B81,Hitters!$A1:$R401,5,FALSE)</f>
        <v>80.595555555555549</v>
      </c>
      <c r="O81" s="31">
        <f>VLOOKUP($B81,Hitters!$A1:$R401,6,FALSE)</f>
        <v>13.733333333333334</v>
      </c>
      <c r="P81" s="31">
        <f>VLOOKUP($B81,Hitters!$A1:$R401,7,FALSE)</f>
        <v>70.465555555555554</v>
      </c>
      <c r="Q81" s="31">
        <f>VLOOKUP($B81,Hitters!$A1:$R401,8,FALSE)</f>
        <v>13.399999999999999</v>
      </c>
      <c r="R81" s="152">
        <f>VLOOKUP($B81,Hitters!$A$1:$R$401,14,FALSE)</f>
        <v>0.28359747870390883</v>
      </c>
      <c r="S81" s="152">
        <f>VLOOKUP($B81,Hitters!$A$1:$R$401,15,FALSE)</f>
        <v>0.34930962480647693</v>
      </c>
      <c r="T81" s="154">
        <f>VLOOKUP($B81,Hitters!$A$1:$R$401,9,FALSE)</f>
        <v>156.47333333333333</v>
      </c>
      <c r="U81" s="154">
        <f>VLOOKUP($B81,Hitters!$A$1:$R$401,10,FALSE)</f>
        <v>33.869999999999997</v>
      </c>
      <c r="V81" s="154">
        <f>VLOOKUP($B81,Hitters!$A$1:$R$401,11,FALSE)</f>
        <v>5.9222222222222216</v>
      </c>
      <c r="W81" s="154">
        <f>VLOOKUP($B81,Hitters!$A$1:$R$401,12,FALSE)</f>
        <v>47.85</v>
      </c>
      <c r="X81" s="154">
        <f>VLOOKUP($B81,Hitters!$A$1:$R$401,13,FALSE)</f>
        <v>64.365555555555559</v>
      </c>
      <c r="Y81" s="152">
        <f>VLOOKUP($B81,Hitters!$A$1:$R$401,16,FALSE)</f>
        <v>0.44112411140423308</v>
      </c>
      <c r="Z81" s="152">
        <f>VLOOKUP($B81,Hitters!$A$1:$R$401,17,FALSE)</f>
        <v>0.79043373621071</v>
      </c>
      <c r="AA81" s="31">
        <f>VLOOKUP($B81,Hitters!$A1:$R401,18,FALSE)</f>
        <v>0</v>
      </c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</row>
    <row r="82" spans="1:44" ht="20.100000000000001" customHeight="1">
      <c r="A82" s="25">
        <f ca="1">RANK(I82,I$2:I$651)</f>
        <v>81</v>
      </c>
      <c r="B82" s="26" t="s">
        <v>155</v>
      </c>
      <c r="C82" s="27" t="s">
        <v>156</v>
      </c>
      <c r="D82" s="27" t="s">
        <v>69</v>
      </c>
      <c r="E82" s="28" t="s">
        <v>23</v>
      </c>
      <c r="F82" s="29">
        <f ca="1">VLOOKUP(B82,OF!A1:I139,IF(Settings!$J$13="points",4,7),FALSE)</f>
        <v>21</v>
      </c>
      <c r="G82" s="30">
        <f>(M82*Settings!$B$2)+(N82*Settings!$B$3)+(O82*Settings!$B$4)+(P82*Settings!$B$5)+(Q82*Settings!$B$6)+((T82-U82-V82-O82)*Settings!$B$9)+(U82*Settings!$B$10)+(V82*Settings!$B$11)+(W82*Settings!$B$12)+(X82*Settings!$B$13)+(AA82*Settings!$B$16)</f>
        <v>378.49733333333324</v>
      </c>
      <c r="H82" s="31">
        <f>VLOOKUP(B82,'Standard Deviations'!$A1:$D651,4,FALSE)</f>
        <v>4.8279778401401439</v>
      </c>
      <c r="I82" s="32">
        <f ca="1">VLOOKUP(B82,OF!A1:I139,IF(Settings!$J$13="points",6,9),FALSE)</f>
        <v>4.9849063751178795</v>
      </c>
      <c r="J82" s="31"/>
      <c r="K82" s="31">
        <f ca="1">J82-A82</f>
        <v>-81</v>
      </c>
      <c r="L82" s="31"/>
      <c r="M82" s="31">
        <f>VLOOKUP($B82,Hitters!$A1:$R401,4,FALSE)</f>
        <v>475.73666666666662</v>
      </c>
      <c r="N82" s="31">
        <f>VLOOKUP($B82,Hitters!$A1:$R401,5,FALSE)</f>
        <v>79.63133333333333</v>
      </c>
      <c r="O82" s="31">
        <f>VLOOKUP($B82,Hitters!$A1:$R401,6,FALSE)</f>
        <v>30.47</v>
      </c>
      <c r="P82" s="31">
        <f>VLOOKUP($B82,Hitters!$A1:$R401,7,FALSE)</f>
        <v>72.073333333333338</v>
      </c>
      <c r="Q82" s="31">
        <f>VLOOKUP($B82,Hitters!$A1:$R401,8,FALSE)</f>
        <v>11.058</v>
      </c>
      <c r="R82" s="152">
        <f>VLOOKUP($B82,Hitters!$A$1:$R$401,14,FALSE)</f>
        <v>0.2444994079357628</v>
      </c>
      <c r="S82" s="152">
        <f>VLOOKUP($B82,Hitters!$A$1:$R$401,15,FALSE)</f>
        <v>0.31221817927151635</v>
      </c>
      <c r="T82" s="154">
        <f>VLOOKUP($B82,Hitters!$A$1:$R$401,9,FALSE)</f>
        <v>116.31733333333334</v>
      </c>
      <c r="U82" s="154">
        <f>VLOOKUP($B82,Hitters!$A$1:$R$401,10,FALSE)</f>
        <v>26.597333333333335</v>
      </c>
      <c r="V82" s="154">
        <f>VLOOKUP($B82,Hitters!$A$1:$R$401,11,FALSE)</f>
        <v>3.028</v>
      </c>
      <c r="W82" s="154">
        <f>VLOOKUP($B82,Hitters!$A$1:$R$401,12,FALSE)</f>
        <v>39.266666666666673</v>
      </c>
      <c r="X82" s="154">
        <f>VLOOKUP($B82,Hitters!$A$1:$R$401,13,FALSE)</f>
        <v>149.94133333333335</v>
      </c>
      <c r="Y82" s="152">
        <f>VLOOKUP($B82,Hitters!$A$1:$R$401,16,FALSE)</f>
        <v>0.50528093272889063</v>
      </c>
      <c r="Z82" s="152">
        <f>VLOOKUP($B82,Hitters!$A$1:$R$401,17,FALSE)</f>
        <v>0.81749911200040692</v>
      </c>
      <c r="AA82" s="31">
        <f>VLOOKUP($B82,Hitters!$A1:$R401,18,FALSE)</f>
        <v>0</v>
      </c>
      <c r="AB82" s="31"/>
      <c r="AC82" s="31"/>
      <c r="AD82" s="33"/>
      <c r="AE82" s="33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</row>
    <row r="83" spans="1:44" ht="18.600000000000001" customHeight="1">
      <c r="A83" s="25">
        <f ca="1">RANK(I83,I$2:I$651)</f>
        <v>82</v>
      </c>
      <c r="B83" s="26" t="s">
        <v>226</v>
      </c>
      <c r="C83" s="27" t="s">
        <v>63</v>
      </c>
      <c r="D83" s="27" t="s">
        <v>74</v>
      </c>
      <c r="E83" s="38" t="s">
        <v>27</v>
      </c>
      <c r="F83" s="39">
        <f ca="1">VLOOKUP(B83,SS!A1:I45,IF(Settings!$J$13="points",4,7),FALSE)</f>
        <v>11</v>
      </c>
      <c r="G83" s="30">
        <f>(M83*Settings!$B$2)+(N83*Settings!$B$3)+(O83*Settings!$B$4)+(P83*Settings!$B$5)+(Q83*Settings!$B$6)+((T83-U83-V83-O83)*Settings!$B$9)+(U83*Settings!$B$10)+(V83*Settings!$B$11)+(W83*Settings!$B$12)+(X83*Settings!$B$13)+(AA83*Settings!$B$16)</f>
        <v>424.21166666666664</v>
      </c>
      <c r="H83" s="31">
        <f>VLOOKUP(B83,'Standard Deviations'!$A1:$D651,4,FALSE)</f>
        <v>4.9307025421826864</v>
      </c>
      <c r="I83" s="32">
        <f ca="1">IF(Settings!$J$16="no",VLOOKUP(B83,SS!A1:I45,IF(Settings!$J$13="points",6,9),FALSE),VLOOKUP(B83,'2B+SS'!$A1:$I94,IF(Settings!$J$13="points",6,9),FALSE))</f>
        <v>4.9246615119638895</v>
      </c>
      <c r="J83" s="31"/>
      <c r="K83" s="31">
        <f ca="1">J83-A83</f>
        <v>-82</v>
      </c>
      <c r="L83" s="31"/>
      <c r="M83" s="31">
        <f>VLOOKUP($B83,Hitters!$A1:$R401,4,FALSE)</f>
        <v>563.41111111111115</v>
      </c>
      <c r="N83" s="31">
        <f>VLOOKUP($B83,Hitters!$A1:$R401,5,FALSE)</f>
        <v>83.698888888888888</v>
      </c>
      <c r="O83" s="31">
        <f>VLOOKUP($B83,Hitters!$A1:$R401,6,FALSE)</f>
        <v>18.989999999999998</v>
      </c>
      <c r="P83" s="31">
        <f>VLOOKUP($B83,Hitters!$A1:$R401,7,FALSE)</f>
        <v>78.195000000000007</v>
      </c>
      <c r="Q83" s="31">
        <f>VLOOKUP($B83,Hitters!$A1:$R401,8,FALSE)</f>
        <v>7.7411111111111106</v>
      </c>
      <c r="R83" s="152">
        <f>VLOOKUP($B83,Hitters!$A$1:$R$401,14,FALSE)</f>
        <v>0.27417319107815485</v>
      </c>
      <c r="S83" s="152">
        <f>VLOOKUP($B83,Hitters!$A$1:$R$401,15,FALSE)</f>
        <v>0.3535685725256934</v>
      </c>
      <c r="T83" s="154">
        <f>VLOOKUP($B83,Hitters!$A$1:$R$401,9,FALSE)</f>
        <v>154.4722222222222</v>
      </c>
      <c r="U83" s="154">
        <f>VLOOKUP($B83,Hitters!$A$1:$R$401,10,FALSE)</f>
        <v>31.961111111111112</v>
      </c>
      <c r="V83" s="154">
        <f>VLOOKUP($B83,Hitters!$A$1:$R$401,11,FALSE)</f>
        <v>0.98444444444444434</v>
      </c>
      <c r="W83" s="154">
        <f>VLOOKUP($B83,Hitters!$A$1:$R$401,12,FALSE)</f>
        <v>61.276666666666671</v>
      </c>
      <c r="X83" s="154">
        <f>VLOOKUP($B83,Hitters!$A$1:$R$401,13,FALSE)</f>
        <v>119.62666666666667</v>
      </c>
      <c r="Y83" s="152">
        <f>VLOOKUP($B83,Hitters!$A$1:$R$401,16,FALSE)</f>
        <v>0.43551186226753696</v>
      </c>
      <c r="Z83" s="152">
        <f>VLOOKUP($B83,Hitters!$A$1:$R$401,17,FALSE)</f>
        <v>0.78908043479323031</v>
      </c>
      <c r="AA83" s="31">
        <f>VLOOKUP($B83,Hitters!$A1:$R401,18,FALSE)</f>
        <v>0</v>
      </c>
      <c r="AB83" s="31"/>
      <c r="AC83" s="31"/>
      <c r="AD83" s="33"/>
      <c r="AE83" s="33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</row>
    <row r="84" spans="1:44" ht="20.100000000000001" customHeight="1">
      <c r="A84" s="25">
        <f ca="1">RANK(I84,I$2:I$651)</f>
        <v>83</v>
      </c>
      <c r="B84" s="26" t="s">
        <v>243</v>
      </c>
      <c r="C84" s="27" t="s">
        <v>97</v>
      </c>
      <c r="D84" s="27" t="s">
        <v>74</v>
      </c>
      <c r="E84" s="38" t="s">
        <v>27</v>
      </c>
      <c r="F84" s="39">
        <f ca="1">VLOOKUP(B84,SS!A1:I45,IF(Settings!$J$13="points",4,7),FALSE)</f>
        <v>12</v>
      </c>
      <c r="G84" s="30">
        <f>(M84*Settings!$B$2)+(N84*Settings!$B$3)+(O84*Settings!$B$4)+(P84*Settings!$B$5)+(Q84*Settings!$B$6)+((T84-U84-V84-O84)*Settings!$B$9)+(U84*Settings!$B$10)+(V84*Settings!$B$11)+(W84*Settings!$B$12)+(X84*Settings!$B$13)+(AA84*Settings!$B$16)</f>
        <v>409.875</v>
      </c>
      <c r="H84" s="31">
        <f>VLOOKUP(B84,'Standard Deviations'!$A1:$D651,4,FALSE)</f>
        <v>4.9253203962324612</v>
      </c>
      <c r="I84" s="32">
        <f ca="1">IF(Settings!$J$16="no",VLOOKUP(B84,SS!A1:I45,IF(Settings!$J$13="points",6,9),FALSE),VLOOKUP(B84,'2B+SS'!$A1:$I94,IF(Settings!$J$13="points",6,9),FALSE))</f>
        <v>4.9192815227934918</v>
      </c>
      <c r="J84" s="31"/>
      <c r="K84" s="31">
        <f ca="1">J84-A84</f>
        <v>-83</v>
      </c>
      <c r="L84" s="31"/>
      <c r="M84" s="31">
        <f>VLOOKUP($B84,Hitters!$A1:$R401,4,FALSE)</f>
        <v>562.94999999999993</v>
      </c>
      <c r="N84" s="31">
        <f>VLOOKUP($B84,Hitters!$A1:$R401,5,FALSE)</f>
        <v>83.570000000000007</v>
      </c>
      <c r="O84" s="31">
        <f>VLOOKUP($B84,Hitters!$A1:$R401,6,FALSE)</f>
        <v>27.972222222222225</v>
      </c>
      <c r="P84" s="31">
        <f>VLOOKUP($B84,Hitters!$A1:$R401,7,FALSE)</f>
        <v>82.878888888888881</v>
      </c>
      <c r="Q84" s="31">
        <f>VLOOKUP($B84,Hitters!$A1:$R401,8,FALSE)</f>
        <v>8.4877777777777776</v>
      </c>
      <c r="R84" s="152">
        <f>VLOOKUP($B84,Hitters!$A$1:$R$401,14,FALSE)</f>
        <v>0.24645567496619994</v>
      </c>
      <c r="S84" s="152">
        <f>VLOOKUP($B84,Hitters!$A$1:$R$401,15,FALSE)</f>
        <v>0.32439447391986559</v>
      </c>
      <c r="T84" s="154">
        <f>VLOOKUP($B84,Hitters!$A$1:$R$401,9,FALSE)</f>
        <v>138.74222222222224</v>
      </c>
      <c r="U84" s="154">
        <f>VLOOKUP($B84,Hitters!$A$1:$R$401,10,FALSE)</f>
        <v>29.404444444444447</v>
      </c>
      <c r="V84" s="154">
        <f>VLOOKUP($B84,Hitters!$A$1:$R$401,11,FALSE)</f>
        <v>0.99777777777777776</v>
      </c>
      <c r="W84" s="154">
        <f>VLOOKUP($B84,Hitters!$A$1:$R$401,12,FALSE)</f>
        <v>56.274999999999999</v>
      </c>
      <c r="X84" s="154">
        <f>VLOOKUP($B84,Hitters!$A$1:$R$401,13,FALSE)</f>
        <v>167.76666666666668</v>
      </c>
      <c r="Y84" s="152">
        <f>VLOOKUP($B84,Hitters!$A$1:$R$401,16,FALSE)</f>
        <v>0.45129920754754232</v>
      </c>
      <c r="Z84" s="152">
        <f>VLOOKUP($B84,Hitters!$A$1:$R$401,17,FALSE)</f>
        <v>0.77569368146740791</v>
      </c>
      <c r="AA84" s="31">
        <f>VLOOKUP($B84,Hitters!$A1:$R401,18,FALSE)</f>
        <v>0</v>
      </c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</row>
    <row r="85" spans="1:44" ht="18.600000000000001" customHeight="1">
      <c r="A85" s="25">
        <f ca="1">RANK(I85,I$2:I$651)</f>
        <v>84</v>
      </c>
      <c r="B85" s="26" t="s">
        <v>163</v>
      </c>
      <c r="C85" s="27" t="s">
        <v>78</v>
      </c>
      <c r="D85" s="27" t="s">
        <v>69</v>
      </c>
      <c r="E85" s="36" t="s">
        <v>31</v>
      </c>
      <c r="F85" s="37">
        <f ca="1">VLOOKUP(B85,SP!A1:I161,IF(Settings!$J$13="points",4,7),FALSE)</f>
        <v>23</v>
      </c>
      <c r="G85" s="30">
        <f>(AC85*Settings!$F$2)+(AF85*Settings!$F$5)+(AG85*Settings!$F$6)+(AH85*Settings!$F$7)+(AI85*Settings!$F$8)+(AJ85*Settings!$F$9)+(AK85*Settings!$F$10)+(AL85*Settings!$F$11)+(AM85*Settings!$F$12)+(AN85*Settings!$F$13)+(AO85*Settings!$F$14)+(AP85*Settings!$F$15)+(AQ85*Settings!$F$16)+(AR85*Settings!$F$17)</f>
        <v>485.19417777777778</v>
      </c>
      <c r="H85" s="31">
        <f>VLOOKUP(B85,'Standard Deviations'!$A1:$D651,4,FALSE)</f>
        <v>4.0234105258828272</v>
      </c>
      <c r="I85" s="32">
        <f ca="1">IF(Settings!$J$16="no",VLOOKUP(B85,SP!A1:I161,IF(Settings!$J$13="points",6,9),FALSE),VLOOKUP(B85,'SP+RP'!$A1:$I251,IF(Settings!$J$13="points",6,9),FALSE))</f>
        <v>4.8909871261135445</v>
      </c>
      <c r="J85" s="31"/>
      <c r="K85" s="31">
        <f ca="1">J85-A85</f>
        <v>-84</v>
      </c>
      <c r="L85" s="31"/>
      <c r="M85" s="31"/>
      <c r="N85" s="31"/>
      <c r="O85" s="31"/>
      <c r="P85" s="31"/>
      <c r="Q85" s="31"/>
      <c r="R85" s="152"/>
      <c r="S85" s="152"/>
      <c r="T85" s="154"/>
      <c r="U85" s="154"/>
      <c r="V85" s="154"/>
      <c r="W85" s="154"/>
      <c r="X85" s="154"/>
      <c r="Y85" s="152"/>
      <c r="Z85" s="152"/>
      <c r="AA85" s="31"/>
      <c r="AB85" s="31"/>
      <c r="AC85" s="31">
        <f>VLOOKUP($B85,Pitchers!$A1:$S251,4,FALSE)</f>
        <v>192.40333333333334</v>
      </c>
      <c r="AD85" s="33">
        <f>VLOOKUP($B85,Pitchers!$A1:$S251,5,FALSE)</f>
        <v>3.2845709533791863</v>
      </c>
      <c r="AE85" s="33">
        <f>VLOOKUP($B85,Pitchers!$A1:$S251,6,FALSE)</f>
        <v>1.2386191045431183</v>
      </c>
      <c r="AF85" s="31">
        <f>VLOOKUP($B85,Pitchers!$A1:$S251,7,FALSE)</f>
        <v>181.10333333333332</v>
      </c>
      <c r="AG85" s="31">
        <f>VLOOKUP($B85,Pitchers!$A1:$S251,8,FALSE)</f>
        <v>14.161666666666669</v>
      </c>
      <c r="AH85" s="31">
        <f>VLOOKUP($B85,Pitchers!$A1:$S251,9,FALSE)</f>
        <v>0</v>
      </c>
      <c r="AI85" s="31">
        <f>VLOOKUP($B85,Pitchers!$A1:$S251,10,FALSE)</f>
        <v>70.218044444444445</v>
      </c>
      <c r="AJ85" s="31">
        <f>VLOOKUP($B85,Pitchers!$A1:$S251,11,FALSE)</f>
        <v>170.57777777777778</v>
      </c>
      <c r="AK85" s="31">
        <f>VLOOKUP($B85,Pitchers!$A1:$S251,12,FALSE)</f>
        <v>67.736666666666665</v>
      </c>
      <c r="AL85" s="31">
        <f>VLOOKUP($B85,Pitchers!$A1:$S251,13,FALSE)</f>
        <v>14.466666666666667</v>
      </c>
      <c r="AM85" s="31">
        <f>VLOOKUP($B85,Pitchers!$A1:$S251,14,FALSE)</f>
        <v>30.480000000000004</v>
      </c>
      <c r="AN85" s="31">
        <f>VLOOKUP($B85,Pitchers!$A1:$S251,15,FALSE)</f>
        <v>30.480000000000004</v>
      </c>
      <c r="AO85" s="31">
        <f>VLOOKUP($B85,Pitchers!$A1:$S251,16,FALSE)</f>
        <v>7.9533333333333331</v>
      </c>
      <c r="AP85" s="31">
        <f>VLOOKUP($B85,Pitchers!$A1:$S251,17,FALSE)</f>
        <v>22.2</v>
      </c>
      <c r="AQ85" s="31">
        <f>VLOOKUP($B85,Pitchers!$A1:$S251,18,FALSE)</f>
        <v>0</v>
      </c>
      <c r="AR85" s="31">
        <f>VLOOKUP($B85,Pitchers!$A1:$S251,19,FALSE)</f>
        <v>0</v>
      </c>
    </row>
    <row r="86" spans="1:44" ht="18.600000000000001" customHeight="1">
      <c r="A86" s="25">
        <f ca="1">RANK(I86,I$2:I$651)</f>
        <v>85</v>
      </c>
      <c r="B86" s="26" t="s">
        <v>135</v>
      </c>
      <c r="C86" s="27" t="s">
        <v>114</v>
      </c>
      <c r="D86" s="27" t="s">
        <v>69</v>
      </c>
      <c r="E86" s="28" t="s">
        <v>23</v>
      </c>
      <c r="F86" s="29">
        <f ca="1">VLOOKUP(B86,OF!A1:I139,IF(Settings!$J$13="points",4,7),FALSE)</f>
        <v>22</v>
      </c>
      <c r="G86" s="30">
        <f>(M86*Settings!$B$2)+(N86*Settings!$B$3)+(O86*Settings!$B$4)+(P86*Settings!$B$5)+(Q86*Settings!$B$6)+((T86-U86-V86-O86)*Settings!$B$9)+(U86*Settings!$B$10)+(V86*Settings!$B$11)+(W86*Settings!$B$12)+(X86*Settings!$B$13)+(AA86*Settings!$B$16)</f>
        <v>391.27444444444438</v>
      </c>
      <c r="H86" s="31">
        <f>VLOOKUP(B86,'Standard Deviations'!$A1:$D651,4,FALSE)</f>
        <v>4.6770660467170835</v>
      </c>
      <c r="I86" s="32">
        <f ca="1">VLOOKUP(B86,OF!A1:I139,IF(Settings!$J$13="points",6,9),FALSE)</f>
        <v>4.8339997776408667</v>
      </c>
      <c r="J86" s="31"/>
      <c r="K86" s="31">
        <f ca="1">J86-A86</f>
        <v>-85</v>
      </c>
      <c r="L86" s="31"/>
      <c r="M86" s="31">
        <f>VLOOKUP($B86,Hitters!$A1:$R401,4,FALSE)</f>
        <v>524.8555555555555</v>
      </c>
      <c r="N86" s="31">
        <f>VLOOKUP($B86,Hitters!$A1:$R401,5,FALSE)</f>
        <v>72.364444444444445</v>
      </c>
      <c r="O86" s="31">
        <f>VLOOKUP($B86,Hitters!$A1:$R401,6,FALSE)</f>
        <v>27.771111111111111</v>
      </c>
      <c r="P86" s="31">
        <f>VLOOKUP($B86,Hitters!$A1:$R401,7,FALSE)</f>
        <v>87.802222222222213</v>
      </c>
      <c r="Q86" s="31">
        <f>VLOOKUP($B86,Hitters!$A1:$R401,8,FALSE)</f>
        <v>2.8333333333333332E-2</v>
      </c>
      <c r="R86" s="152">
        <f>VLOOKUP($B86,Hitters!$A$1:$R$401,14,FALSE)</f>
        <v>0.27076232614264245</v>
      </c>
      <c r="S86" s="152">
        <f>VLOOKUP($B86,Hitters!$A$1:$R$401,15,FALSE)</f>
        <v>0.33583990306253964</v>
      </c>
      <c r="T86" s="154">
        <f>VLOOKUP($B86,Hitters!$A$1:$R$401,9,FALSE)</f>
        <v>142.11111111111111</v>
      </c>
      <c r="U86" s="154">
        <f>VLOOKUP($B86,Hitters!$A$1:$R$401,10,FALSE)</f>
        <v>25.674444444444447</v>
      </c>
      <c r="V86" s="154">
        <f>VLOOKUP($B86,Hitters!$A$1:$R$401,11,FALSE)</f>
        <v>0.98555555555555552</v>
      </c>
      <c r="W86" s="154">
        <f>VLOOKUP($B86,Hitters!$A$1:$R$401,12,FALSE)</f>
        <v>43.614444444444445</v>
      </c>
      <c r="X86" s="154">
        <f>VLOOKUP($B86,Hitters!$A$1:$R$401,13,FALSE)</f>
        <v>131.26666666666668</v>
      </c>
      <c r="Y86" s="152">
        <f>VLOOKUP($B86,Hitters!$A$1:$R$401,16,FALSE)</f>
        <v>0.48217075597518905</v>
      </c>
      <c r="Z86" s="152">
        <f>VLOOKUP($B86,Hitters!$A$1:$R$401,17,FALSE)</f>
        <v>0.81801065903772874</v>
      </c>
      <c r="AA86" s="31">
        <f>VLOOKUP($B86,Hitters!$A1:$R401,18,FALSE)</f>
        <v>0</v>
      </c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</row>
    <row r="87" spans="1:44" ht="18.600000000000001" customHeight="1">
      <c r="A87" s="25">
        <f ca="1">RANK(I87,I$2:I$651)</f>
        <v>86</v>
      </c>
      <c r="B87" s="26" t="s">
        <v>393</v>
      </c>
      <c r="C87" s="27" t="s">
        <v>99</v>
      </c>
      <c r="D87" s="27" t="s">
        <v>69</v>
      </c>
      <c r="E87" s="36" t="s">
        <v>31</v>
      </c>
      <c r="F87" s="37">
        <f ca="1">VLOOKUP(B87,SP!A1:I161,IF(Settings!$J$13="points",4,7),FALSE)</f>
        <v>24</v>
      </c>
      <c r="G87" s="30">
        <f>(AC87*Settings!$F$2)+(AF87*Settings!$F$5)+(AG87*Settings!$F$6)+(AH87*Settings!$F$7)+(AI87*Settings!$F$8)+(AJ87*Settings!$F$9)+(AK87*Settings!$F$10)+(AL87*Settings!$F$11)+(AM87*Settings!$F$12)+(AN87*Settings!$F$13)+(AO87*Settings!$F$14)+(AP87*Settings!$F$15)+(AQ87*Settings!$F$16)+(AR87*Settings!$F$17)</f>
        <v>421.44388888888875</v>
      </c>
      <c r="H87" s="31">
        <f>VLOOKUP(B87,'Standard Deviations'!$A1:$D651,4,FALSE)</f>
        <v>3.9554966710038939</v>
      </c>
      <c r="I87" s="32">
        <f ca="1">IF(Settings!$J$16="no",VLOOKUP(B87,SP!A1:I161,IF(Settings!$J$13="points",6,9),FALSE),VLOOKUP(B87,'SP+RP'!$A1:$I251,IF(Settings!$J$13="points",6,9),FALSE))</f>
        <v>4.8230742846364585</v>
      </c>
      <c r="J87" s="31"/>
      <c r="K87" s="31">
        <f ca="1">J87-A87</f>
        <v>-86</v>
      </c>
      <c r="L87" s="31"/>
      <c r="M87" s="31"/>
      <c r="N87" s="31"/>
      <c r="O87" s="31"/>
      <c r="P87" s="31"/>
      <c r="Q87" s="31"/>
      <c r="R87" s="152"/>
      <c r="S87" s="152"/>
      <c r="T87" s="154"/>
      <c r="U87" s="154"/>
      <c r="V87" s="154"/>
      <c r="W87" s="154"/>
      <c r="X87" s="154"/>
      <c r="Y87" s="152"/>
      <c r="Z87" s="152"/>
      <c r="AA87" s="31"/>
      <c r="AB87" s="31"/>
      <c r="AC87" s="31">
        <f>VLOOKUP($B87,Pitchers!$A1:$S251,4,FALSE)</f>
        <v>164.48333333333332</v>
      </c>
      <c r="AD87" s="33">
        <f>VLOOKUP($B87,Pitchers!$A1:$S251,5,FALSE)</f>
        <v>3.5018745566926741</v>
      </c>
      <c r="AE87" s="33">
        <f>VLOOKUP($B87,Pitchers!$A1:$S251,6,FALSE)</f>
        <v>1.1380146586955791</v>
      </c>
      <c r="AF87" s="31">
        <f>VLOOKUP($B87,Pitchers!$A1:$S251,7,FALSE)</f>
        <v>187.78333333333333</v>
      </c>
      <c r="AG87" s="31">
        <f>VLOOKUP($B87,Pitchers!$A1:$S251,8,FALSE)</f>
        <v>11.326666666666666</v>
      </c>
      <c r="AH87" s="31">
        <f>VLOOKUP($B87,Pitchers!$A1:$S251,9,FALSE)</f>
        <v>0</v>
      </c>
      <c r="AI87" s="31">
        <f>VLOOKUP($B87,Pitchers!$A1:$S251,10,FALSE)</f>
        <v>64</v>
      </c>
      <c r="AJ87" s="31">
        <f>VLOOKUP($B87,Pitchers!$A1:$S251,11,FALSE)</f>
        <v>134.33333333333334</v>
      </c>
      <c r="AK87" s="31">
        <f>VLOOKUP($B87,Pitchers!$A1:$S251,12,FALSE)</f>
        <v>52.851111111111116</v>
      </c>
      <c r="AL87" s="31">
        <f>VLOOKUP($B87,Pitchers!$A1:$S251,13,FALSE)</f>
        <v>19.733333333333334</v>
      </c>
      <c r="AM87" s="31">
        <f>VLOOKUP($B87,Pitchers!$A1:$S251,14,FALSE)</f>
        <v>34.51</v>
      </c>
      <c r="AN87" s="31">
        <f>VLOOKUP($B87,Pitchers!$A1:$S251,15,FALSE)</f>
        <v>34.343333333333334</v>
      </c>
      <c r="AO87" s="31">
        <f>VLOOKUP($B87,Pitchers!$A1:$S251,16,FALSE)</f>
        <v>9</v>
      </c>
      <c r="AP87" s="31">
        <f>VLOOKUP($B87,Pitchers!$A1:$S251,17,FALSE)</f>
        <v>17</v>
      </c>
      <c r="AQ87" s="31">
        <f>VLOOKUP($B87,Pitchers!$A1:$S251,18,FALSE)</f>
        <v>0</v>
      </c>
      <c r="AR87" s="31">
        <f>VLOOKUP($B87,Pitchers!$A1:$S251,19,FALSE)</f>
        <v>0</v>
      </c>
    </row>
    <row r="88" spans="1:44" ht="18.600000000000001" customHeight="1">
      <c r="A88" s="25">
        <f ca="1">RANK(I88,I$2:I$651)</f>
        <v>87</v>
      </c>
      <c r="B88" s="26" t="s">
        <v>210</v>
      </c>
      <c r="C88" s="27" t="s">
        <v>71</v>
      </c>
      <c r="D88" s="27" t="s">
        <v>69</v>
      </c>
      <c r="E88" s="36" t="s">
        <v>31</v>
      </c>
      <c r="F88" s="37">
        <f ca="1">VLOOKUP(B88,SP!A1:I161,IF(Settings!$J$13="points",4,7),FALSE)</f>
        <v>25</v>
      </c>
      <c r="G88" s="30">
        <f>(AC88*Settings!$F$2)+(AF88*Settings!$F$5)+(AG88*Settings!$F$6)+(AH88*Settings!$F$7)+(AI88*Settings!$F$8)+(AJ88*Settings!$F$9)+(AK88*Settings!$F$10)+(AL88*Settings!$F$11)+(AM88*Settings!$F$12)+(AN88*Settings!$F$13)+(AO88*Settings!$F$14)+(AP88*Settings!$F$15)+(AQ88*Settings!$F$16)+(AR88*Settings!$F$17)</f>
        <v>431.8415555555556</v>
      </c>
      <c r="H88" s="31">
        <f>VLOOKUP(B88,'Standard Deviations'!$A1:$D651,4,FALSE)</f>
        <v>3.7768890036715699</v>
      </c>
      <c r="I88" s="32">
        <f ca="1">IF(Settings!$J$16="no",VLOOKUP(B88,SP!A1:I161,IF(Settings!$J$13="points",6,9),FALSE),VLOOKUP(B88,'SP+RP'!$A1:$I251,IF(Settings!$J$13="points",6,9),FALSE))</f>
        <v>4.6444735511160093</v>
      </c>
      <c r="J88" s="31"/>
      <c r="K88" s="31">
        <f ca="1">J88-A88</f>
        <v>-87</v>
      </c>
      <c r="L88" s="31"/>
      <c r="M88" s="31"/>
      <c r="N88" s="31"/>
      <c r="O88" s="31"/>
      <c r="P88" s="31"/>
      <c r="Q88" s="31"/>
      <c r="R88" s="152"/>
      <c r="S88" s="152"/>
      <c r="T88" s="154"/>
      <c r="U88" s="154"/>
      <c r="V88" s="154"/>
      <c r="W88" s="154"/>
      <c r="X88" s="154"/>
      <c r="Y88" s="152"/>
      <c r="Z88" s="152"/>
      <c r="AA88" s="31"/>
      <c r="AB88" s="31"/>
      <c r="AC88" s="31">
        <f>VLOOKUP($B88,Pitchers!$A1:$S251,4,FALSE)</f>
        <v>170.95000000000002</v>
      </c>
      <c r="AD88" s="33">
        <f>VLOOKUP($B88,Pitchers!$A1:$S251,5,FALSE)</f>
        <v>3.3694062591400993</v>
      </c>
      <c r="AE88" s="33">
        <f>VLOOKUP($B88,Pitchers!$A1:$S251,6,FALSE)</f>
        <v>1.148483962172175</v>
      </c>
      <c r="AF88" s="31">
        <f>VLOOKUP($B88,Pitchers!$A1:$S251,7,FALSE)</f>
        <v>182.66666666666666</v>
      </c>
      <c r="AG88" s="31">
        <f>VLOOKUP($B88,Pitchers!$A1:$S251,8,FALSE)</f>
        <v>10.444666666666665</v>
      </c>
      <c r="AH88" s="31">
        <f>VLOOKUP($B88,Pitchers!$A1:$S251,9,FALSE)</f>
        <v>0</v>
      </c>
      <c r="AI88" s="31">
        <f>VLOOKUP($B88,Pitchers!$A1:$S251,10,FALSE)</f>
        <v>64</v>
      </c>
      <c r="AJ88" s="31">
        <f>VLOOKUP($B88,Pitchers!$A1:$S251,11,FALSE)</f>
        <v>157.33333333333334</v>
      </c>
      <c r="AK88" s="31">
        <f>VLOOKUP($B88,Pitchers!$A1:$S251,12,FALSE)</f>
        <v>39</v>
      </c>
      <c r="AL88" s="31">
        <f>VLOOKUP($B88,Pitchers!$A1:$S251,13,FALSE)</f>
        <v>17.706666666666667</v>
      </c>
      <c r="AM88" s="31">
        <f>VLOOKUP($B88,Pitchers!$A1:$S251,14,FALSE)</f>
        <v>30.501333333333335</v>
      </c>
      <c r="AN88" s="31">
        <f>VLOOKUP($B88,Pitchers!$A1:$S251,15,FALSE)</f>
        <v>30.334666666666667</v>
      </c>
      <c r="AO88" s="31">
        <f>VLOOKUP($B88,Pitchers!$A1:$S251,16,FALSE)</f>
        <v>7.9442222222222227</v>
      </c>
      <c r="AP88" s="31">
        <f>VLOOKUP($B88,Pitchers!$A1:$S251,17,FALSE)</f>
        <v>18.2</v>
      </c>
      <c r="AQ88" s="31">
        <f>VLOOKUP($B88,Pitchers!$A1:$S251,18,FALSE)</f>
        <v>0</v>
      </c>
      <c r="AR88" s="31">
        <f>VLOOKUP($B88,Pitchers!$A1:$S251,19,FALSE)</f>
        <v>0</v>
      </c>
    </row>
    <row r="89" spans="1:44" ht="18.600000000000001" customHeight="1">
      <c r="A89" s="25">
        <f ca="1">RANK(I89,I$2:I$651)</f>
        <v>88</v>
      </c>
      <c r="B89" s="26" t="s">
        <v>246</v>
      </c>
      <c r="C89" s="27" t="s">
        <v>76</v>
      </c>
      <c r="D89" s="27" t="s">
        <v>69</v>
      </c>
      <c r="E89" s="38" t="s">
        <v>27</v>
      </c>
      <c r="F89" s="39">
        <f ca="1">VLOOKUP(B89,SS!A1:I45,IF(Settings!$J$13="points",4,7),FALSE)</f>
        <v>13</v>
      </c>
      <c r="G89" s="30">
        <f>(M89*Settings!$B$2)+(N89*Settings!$B$3)+(O89*Settings!$B$4)+(P89*Settings!$B$5)+(Q89*Settings!$B$6)+((T89-U89-V89-O89)*Settings!$B$9)+(U89*Settings!$B$10)+(V89*Settings!$B$11)+(W89*Settings!$B$12)+(X89*Settings!$B$13)+(AA89*Settings!$B$16)</f>
        <v>388.85555555555555</v>
      </c>
      <c r="H89" s="31">
        <f>VLOOKUP(B89,'Standard Deviations'!$A1:$D651,4,FALSE)</f>
        <v>4.5938655439743599</v>
      </c>
      <c r="I89" s="32">
        <f ca="1">IF(Settings!$J$16="no",VLOOKUP(B89,SS!A1:I45,IF(Settings!$J$13="points",6,9),FALSE),VLOOKUP(B89,'2B+SS'!$A1:$I94,IF(Settings!$J$13="points",6,9),FALSE))</f>
        <v>4.5878281387868132</v>
      </c>
      <c r="J89" s="31"/>
      <c r="K89" s="31">
        <f ca="1">J89-A89</f>
        <v>-88</v>
      </c>
      <c r="L89" s="31"/>
      <c r="M89" s="31">
        <f>VLOOKUP($B89,Hitters!$A1:$R401,4,FALSE)</f>
        <v>589.18888888888887</v>
      </c>
      <c r="N89" s="31">
        <f>VLOOKUP($B89,Hitters!$A1:$R401,5,FALSE)</f>
        <v>77.904444444444451</v>
      </c>
      <c r="O89" s="31">
        <f>VLOOKUP($B89,Hitters!$A1:$R401,6,FALSE)</f>
        <v>11.598888888888888</v>
      </c>
      <c r="P89" s="31">
        <f>VLOOKUP($B89,Hitters!$A1:$R401,7,FALSE)</f>
        <v>66.376666666666665</v>
      </c>
      <c r="Q89" s="31">
        <f>VLOOKUP($B89,Hitters!$A1:$R401,8,FALSE)</f>
        <v>16.351111111111113</v>
      </c>
      <c r="R89" s="152">
        <f>VLOOKUP($B89,Hitters!$A$1:$R$401,14,FALSE)</f>
        <v>0.27740019235483809</v>
      </c>
      <c r="S89" s="152">
        <f>VLOOKUP($B89,Hitters!$A$1:$R$401,15,FALSE)</f>
        <v>0.32130242280576521</v>
      </c>
      <c r="T89" s="154">
        <f>VLOOKUP($B89,Hitters!$A$1:$R$401,9,FALSE)</f>
        <v>163.4411111111111</v>
      </c>
      <c r="U89" s="154">
        <f>VLOOKUP($B89,Hitters!$A$1:$R$401,10,FALSE)</f>
        <v>27.668888888888887</v>
      </c>
      <c r="V89" s="154">
        <f>VLOOKUP($B89,Hitters!$A$1:$R$401,11,FALSE)</f>
        <v>6.0266666666666664</v>
      </c>
      <c r="W89" s="154">
        <f>VLOOKUP($B89,Hitters!$A$1:$R$401,12,FALSE)</f>
        <v>28.961111111111109</v>
      </c>
      <c r="X89" s="154">
        <f>VLOOKUP($B89,Hitters!$A$1:$R$401,13,FALSE)</f>
        <v>110.09777777777778</v>
      </c>
      <c r="Y89" s="152">
        <f>VLOOKUP($B89,Hitters!$A$1:$R$401,16,FALSE)</f>
        <v>0.40387727006996427</v>
      </c>
      <c r="Z89" s="152">
        <f>VLOOKUP($B89,Hitters!$A$1:$R$401,17,FALSE)</f>
        <v>0.72517969287572948</v>
      </c>
      <c r="AA89" s="31">
        <f>VLOOKUP($B89,Hitters!$A1:$R401,18,FALSE)</f>
        <v>0</v>
      </c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4" ht="20.100000000000001" customHeight="1">
      <c r="A90" s="25">
        <f ca="1">RANK(I90,I$2:I$651)</f>
        <v>89</v>
      </c>
      <c r="B90" s="26" t="s">
        <v>154</v>
      </c>
      <c r="C90" s="27" t="s">
        <v>81</v>
      </c>
      <c r="D90" s="27" t="s">
        <v>74</v>
      </c>
      <c r="E90" s="36" t="s">
        <v>31</v>
      </c>
      <c r="F90" s="37">
        <f ca="1">VLOOKUP(B90,SP!A1:I161,IF(Settings!$J$13="points",4,7),FALSE)</f>
        <v>26</v>
      </c>
      <c r="G90" s="30">
        <f>(AC90*Settings!$F$2)+(AF90*Settings!$F$5)+(AG90*Settings!$F$6)+(AH90*Settings!$F$7)+(AI90*Settings!$F$8)+(AJ90*Settings!$F$9)+(AK90*Settings!$F$10)+(AL90*Settings!$F$11)+(AM90*Settings!$F$12)+(AN90*Settings!$F$13)+(AO90*Settings!$F$14)+(AP90*Settings!$F$15)+(AQ90*Settings!$F$16)+(AR90*Settings!$F$17)</f>
        <v>380.04916666666674</v>
      </c>
      <c r="H90" s="31">
        <f>VLOOKUP(B90,'Standard Deviations'!$A1:$D651,4,FALSE)</f>
        <v>3.7199255021190791</v>
      </c>
      <c r="I90" s="32">
        <f ca="1">IF(Settings!$J$16="no",VLOOKUP(B90,SP!A1:I161,IF(Settings!$J$13="points",6,9),FALSE),VLOOKUP(B90,'SP+RP'!$A1:$I251,IF(Settings!$J$13="points",6,9),FALSE))</f>
        <v>4.5875014649665395</v>
      </c>
      <c r="J90" s="31"/>
      <c r="K90" s="31">
        <f ca="1">J90-A90</f>
        <v>-89</v>
      </c>
      <c r="L90" s="31"/>
      <c r="M90" s="31"/>
      <c r="N90" s="31"/>
      <c r="O90" s="31"/>
      <c r="P90" s="31"/>
      <c r="Q90" s="31"/>
      <c r="R90" s="152"/>
      <c r="S90" s="152"/>
      <c r="T90" s="154"/>
      <c r="U90" s="154"/>
      <c r="V90" s="154"/>
      <c r="W90" s="154"/>
      <c r="X90" s="154"/>
      <c r="Y90" s="152"/>
      <c r="Z90" s="152"/>
      <c r="AA90" s="31"/>
      <c r="AB90" s="31"/>
      <c r="AC90" s="31">
        <f>VLOOKUP($B90,Pitchers!$A1:$S251,4,FALSE)</f>
        <v>138.39000000000001</v>
      </c>
      <c r="AD90" s="33">
        <f>VLOOKUP($B90,Pitchers!$A1:$S251,5,FALSE)</f>
        <v>3.3048991979189246</v>
      </c>
      <c r="AE90" s="33">
        <f>VLOOKUP($B90,Pitchers!$A1:$S251,6,FALSE)</f>
        <v>1.0982569389246171</v>
      </c>
      <c r="AF90" s="31">
        <f>VLOOKUP($B90,Pitchers!$A1:$S251,7,FALSE)</f>
        <v>145.82166666666669</v>
      </c>
      <c r="AG90" s="31">
        <f>VLOOKUP($B90,Pitchers!$A1:$S251,8,FALSE)</f>
        <v>10.534444444444444</v>
      </c>
      <c r="AH90" s="31">
        <f>VLOOKUP($B90,Pitchers!$A1:$S251,9,FALSE)</f>
        <v>0</v>
      </c>
      <c r="AI90" s="31">
        <f>VLOOKUP($B90,Pitchers!$A1:$S251,10,FALSE)</f>
        <v>50.818333333333335</v>
      </c>
      <c r="AJ90" s="31">
        <f>VLOOKUP($B90,Pitchers!$A1:$S251,11,FALSE)</f>
        <v>122.64222222222223</v>
      </c>
      <c r="AK90" s="31">
        <f>VLOOKUP($B90,Pitchers!$A1:$S251,12,FALSE)</f>
        <v>29.345555555555553</v>
      </c>
      <c r="AL90" s="31">
        <f>VLOOKUP($B90,Pitchers!$A1:$S251,13,FALSE)</f>
        <v>16.766666666666666</v>
      </c>
      <c r="AM90" s="31">
        <f>VLOOKUP($B90,Pitchers!$A1:$S251,14,FALSE)</f>
        <v>24.169999999999998</v>
      </c>
      <c r="AN90" s="31">
        <f>VLOOKUP($B90,Pitchers!$A1:$S251,15,FALSE)</f>
        <v>24.169999999999998</v>
      </c>
      <c r="AO90" s="31">
        <f>VLOOKUP($B90,Pitchers!$A1:$S251,16,FALSE)</f>
        <v>5.9933333333333332</v>
      </c>
      <c r="AP90" s="31">
        <f>VLOOKUP($B90,Pitchers!$A1:$S251,17,FALSE)</f>
        <v>17</v>
      </c>
      <c r="AQ90" s="31">
        <f>VLOOKUP($B90,Pitchers!$A1:$S251,18,FALSE)</f>
        <v>0</v>
      </c>
      <c r="AR90" s="31">
        <f>VLOOKUP($B90,Pitchers!$A1:$S251,19,FALSE)</f>
        <v>0</v>
      </c>
    </row>
    <row r="91" spans="1:44" ht="20.100000000000001" customHeight="1">
      <c r="A91" s="25">
        <f ca="1">RANK(I91,I$2:I$651)</f>
        <v>90</v>
      </c>
      <c r="B91" s="26" t="s">
        <v>162</v>
      </c>
      <c r="C91" s="27" t="s">
        <v>120</v>
      </c>
      <c r="D91" s="27" t="s">
        <v>74</v>
      </c>
      <c r="E91" s="36" t="s">
        <v>31</v>
      </c>
      <c r="F91" s="37">
        <f ca="1">VLOOKUP(B91,SP!A1:I161,IF(Settings!$J$13="points",4,7),FALSE)</f>
        <v>27</v>
      </c>
      <c r="G91" s="30">
        <f>(AC91*Settings!$F$2)+(AF91*Settings!$F$5)+(AG91*Settings!$F$6)+(AH91*Settings!$F$7)+(AI91*Settings!$F$8)+(AJ91*Settings!$F$9)+(AK91*Settings!$F$10)+(AL91*Settings!$F$11)+(AM91*Settings!$F$12)+(AN91*Settings!$F$13)+(AO91*Settings!$F$14)+(AP91*Settings!$F$15)+(AQ91*Settings!$F$16)+(AR91*Settings!$F$17)</f>
        <v>438.32888888888891</v>
      </c>
      <c r="H91" s="31">
        <f>VLOOKUP(B91,'Standard Deviations'!$A1:$D651,4,FALSE)</f>
        <v>3.7103550998128791</v>
      </c>
      <c r="I91" s="32">
        <f ca="1">IF(Settings!$J$16="no",VLOOKUP(B91,SP!A1:I161,IF(Settings!$J$13="points",6,9),FALSE),VLOOKUP(B91,'SP+RP'!$A1:$I251,IF(Settings!$J$13="points",6,9),FALSE))</f>
        <v>4.5779386174034089</v>
      </c>
      <c r="J91" s="31"/>
      <c r="K91" s="31">
        <f ca="1">J91-A91</f>
        <v>-90</v>
      </c>
      <c r="L91" s="31"/>
      <c r="M91" s="31"/>
      <c r="N91" s="31"/>
      <c r="O91" s="31"/>
      <c r="P91" s="31"/>
      <c r="Q91" s="31"/>
      <c r="R91" s="152"/>
      <c r="S91" s="152"/>
      <c r="T91" s="154"/>
      <c r="U91" s="154"/>
      <c r="V91" s="154"/>
      <c r="W91" s="154"/>
      <c r="X91" s="154"/>
      <c r="Y91" s="152"/>
      <c r="Z91" s="152"/>
      <c r="AA91" s="31"/>
      <c r="AB91" s="31"/>
      <c r="AC91" s="31">
        <f>VLOOKUP($B91,Pitchers!$A1:$S251,4,FALSE)</f>
        <v>177.77777777777774</v>
      </c>
      <c r="AD91" s="33">
        <f>VLOOKUP($B91,Pitchers!$A1:$S251,5,FALSE)</f>
        <v>3.4943062500000002</v>
      </c>
      <c r="AE91" s="33">
        <f>VLOOKUP($B91,Pitchers!$A1:$S251,6,FALSE)</f>
        <v>1.1516312500000003</v>
      </c>
      <c r="AF91" s="31">
        <f>VLOOKUP($B91,Pitchers!$A1:$S251,7,FALSE)</f>
        <v>187.03111111111113</v>
      </c>
      <c r="AG91" s="31">
        <f>VLOOKUP($B91,Pitchers!$A1:$S251,8,FALSE)</f>
        <v>10.99111111111111</v>
      </c>
      <c r="AH91" s="31">
        <f>VLOOKUP($B91,Pitchers!$A1:$S251,9,FALSE)</f>
        <v>0</v>
      </c>
      <c r="AI91" s="31">
        <f>VLOOKUP($B91,Pitchers!$A1:$S251,10,FALSE)</f>
        <v>69.023333333333326</v>
      </c>
      <c r="AJ91" s="31">
        <f>VLOOKUP($B91,Pitchers!$A1:$S251,11,FALSE)</f>
        <v>150.37111111111111</v>
      </c>
      <c r="AK91" s="31">
        <f>VLOOKUP($B91,Pitchers!$A1:$S251,12,FALSE)</f>
        <v>54.363333333333337</v>
      </c>
      <c r="AL91" s="31">
        <f>VLOOKUP($B91,Pitchers!$A1:$S251,13,FALSE)</f>
        <v>20.099999999999998</v>
      </c>
      <c r="AM91" s="31">
        <f>VLOOKUP($B91,Pitchers!$A1:$S251,14,FALSE)</f>
        <v>30.197777777777777</v>
      </c>
      <c r="AN91" s="31">
        <f>VLOOKUP($B91,Pitchers!$A1:$S251,15,FALSE)</f>
        <v>30.197777777777777</v>
      </c>
      <c r="AO91" s="31">
        <f>VLOOKUP($B91,Pitchers!$A1:$S251,16,FALSE)</f>
        <v>8.5400000000000009</v>
      </c>
      <c r="AP91" s="31">
        <f>VLOOKUP($B91,Pitchers!$A1:$S251,17,FALSE)</f>
        <v>17</v>
      </c>
      <c r="AQ91" s="31">
        <f>VLOOKUP($B91,Pitchers!$A1:$S251,18,FALSE)</f>
        <v>0</v>
      </c>
      <c r="AR91" s="31">
        <f>VLOOKUP($B91,Pitchers!$A1:$S251,19,FALSE)</f>
        <v>0</v>
      </c>
    </row>
    <row r="92" spans="1:44" ht="18.600000000000001" customHeight="1">
      <c r="A92" s="25">
        <f ca="1">RANK(I92,I$2:I$651)</f>
        <v>91</v>
      </c>
      <c r="B92" s="26" t="s">
        <v>165</v>
      </c>
      <c r="C92" s="27" t="s">
        <v>97</v>
      </c>
      <c r="D92" s="27" t="s">
        <v>74</v>
      </c>
      <c r="E92" s="28" t="s">
        <v>23</v>
      </c>
      <c r="F92" s="29">
        <f ca="1">VLOOKUP(B92,OF!A1:I139,IF(Settings!$J$13="points",4,7),FALSE)</f>
        <v>23</v>
      </c>
      <c r="G92" s="30">
        <f>(M92*Settings!$B$2)+(N92*Settings!$B$3)+(O92*Settings!$B$4)+(P92*Settings!$B$5)+(Q92*Settings!$B$6)+((T92-U92-V92-O92)*Settings!$B$9)+(U92*Settings!$B$10)+(V92*Settings!$B$11)+(W92*Settings!$B$12)+(X92*Settings!$B$13)+(AA92*Settings!$B$16)</f>
        <v>412.52777777777783</v>
      </c>
      <c r="H92" s="31">
        <f>VLOOKUP(B92,'Standard Deviations'!$A1:$D651,4,FALSE)</f>
        <v>4.3990376097373458</v>
      </c>
      <c r="I92" s="32">
        <f ca="1">VLOOKUP(B92,OF!A1:I139,IF(Settings!$J$13="points",6,9),FALSE)</f>
        <v>4.5559713187597124</v>
      </c>
      <c r="J92" s="31"/>
      <c r="K92" s="31">
        <f ca="1">J92-A92</f>
        <v>-91</v>
      </c>
      <c r="L92" s="31"/>
      <c r="M92" s="31">
        <f>VLOOKUP($B92,Hitters!$A1:$R401,4,FALSE)</f>
        <v>535.93333333333328</v>
      </c>
      <c r="N92" s="31">
        <f>VLOOKUP($B92,Hitters!$A1:$R401,5,FALSE)</f>
        <v>87.176666666666662</v>
      </c>
      <c r="O92" s="31">
        <f>VLOOKUP($B92,Hitters!$A1:$R401,6,FALSE)</f>
        <v>17.713333333333335</v>
      </c>
      <c r="P92" s="31">
        <f>VLOOKUP($B92,Hitters!$A1:$R401,7,FALSE)</f>
        <v>63.00333333333333</v>
      </c>
      <c r="Q92" s="31">
        <f>VLOOKUP($B92,Hitters!$A1:$R401,8,FALSE)</f>
        <v>17.426666666666666</v>
      </c>
      <c r="R92" s="152">
        <f>VLOOKUP($B92,Hitters!$A$1:$R$401,14,FALSE)</f>
        <v>0.25089563378529672</v>
      </c>
      <c r="S92" s="152">
        <f>VLOOKUP($B92,Hitters!$A$1:$R$401,15,FALSE)</f>
        <v>0.35947343394045006</v>
      </c>
      <c r="T92" s="154">
        <f>VLOOKUP($B92,Hitters!$A$1:$R$401,9,FALSE)</f>
        <v>134.46333333333334</v>
      </c>
      <c r="U92" s="154">
        <f>VLOOKUP($B92,Hitters!$A$1:$R$401,10,FALSE)</f>
        <v>25.79111111111111</v>
      </c>
      <c r="V92" s="154">
        <f>VLOOKUP($B92,Hitters!$A$1:$R$401,11,FALSE)</f>
        <v>2.9988888888888887</v>
      </c>
      <c r="W92" s="154">
        <f>VLOOKUP($B92,Hitters!$A$1:$R$401,12,FALSE)</f>
        <v>83.465000000000003</v>
      </c>
      <c r="X92" s="154">
        <f>VLOOKUP($B92,Hitters!$A$1:$R$401,13,FALSE)</f>
        <v>150.72555555555556</v>
      </c>
      <c r="Y92" s="152">
        <f>VLOOKUP($B92,Hitters!$A$1:$R$401,16,FALSE)</f>
        <v>0.40936476344487299</v>
      </c>
      <c r="Z92" s="152">
        <f>VLOOKUP($B92,Hitters!$A$1:$R$401,17,FALSE)</f>
        <v>0.76883819738532311</v>
      </c>
      <c r="AA92" s="31">
        <f>VLOOKUP($B92,Hitters!$A1:$R401,18,FALSE)</f>
        <v>0</v>
      </c>
      <c r="AB92" s="31"/>
      <c r="AC92" s="31"/>
      <c r="AD92" s="33"/>
      <c r="AE92" s="33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4" ht="18.600000000000001" customHeight="1">
      <c r="A93" s="25">
        <f ca="1">RANK(I93,I$2:I$651)</f>
        <v>92</v>
      </c>
      <c r="B93" s="26" t="s">
        <v>179</v>
      </c>
      <c r="C93" s="27" t="s">
        <v>76</v>
      </c>
      <c r="D93" s="27" t="s">
        <v>69</v>
      </c>
      <c r="E93" s="36" t="s">
        <v>31</v>
      </c>
      <c r="F93" s="37">
        <f ca="1">VLOOKUP(B93,SP!A1:I161,IF(Settings!$J$13="points",4,7),FALSE)</f>
        <v>28</v>
      </c>
      <c r="G93" s="30">
        <f>(AC93*Settings!$F$2)+(AF93*Settings!$F$5)+(AG93*Settings!$F$6)+(AH93*Settings!$F$7)+(AI93*Settings!$F$8)+(AJ93*Settings!$F$9)+(AK93*Settings!$F$10)+(AL93*Settings!$F$11)+(AM93*Settings!$F$12)+(AN93*Settings!$F$13)+(AO93*Settings!$F$14)+(AP93*Settings!$F$15)+(AQ93*Settings!$F$16)+(AR93*Settings!$F$17)</f>
        <v>459.5866666666667</v>
      </c>
      <c r="H93" s="31">
        <f>VLOOKUP(B93,'Standard Deviations'!$A1:$D651,4,FALSE)</f>
        <v>3.6880205773660784</v>
      </c>
      <c r="I93" s="32">
        <f ca="1">IF(Settings!$J$16="no",VLOOKUP(B93,SP!A1:I161,IF(Settings!$J$13="points",6,9),FALSE),VLOOKUP(B93,'SP+RP'!$A1:$I251,IF(Settings!$J$13="points",6,9),FALSE))</f>
        <v>4.5556015997024275</v>
      </c>
      <c r="J93" s="31"/>
      <c r="K93" s="31">
        <f ca="1">J93-A93</f>
        <v>-92</v>
      </c>
      <c r="L93" s="31"/>
      <c r="M93" s="31"/>
      <c r="N93" s="31"/>
      <c r="O93" s="31"/>
      <c r="P93" s="31"/>
      <c r="Q93" s="31"/>
      <c r="R93" s="152"/>
      <c r="S93" s="152"/>
      <c r="T93" s="154"/>
      <c r="U93" s="154"/>
      <c r="V93" s="154"/>
      <c r="W93" s="154"/>
      <c r="X93" s="154"/>
      <c r="Y93" s="152"/>
      <c r="Z93" s="152"/>
      <c r="AA93" s="31"/>
      <c r="AB93" s="31"/>
      <c r="AC93" s="31">
        <f>VLOOKUP($B93,Pitchers!$A1:$S251,4,FALSE)</f>
        <v>188.92</v>
      </c>
      <c r="AD93" s="33">
        <f>VLOOKUP($B93,Pitchers!$A1:$S251,5,FALSE)</f>
        <v>3.7520643658691513</v>
      </c>
      <c r="AE93" s="33">
        <f>VLOOKUP($B93,Pitchers!$A1:$S251,6,FALSE)</f>
        <v>1.1369327404898018</v>
      </c>
      <c r="AF93" s="31">
        <f>VLOOKUP($B93,Pitchers!$A1:$S251,7,FALSE)</f>
        <v>195.20000000000002</v>
      </c>
      <c r="AG93" s="31">
        <f>VLOOKUP($B93,Pitchers!$A1:$S251,8,FALSE)</f>
        <v>11.774666666666667</v>
      </c>
      <c r="AH93" s="31">
        <f>VLOOKUP($B93,Pitchers!$A1:$S251,9,FALSE)</f>
        <v>0</v>
      </c>
      <c r="AI93" s="31">
        <f>VLOOKUP($B93,Pitchers!$A1:$S251,10,FALSE)</f>
        <v>78.760000000000005</v>
      </c>
      <c r="AJ93" s="31">
        <f>VLOOKUP($B93,Pitchers!$A1:$S251,11,FALSE)</f>
        <v>157.96</v>
      </c>
      <c r="AK93" s="31">
        <f>VLOOKUP($B93,Pitchers!$A1:$S251,12,FALSE)</f>
        <v>56.829333333333331</v>
      </c>
      <c r="AL93" s="31">
        <f>VLOOKUP($B93,Pitchers!$A1:$S251,13,FALSE)</f>
        <v>28.346666666666664</v>
      </c>
      <c r="AM93" s="31">
        <f>VLOOKUP($B93,Pitchers!$A1:$S251,14,FALSE)</f>
        <v>30.930666666666667</v>
      </c>
      <c r="AN93" s="31">
        <f>VLOOKUP($B93,Pitchers!$A1:$S251,15,FALSE)</f>
        <v>31.263999999999999</v>
      </c>
      <c r="AO93" s="31">
        <f>VLOOKUP($B93,Pitchers!$A1:$S251,16,FALSE)</f>
        <v>10.249333333333333</v>
      </c>
      <c r="AP93" s="31">
        <f>VLOOKUP($B93,Pitchers!$A1:$S251,17,FALSE)</f>
        <v>19.2</v>
      </c>
      <c r="AQ93" s="31">
        <f>VLOOKUP($B93,Pitchers!$A1:$S251,18,FALSE)</f>
        <v>0</v>
      </c>
      <c r="AR93" s="31">
        <f>VLOOKUP($B93,Pitchers!$A1:$S251,19,FALSE)</f>
        <v>0</v>
      </c>
    </row>
    <row r="94" spans="1:44" ht="18.600000000000001" customHeight="1">
      <c r="A94" s="25">
        <f ca="1">RANK(I94,I$2:I$651)</f>
        <v>93</v>
      </c>
      <c r="B94" s="26" t="s">
        <v>222</v>
      </c>
      <c r="C94" s="27" t="s">
        <v>223</v>
      </c>
      <c r="D94" s="27" t="s">
        <v>74</v>
      </c>
      <c r="E94" s="36" t="s">
        <v>31</v>
      </c>
      <c r="F94" s="37">
        <f ca="1">VLOOKUP(B94,SP!A1:I161,IF(Settings!$J$13="points",4,7),FALSE)</f>
        <v>29</v>
      </c>
      <c r="G94" s="30">
        <f>(AC94*Settings!$F$2)+(AF94*Settings!$F$5)+(AG94*Settings!$F$6)+(AH94*Settings!$F$7)+(AI94*Settings!$F$8)+(AJ94*Settings!$F$9)+(AK94*Settings!$F$10)+(AL94*Settings!$F$11)+(AM94*Settings!$F$12)+(AN94*Settings!$F$13)+(AO94*Settings!$F$14)+(AP94*Settings!$F$15)+(AQ94*Settings!$F$16)+(AR94*Settings!$F$17)</f>
        <v>441.52173333333337</v>
      </c>
      <c r="H94" s="31">
        <f>VLOOKUP(B94,'Standard Deviations'!$A1:$D651,4,FALSE)</f>
        <v>3.6363277664338289</v>
      </c>
      <c r="I94" s="32">
        <f ca="1">IF(Settings!$J$16="no",VLOOKUP(B94,SP!A1:I161,IF(Settings!$J$13="points",6,9),FALSE),VLOOKUP(B94,'SP+RP'!$A1:$I251,IF(Settings!$J$13="points",6,9),FALSE))</f>
        <v>4.5039054940157293</v>
      </c>
      <c r="J94" s="31"/>
      <c r="K94" s="31">
        <f ca="1">J94-A94</f>
        <v>-93</v>
      </c>
      <c r="L94" s="31"/>
      <c r="M94" s="31"/>
      <c r="N94" s="31"/>
      <c r="O94" s="31"/>
      <c r="P94" s="31"/>
      <c r="Q94" s="31"/>
      <c r="R94" s="152"/>
      <c r="S94" s="152"/>
      <c r="T94" s="154"/>
      <c r="U94" s="154"/>
      <c r="V94" s="154"/>
      <c r="W94" s="154"/>
      <c r="X94" s="154"/>
      <c r="Y94" s="152"/>
      <c r="Z94" s="152"/>
      <c r="AA94" s="31"/>
      <c r="AB94" s="31"/>
      <c r="AC94" s="31">
        <f>VLOOKUP($B94,Pitchers!$A1:$S251,4,FALSE)</f>
        <v>177.07480000000001</v>
      </c>
      <c r="AD94" s="33">
        <f>VLOOKUP($B94,Pitchers!$A1:$S251,5,FALSE)</f>
        <v>3.7466607332042727</v>
      </c>
      <c r="AE94" s="33">
        <f>VLOOKUP($B94,Pitchers!$A1:$S251,6,FALSE)</f>
        <v>1.1454759984669376</v>
      </c>
      <c r="AF94" s="31">
        <f>VLOOKUP($B94,Pitchers!$A1:$S251,7,FALSE)</f>
        <v>218.35626666666667</v>
      </c>
      <c r="AG94" s="31">
        <f>VLOOKUP($B94,Pitchers!$A1:$S251,8,FALSE)</f>
        <v>10.184799999999999</v>
      </c>
      <c r="AH94" s="31">
        <f>VLOOKUP($B94,Pitchers!$A1:$S251,9,FALSE)</f>
        <v>0</v>
      </c>
      <c r="AI94" s="31">
        <f>VLOOKUP($B94,Pitchers!$A1:$S251,10,FALSE)</f>
        <v>73.715466666666671</v>
      </c>
      <c r="AJ94" s="31">
        <f>VLOOKUP($B94,Pitchers!$A1:$S251,11,FALSE)</f>
        <v>141.72319999999999</v>
      </c>
      <c r="AK94" s="31">
        <f>VLOOKUP($B94,Pitchers!$A1:$S251,12,FALSE)</f>
        <v>61.111733333333326</v>
      </c>
      <c r="AL94" s="31">
        <f>VLOOKUP($B94,Pitchers!$A1:$S251,13,FALSE)</f>
        <v>24.741333333333333</v>
      </c>
      <c r="AM94" s="31">
        <f>VLOOKUP($B94,Pitchers!$A1:$S251,14,FALSE)</f>
        <v>33.005600000000001</v>
      </c>
      <c r="AN94" s="31">
        <f>VLOOKUP($B94,Pitchers!$A1:$S251,15,FALSE)</f>
        <v>29.146666666666665</v>
      </c>
      <c r="AO94" s="31">
        <f>VLOOKUP($B94,Pitchers!$A1:$S251,16,FALSE)</f>
        <v>10.9048</v>
      </c>
      <c r="AP94" s="31">
        <f>VLOOKUP($B94,Pitchers!$A1:$S251,17,FALSE)</f>
        <v>20.3</v>
      </c>
      <c r="AQ94" s="31">
        <f>VLOOKUP($B94,Pitchers!$A1:$S251,18,FALSE)</f>
        <v>0</v>
      </c>
      <c r="AR94" s="31">
        <f>VLOOKUP($B94,Pitchers!$A1:$S251,19,FALSE)</f>
        <v>0</v>
      </c>
    </row>
    <row r="95" spans="1:44" ht="18.600000000000001" customHeight="1">
      <c r="A95" s="25">
        <f ca="1">RANK(I95,I$2:I$651)</f>
        <v>94</v>
      </c>
      <c r="B95" s="26" t="s">
        <v>239</v>
      </c>
      <c r="C95" s="27" t="s">
        <v>68</v>
      </c>
      <c r="D95" s="27" t="s">
        <v>69</v>
      </c>
      <c r="E95" s="48" t="s">
        <v>11</v>
      </c>
      <c r="F95" s="49">
        <f ca="1">VLOOKUP(B95,'2B'!A1:I50,IF(Settings!$J$13="points",4,7),FALSE)</f>
        <v>6</v>
      </c>
      <c r="G95" s="30">
        <f>(M95*Settings!$B$2)+(N95*Settings!$B$3)+(O95*Settings!$B$4)+(P95*Settings!$B$5)+(Q95*Settings!$B$6)+((T95-U95-V95-O95)*Settings!$B$9)+(U95*Settings!$B$10)+(V95*Settings!$B$11)+(W95*Settings!$B$12)+(X95*Settings!$B$13)+(AA95*Settings!$B$16)</f>
        <v>384.43444444444447</v>
      </c>
      <c r="H95" s="31">
        <f>VLOOKUP(B95,'Standard Deviations'!$A1:$D651,4,FALSE)</f>
        <v>4.4555441807887473</v>
      </c>
      <c r="I95" s="32">
        <f ca="1">IF(Settings!$J$16="no",VLOOKUP(B95,'2B'!A1:I50,IF(Settings!$J$13="points",6,9),FALSE),VLOOKUP(B95,'2B+SS'!$A1:$I94,IF(Settings!$J$13="points",6,9),FALSE))</f>
        <v>4.4495063925509841</v>
      </c>
      <c r="J95" s="31"/>
      <c r="K95" s="31">
        <f ca="1">J95-A95</f>
        <v>-94</v>
      </c>
      <c r="L95" s="31"/>
      <c r="M95" s="31">
        <f>VLOOKUP($B95,Hitters!$A1:$R401,4,FALSE)</f>
        <v>522.28888888888889</v>
      </c>
      <c r="N95" s="31">
        <f>VLOOKUP($B95,Hitters!$A1:$R401,5,FALSE)</f>
        <v>74.2</v>
      </c>
      <c r="O95" s="31">
        <f>VLOOKUP($B95,Hitters!$A1:$R401,6,FALSE)</f>
        <v>21.293333333333333</v>
      </c>
      <c r="P95" s="31">
        <f>VLOOKUP($B95,Hitters!$A1:$R401,7,FALSE)</f>
        <v>70.908888888888882</v>
      </c>
      <c r="Q95" s="31">
        <f>VLOOKUP($B95,Hitters!$A1:$R401,8,FALSE)</f>
        <v>13.375555555555556</v>
      </c>
      <c r="R95" s="152">
        <f>VLOOKUP($B95,Hitters!$A$1:$R$401,14,FALSE)</f>
        <v>0.25884993405097223</v>
      </c>
      <c r="S95" s="152">
        <f>VLOOKUP($B95,Hitters!$A$1:$R$401,15,FALSE)</f>
        <v>0.33004697903760111</v>
      </c>
      <c r="T95" s="154">
        <f>VLOOKUP($B95,Hitters!$A$1:$R$401,9,FALSE)</f>
        <v>135.19444444444446</v>
      </c>
      <c r="U95" s="154">
        <f>VLOOKUP($B95,Hitters!$A$1:$R$401,10,FALSE)</f>
        <v>25.441111111111113</v>
      </c>
      <c r="V95" s="154">
        <f>VLOOKUP($B95,Hitters!$A$1:$R$401,11,FALSE)</f>
        <v>1.0183333333333333</v>
      </c>
      <c r="W95" s="154">
        <f>VLOOKUP($B95,Hitters!$A$1:$R$401,12,FALSE)</f>
        <v>47.593333333333334</v>
      </c>
      <c r="X95" s="154">
        <f>VLOOKUP($B95,Hitters!$A$1:$R$401,13,FALSE)</f>
        <v>123.14222222222223</v>
      </c>
      <c r="Y95" s="152">
        <f>VLOOKUP($B95,Hitters!$A$1:$R$401,16,FALSE)</f>
        <v>0.43376802961324096</v>
      </c>
      <c r="Z95" s="152">
        <f>VLOOKUP($B95,Hitters!$A$1:$R$401,17,FALSE)</f>
        <v>0.76381500865084206</v>
      </c>
      <c r="AA95" s="31">
        <f>VLOOKUP($B95,Hitters!$A1:$R401,18,FALSE)</f>
        <v>0</v>
      </c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spans="1:44" ht="18.600000000000001" customHeight="1">
      <c r="A96" s="25">
        <f ca="1">RANK(I96,I$2:I$651)</f>
        <v>95</v>
      </c>
      <c r="B96" s="26" t="s">
        <v>189</v>
      </c>
      <c r="C96" s="27" t="s">
        <v>71</v>
      </c>
      <c r="D96" s="27" t="s">
        <v>69</v>
      </c>
      <c r="E96" s="36" t="s">
        <v>31</v>
      </c>
      <c r="F96" s="37">
        <f ca="1">VLOOKUP(B96,SP!A1:I161,IF(Settings!$J$13="points",4,7),FALSE)</f>
        <v>30</v>
      </c>
      <c r="G96" s="30">
        <f>(AC96*Settings!$F$2)+(AF96*Settings!$F$5)+(AG96*Settings!$F$6)+(AH96*Settings!$F$7)+(AI96*Settings!$F$8)+(AJ96*Settings!$F$9)+(AK96*Settings!$F$10)+(AL96*Settings!$F$11)+(AM96*Settings!$F$12)+(AN96*Settings!$F$13)+(AO96*Settings!$F$14)+(AP96*Settings!$F$15)+(AQ96*Settings!$F$16)+(AR96*Settings!$F$17)</f>
        <v>451.87</v>
      </c>
      <c r="H96" s="31">
        <f>VLOOKUP(B96,'Standard Deviations'!$A1:$D651,4,FALSE)</f>
        <v>3.5668376867258602</v>
      </c>
      <c r="I96" s="32">
        <f ca="1">IF(Settings!$J$16="no",VLOOKUP(B96,SP!A1:I161,IF(Settings!$J$13="points",6,9),FALSE),VLOOKUP(B96,'SP+RP'!$A1:$I251,IF(Settings!$J$13="points",6,9),FALSE))</f>
        <v>4.4344150820214523</v>
      </c>
      <c r="J96" s="31"/>
      <c r="K96" s="31">
        <f ca="1">J96-A96</f>
        <v>-95</v>
      </c>
      <c r="L96" s="31"/>
      <c r="M96" s="31"/>
      <c r="N96" s="31"/>
      <c r="O96" s="31"/>
      <c r="P96" s="31"/>
      <c r="Q96" s="31"/>
      <c r="R96" s="152"/>
      <c r="S96" s="152"/>
      <c r="T96" s="154"/>
      <c r="U96" s="154"/>
      <c r="V96" s="154"/>
      <c r="W96" s="154"/>
      <c r="X96" s="154"/>
      <c r="Y96" s="152"/>
      <c r="Z96" s="152"/>
      <c r="AA96" s="31"/>
      <c r="AB96" s="31"/>
      <c r="AC96" s="31">
        <f>VLOOKUP($B96,Pitchers!$A1:$S251,4,FALSE)</f>
        <v>184.54</v>
      </c>
      <c r="AD96" s="33">
        <f>VLOOKUP($B96,Pitchers!$A1:$S251,5,FALSE)</f>
        <v>3.7633575376612121</v>
      </c>
      <c r="AE96" s="33">
        <f>VLOOKUP($B96,Pitchers!$A1:$S251,6,FALSE)</f>
        <v>1.1825018363980109</v>
      </c>
      <c r="AF96" s="31">
        <f>VLOOKUP($B96,Pitchers!$A1:$S251,7,FALSE)</f>
        <v>211.46666666666667</v>
      </c>
      <c r="AG96" s="31">
        <f>VLOOKUP($B96,Pitchers!$A1:$S251,8,FALSE)</f>
        <v>11.981111111111112</v>
      </c>
      <c r="AH96" s="31">
        <f>VLOOKUP($B96,Pitchers!$A1:$S251,9,FALSE)</f>
        <v>0</v>
      </c>
      <c r="AI96" s="31">
        <f>VLOOKUP($B96,Pitchers!$A1:$S251,10,FALSE)</f>
        <v>77.165555555555557</v>
      </c>
      <c r="AJ96" s="31">
        <f>VLOOKUP($B96,Pitchers!$A1:$S251,11,FALSE)</f>
        <v>157.45111111111112</v>
      </c>
      <c r="AK96" s="31">
        <f>VLOOKUP($B96,Pitchers!$A1:$S251,12,FALSE)</f>
        <v>60.767777777777781</v>
      </c>
      <c r="AL96" s="31">
        <f>VLOOKUP($B96,Pitchers!$A1:$S251,13,FALSE)</f>
        <v>28.966666666666669</v>
      </c>
      <c r="AM96" s="31">
        <f>VLOOKUP($B96,Pitchers!$A1:$S251,14,FALSE)</f>
        <v>31.00888888888889</v>
      </c>
      <c r="AN96" s="31">
        <f>VLOOKUP($B96,Pitchers!$A1:$S251,15,FALSE)</f>
        <v>31.00888888888889</v>
      </c>
      <c r="AO96" s="31">
        <f>VLOOKUP($B96,Pitchers!$A1:$S251,16,FALSE)</f>
        <v>9.9933333333333341</v>
      </c>
      <c r="AP96" s="31">
        <f>VLOOKUP($B96,Pitchers!$A1:$S251,17,FALSE)</f>
        <v>18</v>
      </c>
      <c r="AQ96" s="31">
        <f>VLOOKUP($B96,Pitchers!$A1:$S251,18,FALSE)</f>
        <v>0</v>
      </c>
      <c r="AR96" s="31">
        <f>VLOOKUP($B96,Pitchers!$A1:$S251,19,FALSE)</f>
        <v>0</v>
      </c>
    </row>
    <row r="97" spans="1:44" ht="20.100000000000001" customHeight="1">
      <c r="A97" s="25">
        <f ca="1">RANK(I97,I$2:I$651)</f>
        <v>96</v>
      </c>
      <c r="B97" s="26" t="s">
        <v>141</v>
      </c>
      <c r="C97" s="27" t="s">
        <v>76</v>
      </c>
      <c r="D97" s="27" t="s">
        <v>69</v>
      </c>
      <c r="E97" s="28" t="s">
        <v>23</v>
      </c>
      <c r="F97" s="29">
        <f ca="1">VLOOKUP(B97,OF!A1:I139,IF(Settings!$J$13="points",4,7),FALSE)</f>
        <v>24</v>
      </c>
      <c r="G97" s="30">
        <f>(M97*Settings!$B$2)+(N97*Settings!$B$3)+(O97*Settings!$B$4)+(P97*Settings!$B$5)+(Q97*Settings!$B$6)+((T97-U97-V97-O97)*Settings!$B$9)+(U97*Settings!$B$10)+(V97*Settings!$B$11)+(W97*Settings!$B$12)+(X97*Settings!$B$13)+(AA97*Settings!$B$16)</f>
        <v>413.97722222222217</v>
      </c>
      <c r="H97" s="31">
        <f>VLOOKUP(B97,'Standard Deviations'!$A1:$D651,4,FALSE)</f>
        <v>4.2396734835557064</v>
      </c>
      <c r="I97" s="32">
        <f ca="1">VLOOKUP(B97,OF!A1:I139,IF(Settings!$J$13="points",6,9),FALSE)</f>
        <v>4.3966022514583294</v>
      </c>
      <c r="J97" s="31"/>
      <c r="K97" s="31">
        <f ca="1">J97-A97</f>
        <v>-96</v>
      </c>
      <c r="L97" s="31"/>
      <c r="M97" s="31">
        <f>VLOOKUP($B97,Hitters!$A1:$R401,4,FALSE)</f>
        <v>543.69999999999993</v>
      </c>
      <c r="N97" s="31">
        <f>VLOOKUP($B97,Hitters!$A1:$R401,5,FALSE)</f>
        <v>82.093333333333334</v>
      </c>
      <c r="O97" s="31">
        <f>VLOOKUP($B97,Hitters!$A1:$R401,6,FALSE)</f>
        <v>8.3466666666666658</v>
      </c>
      <c r="P97" s="31">
        <f>VLOOKUP($B97,Hitters!$A1:$R401,7,FALSE)</f>
        <v>55.471111111111107</v>
      </c>
      <c r="Q97" s="31">
        <f>VLOOKUP($B97,Hitters!$A1:$R401,8,FALSE)</f>
        <v>16.741111111111113</v>
      </c>
      <c r="R97" s="152">
        <f>VLOOKUP($B97,Hitters!$A$1:$R$401,14,FALSE)</f>
        <v>0.28327100320846876</v>
      </c>
      <c r="S97" s="152">
        <f>VLOOKUP($B97,Hitters!$A$1:$R$401,15,FALSE)</f>
        <v>0.36022372247225903</v>
      </c>
      <c r="T97" s="154">
        <f>VLOOKUP($B97,Hitters!$A$1:$R$401,9,FALSE)</f>
        <v>154.01444444444445</v>
      </c>
      <c r="U97" s="154">
        <f>VLOOKUP($B97,Hitters!$A$1:$R$401,10,FALSE)</f>
        <v>27.492222222222221</v>
      </c>
      <c r="V97" s="154">
        <f>VLOOKUP($B97,Hitters!$A$1:$R$401,11,FALSE)</f>
        <v>5.0383333333333331</v>
      </c>
      <c r="W97" s="154">
        <f>VLOOKUP($B97,Hitters!$A$1:$R$401,12,FALSE)</f>
        <v>57.926666666666669</v>
      </c>
      <c r="X97" s="154">
        <f>VLOOKUP($B97,Hitters!$A$1:$R$401,13,FALSE)</f>
        <v>63.238888888888887</v>
      </c>
      <c r="Y97" s="152">
        <f>VLOOKUP($B97,Hitters!$A$1:$R$401,16,FALSE)</f>
        <v>0.39842437618784876</v>
      </c>
      <c r="Z97" s="152">
        <f>VLOOKUP($B97,Hitters!$A$1:$R$401,17,FALSE)</f>
        <v>0.75864809866010785</v>
      </c>
      <c r="AA97" s="31">
        <f>VLOOKUP($B97,Hitters!$A1:$R401,18,FALSE)</f>
        <v>0</v>
      </c>
      <c r="AB97" s="31"/>
      <c r="AC97" s="31"/>
      <c r="AD97" s="33"/>
      <c r="AE97" s="33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</row>
    <row r="98" spans="1:44" ht="18.600000000000001" customHeight="1">
      <c r="A98" s="25">
        <f ca="1">RANK(I98,I$2:I$651)</f>
        <v>97</v>
      </c>
      <c r="B98" s="26" t="s">
        <v>233</v>
      </c>
      <c r="C98" s="27" t="s">
        <v>86</v>
      </c>
      <c r="D98" s="27" t="s">
        <v>69</v>
      </c>
      <c r="E98" s="40" t="s">
        <v>7</v>
      </c>
      <c r="F98" s="41">
        <f ca="1">VLOOKUP(B98,'1B'!A1:I63,IF(Settings!$J$13="points",4,7),FALSE)</f>
        <v>7</v>
      </c>
      <c r="G98" s="30">
        <f>(M98*Settings!$B$2)+(N98*Settings!$B$3)+(O98*Settings!$B$4)+(P98*Settings!$B$5)+(Q98*Settings!$B$6)+((T98-U98-V98-O98)*Settings!$B$9)+(U98*Settings!$B$10)+(V98*Settings!$B$11)+(W98*Settings!$B$12)+(X98*Settings!$B$13)+(AA98*Settings!$B$16)</f>
        <v>402.8127777777778</v>
      </c>
      <c r="H98" s="31">
        <f>VLOOKUP(B98,'Standard Deviations'!$A1:$D651,4,FALSE)</f>
        <v>4.5802604819525099</v>
      </c>
      <c r="I98" s="32">
        <f ca="1">IF(Settings!$J$15="no",VLOOKUP(B98,'1B'!A1:I63,IF(Settings!$J$13="points",6,9),FALSE),VLOOKUP(B98,'1B+3B'!$A1:$I104,IF(Settings!$J$13="points",6,9),FALSE))</f>
        <v>4.354777545920741</v>
      </c>
      <c r="J98" s="31"/>
      <c r="K98" s="31">
        <f ca="1">J98-A98</f>
        <v>-97</v>
      </c>
      <c r="L98" s="31"/>
      <c r="M98" s="31">
        <f>VLOOKUP($B98,Hitters!$A1:$R401,4,FALSE)</f>
        <v>550.01111111111106</v>
      </c>
      <c r="N98" s="31">
        <f>VLOOKUP($B98,Hitters!$A1:$R401,5,FALSE)</f>
        <v>76.338888888888889</v>
      </c>
      <c r="O98" s="31">
        <f>VLOOKUP($B98,Hitters!$A1:$R401,6,FALSE)</f>
        <v>23.015000000000001</v>
      </c>
      <c r="P98" s="31">
        <f>VLOOKUP($B98,Hitters!$A1:$R401,7,FALSE)</f>
        <v>78.233333333333334</v>
      </c>
      <c r="Q98" s="31">
        <f>VLOOKUP($B98,Hitters!$A1:$R401,8,FALSE)</f>
        <v>4.4988888888888887</v>
      </c>
      <c r="R98" s="152">
        <f>VLOOKUP($B98,Hitters!$A$1:$R$401,14,FALSE)</f>
        <v>0.27304700915133034</v>
      </c>
      <c r="S98" s="152">
        <f>VLOOKUP($B98,Hitters!$A$1:$R$401,15,FALSE)</f>
        <v>0.35381006903280765</v>
      </c>
      <c r="T98" s="154">
        <f>VLOOKUP($B98,Hitters!$A$1:$R$401,9,FALSE)</f>
        <v>150.17888888888891</v>
      </c>
      <c r="U98" s="154">
        <f>VLOOKUP($B98,Hitters!$A$1:$R$401,10,FALSE)</f>
        <v>25.981111111111108</v>
      </c>
      <c r="V98" s="154">
        <f>VLOOKUP($B98,Hitters!$A$1:$R$401,11,FALSE)</f>
        <v>2.0249999999999999</v>
      </c>
      <c r="W98" s="154">
        <f>VLOOKUP($B98,Hitters!$A$1:$R$401,12,FALSE)</f>
        <v>61.015000000000008</v>
      </c>
      <c r="X98" s="154">
        <f>VLOOKUP($B98,Hitters!$A$1:$R$401,13,FALSE)</f>
        <v>142.05444444444444</v>
      </c>
      <c r="Y98" s="152">
        <f>VLOOKUP($B98,Hitters!$A$1:$R$401,16,FALSE)</f>
        <v>0.45318175390396159</v>
      </c>
      <c r="Z98" s="152">
        <f>VLOOKUP($B98,Hitters!$A$1:$R$401,17,FALSE)</f>
        <v>0.80699182293676919</v>
      </c>
      <c r="AA98" s="31">
        <f>VLOOKUP($B98,Hitters!$A1:$R401,18,FALSE)</f>
        <v>0</v>
      </c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 spans="1:44" ht="18.600000000000001" customHeight="1">
      <c r="A99" s="25">
        <f ca="1">RANK(I99,I$2:I$651)</f>
        <v>98</v>
      </c>
      <c r="B99" s="26" t="s">
        <v>185</v>
      </c>
      <c r="C99" s="27" t="s">
        <v>78</v>
      </c>
      <c r="D99" s="27" t="s">
        <v>69</v>
      </c>
      <c r="E99" s="34" t="s">
        <v>15</v>
      </c>
      <c r="F99" s="35">
        <f ca="1">VLOOKUP(B99,'3B'!A1:I55,IF(Settings!$J$13="points",4,7),FALSE)</f>
        <v>6</v>
      </c>
      <c r="G99" s="30">
        <f>(M99*Settings!$B$2)+(N99*Settings!$B$3)+(O99*Settings!$B$4)+(P99*Settings!$B$5)+(Q99*Settings!$B$6)+((T99-U99-V99-O99)*Settings!$B$9)+(U99*Settings!$B$10)+(V99*Settings!$B$11)+(W99*Settings!$B$12)+(X99*Settings!$B$13)+(AA99*Settings!$B$16)</f>
        <v>463.04555555555561</v>
      </c>
      <c r="H99" s="31">
        <f>VLOOKUP(B99,'Standard Deviations'!$A1:$D651,4,FALSE)</f>
        <v>4.5421704084994108</v>
      </c>
      <c r="I99" s="32">
        <f ca="1">IF(Settings!$J$15="no",VLOOKUP(B99,'3B'!A1:I55,IF(Settings!$J$13="points",6,9),FALSE),VLOOKUP(B99,'1B+3B'!$A1:$I104,IF(Settings!$J$13="points",6,9),FALSE))</f>
        <v>4.3166866947508575</v>
      </c>
      <c r="J99" s="31"/>
      <c r="K99" s="31">
        <f ca="1">J99-A99</f>
        <v>-98</v>
      </c>
      <c r="L99" s="31"/>
      <c r="M99" s="31">
        <f>VLOOKUP($B99,Hitters!$A1:$R401,4,FALSE)</f>
        <v>540.75555555555559</v>
      </c>
      <c r="N99" s="31">
        <f>VLOOKUP($B99,Hitters!$A1:$R401,5,FALSE)</f>
        <v>86.171666666666667</v>
      </c>
      <c r="O99" s="31">
        <f>VLOOKUP($B99,Hitters!$A1:$R401,6,FALSE)</f>
        <v>23.136666666666667</v>
      </c>
      <c r="P99" s="31">
        <f>VLOOKUP($B99,Hitters!$A1:$R401,7,FALSE)</f>
        <v>86.8611111111111</v>
      </c>
      <c r="Q99" s="31">
        <f>VLOOKUP($B99,Hitters!$A1:$R401,8,FALSE)</f>
        <v>1.99</v>
      </c>
      <c r="R99" s="152">
        <f>VLOOKUP($B99,Hitters!$A$1:$R$401,14,FALSE)</f>
        <v>0.26270650119174815</v>
      </c>
      <c r="S99" s="152">
        <f>VLOOKUP($B99,Hitters!$A$1:$R$401,15,FALSE)</f>
        <v>0.36665294207005855</v>
      </c>
      <c r="T99" s="154">
        <f>VLOOKUP($B99,Hitters!$A$1:$R$401,9,FALSE)</f>
        <v>142.06</v>
      </c>
      <c r="U99" s="154">
        <f>VLOOKUP($B99,Hitters!$A$1:$R$401,10,FALSE)</f>
        <v>33.055</v>
      </c>
      <c r="V99" s="154">
        <f>VLOOKUP($B99,Hitters!$A$1:$R$401,11,FALSE)</f>
        <v>0.9966666666666667</v>
      </c>
      <c r="W99" s="154">
        <f>VLOOKUP($B99,Hitters!$A$1:$R$401,12,FALSE)</f>
        <v>81.492222222222225</v>
      </c>
      <c r="X99" s="154">
        <f>VLOOKUP($B99,Hitters!$A$1:$R$401,13,FALSE)</f>
        <v>83.955555555555563</v>
      </c>
      <c r="Y99" s="152">
        <f>VLOOKUP($B99,Hitters!$A$1:$R$401,16,FALSE)</f>
        <v>0.455877578696474</v>
      </c>
      <c r="Z99" s="152">
        <f>VLOOKUP($B99,Hitters!$A$1:$R$401,17,FALSE)</f>
        <v>0.82253052076653255</v>
      </c>
      <c r="AA99" s="31">
        <f>VLOOKUP($B99,Hitters!$A1:$R401,18,FALSE)</f>
        <v>0</v>
      </c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 spans="1:44" ht="18.600000000000001" customHeight="1">
      <c r="A100" s="25">
        <f ca="1">RANK(I100,I$2:I$651)</f>
        <v>99</v>
      </c>
      <c r="B100" s="26" t="s">
        <v>168</v>
      </c>
      <c r="C100" s="27" t="s">
        <v>84</v>
      </c>
      <c r="D100" s="27" t="s">
        <v>69</v>
      </c>
      <c r="E100" s="28" t="s">
        <v>23</v>
      </c>
      <c r="F100" s="29">
        <f ca="1">VLOOKUP(B100,OF!A1:I139,IF(Settings!$J$13="points",4,7),FALSE)</f>
        <v>25</v>
      </c>
      <c r="G100" s="30">
        <f>(M100*Settings!$B$2)+(N100*Settings!$B$3)+(O100*Settings!$B$4)+(P100*Settings!$B$5)+(Q100*Settings!$B$6)+((T100-U100-V100-O100)*Settings!$B$9)+(U100*Settings!$B$10)+(V100*Settings!$B$11)+(W100*Settings!$B$12)+(X100*Settings!$B$13)+(AA100*Settings!$B$16)</f>
        <v>395.9783333333333</v>
      </c>
      <c r="H100" s="31">
        <f>VLOOKUP(B100,'Standard Deviations'!$A1:$D651,4,FALSE)</f>
        <v>4.1224363439837415</v>
      </c>
      <c r="I100" s="32">
        <f ca="1">VLOOKUP(B100,OF!A1:I139,IF(Settings!$J$13="points",6,9),FALSE)</f>
        <v>4.2793701529827297</v>
      </c>
      <c r="J100" s="31"/>
      <c r="K100" s="31">
        <f ca="1">J100-A100</f>
        <v>-99</v>
      </c>
      <c r="L100" s="31"/>
      <c r="M100" s="31">
        <f>VLOOKUP($B100,Hitters!$A1:$R401,4,FALSE)</f>
        <v>522.01111111111106</v>
      </c>
      <c r="N100" s="31">
        <f>VLOOKUP($B100,Hitters!$A1:$R401,5,FALSE)</f>
        <v>82.798333333333332</v>
      </c>
      <c r="O100" s="31">
        <f>VLOOKUP($B100,Hitters!$A1:$R401,6,FALSE)</f>
        <v>21.784444444444443</v>
      </c>
      <c r="P100" s="31">
        <f>VLOOKUP($B100,Hitters!$A1:$R401,7,FALSE)</f>
        <v>69.053333333333327</v>
      </c>
      <c r="Q100" s="31">
        <f>VLOOKUP($B100,Hitters!$A1:$R401,8,FALSE)</f>
        <v>6.9766666666666666</v>
      </c>
      <c r="R100" s="152">
        <f>VLOOKUP($B100,Hitters!$A$1:$R$401,14,FALSE)</f>
        <v>0.26287435346203786</v>
      </c>
      <c r="S100" s="152">
        <f>VLOOKUP($B100,Hitters!$A$1:$R$401,15,FALSE)</f>
        <v>0.34880608719188771</v>
      </c>
      <c r="T100" s="154">
        <f>VLOOKUP($B100,Hitters!$A$1:$R$401,9,FALSE)</f>
        <v>137.22333333333333</v>
      </c>
      <c r="U100" s="154">
        <f>VLOOKUP($B100,Hitters!$A$1:$R$401,10,FALSE)</f>
        <v>28.463333333333335</v>
      </c>
      <c r="V100" s="154">
        <f>VLOOKUP($B100,Hitters!$A$1:$R$401,11,FALSE)</f>
        <v>2.0016666666666665</v>
      </c>
      <c r="W100" s="154">
        <f>VLOOKUP($B100,Hitters!$A$1:$R$401,12,FALSE)</f>
        <v>61.426666666666669</v>
      </c>
      <c r="X100" s="154">
        <f>VLOOKUP($B100,Hitters!$A$1:$R$401,13,FALSE)</f>
        <v>132.59333333333333</v>
      </c>
      <c r="Y100" s="152">
        <f>VLOOKUP($B100,Hitters!$A$1:$R$401,16,FALSE)</f>
        <v>0.45026500074498199</v>
      </c>
      <c r="Z100" s="152">
        <f>VLOOKUP($B100,Hitters!$A$1:$R$401,17,FALSE)</f>
        <v>0.79907108793686965</v>
      </c>
      <c r="AA100" s="31">
        <f>VLOOKUP($B100,Hitters!$A1:$R401,18,FALSE)</f>
        <v>0</v>
      </c>
      <c r="AB100" s="31"/>
      <c r="AC100" s="31"/>
      <c r="AD100" s="33"/>
      <c r="AE100" s="33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</row>
    <row r="101" spans="1:44" ht="18.600000000000001" customHeight="1">
      <c r="A101" s="25">
        <f ca="1">RANK(I101,I$2:I$651)</f>
        <v>100</v>
      </c>
      <c r="B101" s="26" t="s">
        <v>320</v>
      </c>
      <c r="C101" s="27" t="s">
        <v>158</v>
      </c>
      <c r="D101" s="27" t="s">
        <v>74</v>
      </c>
      <c r="E101" s="38" t="s">
        <v>27</v>
      </c>
      <c r="F101" s="39">
        <f ca="1">VLOOKUP(B101,SS!A1:I45,IF(Settings!$J$13="points",4,7),FALSE)</f>
        <v>14</v>
      </c>
      <c r="G101" s="30">
        <f>(M101*Settings!$B$2)+(N101*Settings!$B$3)+(O101*Settings!$B$4)+(P101*Settings!$B$5)+(Q101*Settings!$B$6)+((T101-U101-V101-O101)*Settings!$B$9)+(U101*Settings!$B$10)+(V101*Settings!$B$11)+(W101*Settings!$B$12)+(X101*Settings!$B$13)+(AA101*Settings!$B$16)</f>
        <v>377.74527777777786</v>
      </c>
      <c r="H101" s="31">
        <f>VLOOKUP(B101,'Standard Deviations'!$A1:$D651,4,FALSE)</f>
        <v>4.2445272309854047</v>
      </c>
      <c r="I101" s="32">
        <f ca="1">IF(Settings!$J$16="no",VLOOKUP(B101,SS!A1:I45,IF(Settings!$J$13="points",6,9),FALSE),VLOOKUP(B101,'2B+SS'!$A1:$I94,IF(Settings!$J$13="points",6,9),FALSE))</f>
        <v>4.2384851278739797</v>
      </c>
      <c r="J101" s="31"/>
      <c r="K101" s="31">
        <f ca="1">J101-A101</f>
        <v>-100</v>
      </c>
      <c r="L101" s="31"/>
      <c r="M101" s="31">
        <f>VLOOKUP($B101,Hitters!$A1:$R401,4,FALSE)</f>
        <v>524.61111111111109</v>
      </c>
      <c r="N101" s="31">
        <f>VLOOKUP($B101,Hitters!$A1:$R401,5,FALSE)</f>
        <v>70.143333333333331</v>
      </c>
      <c r="O101" s="31">
        <f>VLOOKUP($B101,Hitters!$A1:$R401,6,FALSE)</f>
        <v>9.6277777777777782</v>
      </c>
      <c r="P101" s="31">
        <f>VLOOKUP($B101,Hitters!$A1:$R401,7,FALSE)</f>
        <v>56.443333333333328</v>
      </c>
      <c r="Q101" s="31">
        <f>VLOOKUP($B101,Hitters!$A1:$R401,8,FALSE)</f>
        <v>20.823333333333334</v>
      </c>
      <c r="R101" s="152">
        <f>VLOOKUP($B101,Hitters!$A$1:$R$401,14,FALSE)</f>
        <v>0.27873345335168909</v>
      </c>
      <c r="S101" s="152">
        <f>VLOOKUP($B101,Hitters!$A$1:$R$401,15,FALSE)</f>
        <v>0.33415678532207127</v>
      </c>
      <c r="T101" s="154">
        <f>VLOOKUP($B101,Hitters!$A$1:$R$401,9,FALSE)</f>
        <v>146.22666666666666</v>
      </c>
      <c r="U101" s="154">
        <f>VLOOKUP($B101,Hitters!$A$1:$R$401,10,FALSE)</f>
        <v>26.253333333333334</v>
      </c>
      <c r="V101" s="154">
        <f>VLOOKUP($B101,Hitters!$A$1:$R$401,11,FALSE)</f>
        <v>3.99</v>
      </c>
      <c r="W101" s="154">
        <f>VLOOKUP($B101,Hitters!$A$1:$R$401,12,FALSE)</f>
        <v>35.817777777777778</v>
      </c>
      <c r="X101" s="154">
        <f>VLOOKUP($B101,Hitters!$A$1:$R$401,13,FALSE)</f>
        <v>71.298333333333332</v>
      </c>
      <c r="Y101" s="152">
        <f>VLOOKUP($B101,Hitters!$A$1:$R$401,16,FALSE)</f>
        <v>0.39904479508630736</v>
      </c>
      <c r="Z101" s="152">
        <f>VLOOKUP($B101,Hitters!$A$1:$R$401,17,FALSE)</f>
        <v>0.73320158040837868</v>
      </c>
      <c r="AA101" s="31">
        <f>VLOOKUP($B101,Hitters!$A1:$R401,18,FALSE)</f>
        <v>0</v>
      </c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</row>
    <row r="102" spans="1:44" ht="18.600000000000001" customHeight="1">
      <c r="A102" s="25">
        <f ca="1">RANK(I102,I$2:I$651)</f>
        <v>101</v>
      </c>
      <c r="B102" s="26" t="s">
        <v>164</v>
      </c>
      <c r="C102" s="27" t="s">
        <v>117</v>
      </c>
      <c r="D102" s="27" t="s">
        <v>69</v>
      </c>
      <c r="E102" s="46" t="s">
        <v>19</v>
      </c>
      <c r="F102" s="47">
        <f ca="1">VLOOKUP(B102,'C'!A1:I54,IF(Settings!$J$13="points",4,7),FALSE)</f>
        <v>3</v>
      </c>
      <c r="G102" s="30">
        <f>(M102*Settings!$B$2)+(N102*Settings!$B$3)+(O102*Settings!$B$4)+(P102*Settings!$B$5)+(Q102*Settings!$B$6)+((T102-U102-V102-O102)*Settings!$B$9)+(U102*Settings!$B$10)+(V102*Settings!$B$11)+(W102*Settings!$B$12)+(X102*Settings!$B$13)+(AA102*Settings!$B$16)</f>
        <v>345.50555555555559</v>
      </c>
      <c r="H102" s="31">
        <f>VLOOKUP(B102,'Standard Deviations'!$A1:$D651,4,FALSE)</f>
        <v>3.4429192132752755</v>
      </c>
      <c r="I102" s="32">
        <f ca="1">VLOOKUP(B102,'C'!A1:I54,IF(Settings!$J$13="points",6,9),FALSE)</f>
        <v>4.2294413764500867</v>
      </c>
      <c r="J102" s="31"/>
      <c r="K102" s="31">
        <f ca="1">J102-A102</f>
        <v>-101</v>
      </c>
      <c r="L102" s="31"/>
      <c r="M102" s="31">
        <f>VLOOKUP($B102,Hitters!$A1:$R401,4,FALSE)</f>
        <v>510.51111111111112</v>
      </c>
      <c r="N102" s="31">
        <f>VLOOKUP($B102,Hitters!$A1:$R401,5,FALSE)</f>
        <v>63.791666666666664</v>
      </c>
      <c r="O102" s="31">
        <f>VLOOKUP($B102,Hitters!$A1:$R401,6,FALSE)</f>
        <v>28.007777777777779</v>
      </c>
      <c r="P102" s="31">
        <f>VLOOKUP($B102,Hitters!$A1:$R401,7,FALSE)</f>
        <v>83.534444444444446</v>
      </c>
      <c r="Q102" s="31">
        <f>VLOOKUP($B102,Hitters!$A1:$R401,8,FALSE)</f>
        <v>0.99888888888888883</v>
      </c>
      <c r="R102" s="152">
        <f>VLOOKUP($B102,Hitters!$A$1:$R$401,14,FALSE)</f>
        <v>0.25514081748139122</v>
      </c>
      <c r="S102" s="152">
        <f>VLOOKUP($B102,Hitters!$A$1:$R$401,15,FALSE)</f>
        <v>0.29939222027599099</v>
      </c>
      <c r="T102" s="154">
        <f>VLOOKUP($B102,Hitters!$A$1:$R$401,9,FALSE)</f>
        <v>130.25222222222223</v>
      </c>
      <c r="U102" s="154">
        <f>VLOOKUP($B102,Hitters!$A$1:$R$401,10,FALSE)</f>
        <v>22.993333333333336</v>
      </c>
      <c r="V102" s="154">
        <f>VLOOKUP($B102,Hitters!$A$1:$R$401,11,FALSE)</f>
        <v>1</v>
      </c>
      <c r="W102" s="154">
        <f>VLOOKUP($B102,Hitters!$A$1:$R$401,12,FALSE)</f>
        <v>23.844999999999999</v>
      </c>
      <c r="X102" s="154">
        <f>VLOOKUP($B102,Hitters!$A$1:$R$401,13,FALSE)</f>
        <v>133.86444444444444</v>
      </c>
      <c r="Y102" s="152">
        <f>VLOOKUP($B102,Hitters!$A$1:$R$401,16,FALSE)</f>
        <v>0.46868497801767295</v>
      </c>
      <c r="Z102" s="152">
        <f>VLOOKUP($B102,Hitters!$A$1:$R$401,17,FALSE)</f>
        <v>0.76807719829366394</v>
      </c>
      <c r="AA102" s="31">
        <f>VLOOKUP($B102,Hitters!$A1:$R401,18,FALSE)</f>
        <v>0</v>
      </c>
      <c r="AB102" s="31"/>
      <c r="AC102" s="31"/>
      <c r="AD102" s="33"/>
      <c r="AE102" s="33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 spans="1:44" ht="18.600000000000001" customHeight="1">
      <c r="A103" s="25">
        <f ca="1">RANK(I103,I$2:I$651)</f>
        <v>102</v>
      </c>
      <c r="B103" s="26" t="s">
        <v>290</v>
      </c>
      <c r="C103" s="27" t="s">
        <v>156</v>
      </c>
      <c r="D103" s="27" t="s">
        <v>69</v>
      </c>
      <c r="E103" s="38" t="s">
        <v>27</v>
      </c>
      <c r="F103" s="39">
        <f ca="1">VLOOKUP(B103,SS!A1:I45,IF(Settings!$J$13="points",4,7),FALSE)</f>
        <v>15</v>
      </c>
      <c r="G103" s="30">
        <f>(M103*Settings!$B$2)+(N103*Settings!$B$3)+(O103*Settings!$B$4)+(P103*Settings!$B$5)+(Q103*Settings!$B$6)+((T103-U103-V103-O103)*Settings!$B$9)+(U103*Settings!$B$10)+(V103*Settings!$B$11)+(W103*Settings!$B$12)+(X103*Settings!$B$13)+(AA103*Settings!$B$16)</f>
        <v>412.41138888888889</v>
      </c>
      <c r="H103" s="31">
        <f>VLOOKUP(B103,'Standard Deviations'!$A1:$D651,4,FALSE)</f>
        <v>4.2290953140247201</v>
      </c>
      <c r="I103" s="32">
        <f ca="1">IF(Settings!$J$16="no",VLOOKUP(B103,SS!A1:I45,IF(Settings!$J$13="points",6,9),FALSE),VLOOKUP(B103,'2B+SS'!$A1:$I94,IF(Settings!$J$13="points",6,9),FALSE))</f>
        <v>4.2230512318012012</v>
      </c>
      <c r="J103" s="31"/>
      <c r="K103" s="31">
        <f ca="1">J103-A103</f>
        <v>-102</v>
      </c>
      <c r="L103" s="31"/>
      <c r="M103" s="31">
        <f>VLOOKUP($B103,Hitters!$A1:$R401,4,FALSE)</f>
        <v>545.05555555555554</v>
      </c>
      <c r="N103" s="31">
        <f>VLOOKUP($B103,Hitters!$A1:$R401,5,FALSE)</f>
        <v>81.337777777777774</v>
      </c>
      <c r="O103" s="31">
        <f>VLOOKUP($B103,Hitters!$A1:$R401,6,FALSE)</f>
        <v>22.959999999999997</v>
      </c>
      <c r="P103" s="31">
        <f>VLOOKUP($B103,Hitters!$A1:$R401,7,FALSE)</f>
        <v>76.743333333333325</v>
      </c>
      <c r="Q103" s="31">
        <f>VLOOKUP($B103,Hitters!$A1:$R401,8,FALSE)</f>
        <v>0.99222222222222223</v>
      </c>
      <c r="R103" s="152">
        <f>VLOOKUP($B103,Hitters!$A$1:$R$401,14,FALSE)</f>
        <v>0.27296503924166754</v>
      </c>
      <c r="S103" s="152">
        <f>VLOOKUP($B103,Hitters!$A$1:$R$401,15,FALSE)</f>
        <v>0.3569882897920062</v>
      </c>
      <c r="T103" s="154">
        <f>VLOOKUP($B103,Hitters!$A$1:$R$401,9,FALSE)</f>
        <v>148.78111111111113</v>
      </c>
      <c r="U103" s="154">
        <f>VLOOKUP($B103,Hitters!$A$1:$R$401,10,FALSE)</f>
        <v>29.599999999999998</v>
      </c>
      <c r="V103" s="154">
        <f>VLOOKUP($B103,Hitters!$A$1:$R$401,11,FALSE)</f>
        <v>1.0049999999999999</v>
      </c>
      <c r="W103" s="154">
        <f>VLOOKUP($B103,Hitters!$A$1:$R$401,12,FALSE)</f>
        <v>63.648888888888884</v>
      </c>
      <c r="X103" s="154">
        <f>VLOOKUP($B103,Hitters!$A$1:$R$401,13,FALSE)</f>
        <v>121.14833333333333</v>
      </c>
      <c r="Y103" s="152">
        <f>VLOOKUP($B103,Hitters!$A$1:$R$401,16,FALSE)</f>
        <v>0.45733156660890839</v>
      </c>
      <c r="Z103" s="152">
        <f>VLOOKUP($B103,Hitters!$A$1:$R$401,17,FALSE)</f>
        <v>0.81431985640091464</v>
      </c>
      <c r="AA103" s="31">
        <f>VLOOKUP($B103,Hitters!$A1:$R401,18,FALSE)</f>
        <v>0</v>
      </c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 spans="1:44" ht="18.600000000000001" customHeight="1">
      <c r="A104" s="25">
        <f ca="1">RANK(I104,I$2:I$651)</f>
        <v>103</v>
      </c>
      <c r="B104" s="26" t="s">
        <v>159</v>
      </c>
      <c r="C104" s="27" t="s">
        <v>81</v>
      </c>
      <c r="D104" s="27" t="s">
        <v>74</v>
      </c>
      <c r="E104" s="46" t="s">
        <v>19</v>
      </c>
      <c r="F104" s="47">
        <f ca="1">VLOOKUP(B104,'C'!A1:I54,IF(Settings!$J$13="points",4,7),FALSE)</f>
        <v>4</v>
      </c>
      <c r="G104" s="30">
        <f>(M104*Settings!$B$2)+(N104*Settings!$B$3)+(O104*Settings!$B$4)+(P104*Settings!$B$5)+(Q104*Settings!$B$6)+((T104-U104-V104-O104)*Settings!$B$9)+(U104*Settings!$B$10)+(V104*Settings!$B$11)+(W104*Settings!$B$12)+(X104*Settings!$B$13)+(AA104*Settings!$B$16)</f>
        <v>380.85777777777776</v>
      </c>
      <c r="H104" s="31">
        <f>VLOOKUP(B104,'Standard Deviations'!$A1:$D651,4,FALSE)</f>
        <v>3.4196863433302758</v>
      </c>
      <c r="I104" s="32">
        <f ca="1">VLOOKUP(B104,'C'!A1:I54,IF(Settings!$J$13="points",6,9),FALSE)</f>
        <v>4.2062105713054505</v>
      </c>
      <c r="J104" s="31"/>
      <c r="K104" s="31">
        <f ca="1">J104-A104</f>
        <v>-103</v>
      </c>
      <c r="L104" s="31"/>
      <c r="M104" s="31">
        <f>VLOOKUP($B104,Hitters!$A1:$R401,4,FALSE)</f>
        <v>459.61666666666662</v>
      </c>
      <c r="N104" s="31">
        <f>VLOOKUP($B104,Hitters!$A1:$R401,5,FALSE)</f>
        <v>70.983333333333334</v>
      </c>
      <c r="O104" s="31">
        <f>VLOOKUP($B104,Hitters!$A1:$R401,6,FALSE)</f>
        <v>24.026666666666667</v>
      </c>
      <c r="P104" s="31">
        <f>VLOOKUP($B104,Hitters!$A1:$R401,7,FALSE)</f>
        <v>79.137777777777771</v>
      </c>
      <c r="Q104" s="31">
        <f>VLOOKUP($B104,Hitters!$A1:$R401,8,FALSE)</f>
        <v>1.9944444444444445</v>
      </c>
      <c r="R104" s="152">
        <f>VLOOKUP($B104,Hitters!$A$1:$R$401,14,FALSE)</f>
        <v>0.25911085324727129</v>
      </c>
      <c r="S104" s="152">
        <f>VLOOKUP($B104,Hitters!$A$1:$R$401,15,FALSE)</f>
        <v>0.34682462836577449</v>
      </c>
      <c r="T104" s="154">
        <f>VLOOKUP($B104,Hitters!$A$1:$R$401,9,FALSE)</f>
        <v>119.09166666666665</v>
      </c>
      <c r="U104" s="154">
        <f>VLOOKUP($B104,Hitters!$A$1:$R$401,10,FALSE)</f>
        <v>24.763333333333332</v>
      </c>
      <c r="V104" s="154">
        <f>VLOOKUP($B104,Hitters!$A$1:$R$401,11,FALSE)</f>
        <v>2</v>
      </c>
      <c r="W104" s="154">
        <f>VLOOKUP($B104,Hitters!$A$1:$R$401,12,FALSE)</f>
        <v>55.111666666666672</v>
      </c>
      <c r="X104" s="154">
        <f>VLOOKUP($B104,Hitters!$A$1:$R$401,13,FALSE)</f>
        <v>96.597777777777779</v>
      </c>
      <c r="Y104" s="152">
        <f>VLOOKUP($B104,Hitters!$A$1:$R$401,16,FALSE)</f>
        <v>0.47851833049280201</v>
      </c>
      <c r="Z104" s="152">
        <f>VLOOKUP($B104,Hitters!$A$1:$R$401,17,FALSE)</f>
        <v>0.82534295885857656</v>
      </c>
      <c r="AA104" s="31">
        <f>VLOOKUP($B104,Hitters!$A1:$R401,18,FALSE)</f>
        <v>0</v>
      </c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 spans="1:44" ht="18.600000000000001" customHeight="1">
      <c r="A105" s="25">
        <f ca="1">RANK(I105,I$2:I$651)</f>
        <v>104</v>
      </c>
      <c r="B105" s="26" t="s">
        <v>175</v>
      </c>
      <c r="C105" s="27" t="s">
        <v>176</v>
      </c>
      <c r="D105" s="27" t="s">
        <v>74</v>
      </c>
      <c r="E105" s="28" t="s">
        <v>23</v>
      </c>
      <c r="F105" s="29">
        <f ca="1">VLOOKUP(B105,OF!A1:I139,IF(Settings!$J$13="points",4,7),FALSE)</f>
        <v>26</v>
      </c>
      <c r="G105" s="30">
        <f>(M105*Settings!$B$2)+(N105*Settings!$B$3)+(O105*Settings!$B$4)+(P105*Settings!$B$5)+(Q105*Settings!$B$6)+((T105-U105-V105-O105)*Settings!$B$9)+(U105*Settings!$B$10)+(V105*Settings!$B$11)+(W105*Settings!$B$12)+(X105*Settings!$B$13)+(AA105*Settings!$B$16)</f>
        <v>381.72999999999996</v>
      </c>
      <c r="H105" s="31">
        <f>VLOOKUP(B105,'Standard Deviations'!$A1:$D651,4,FALSE)</f>
        <v>4.0481356077361843</v>
      </c>
      <c r="I105" s="32">
        <f ca="1">VLOOKUP(B105,OF!A1:I139,IF(Settings!$J$13="points",6,9),FALSE)</f>
        <v>4.2050645132859001</v>
      </c>
      <c r="J105" s="31"/>
      <c r="K105" s="31">
        <f ca="1">J105-A105</f>
        <v>-104</v>
      </c>
      <c r="L105" s="31"/>
      <c r="M105" s="31">
        <f>VLOOKUP($B105,Hitters!$A1:$R401,4,FALSE)</f>
        <v>486.43333333333334</v>
      </c>
      <c r="N105" s="31">
        <f>VLOOKUP($B105,Hitters!$A1:$R401,5,FALSE)</f>
        <v>78.214999999999989</v>
      </c>
      <c r="O105" s="31">
        <f>VLOOKUP($B105,Hitters!$A1:$R401,6,FALSE)</f>
        <v>19.826666666666668</v>
      </c>
      <c r="P105" s="31">
        <f>VLOOKUP($B105,Hitters!$A1:$R401,7,FALSE)</f>
        <v>67.134444444444441</v>
      </c>
      <c r="Q105" s="31">
        <f>VLOOKUP($B105,Hitters!$A1:$R401,8,FALSE)</f>
        <v>5.8444444444444441</v>
      </c>
      <c r="R105" s="152">
        <f>VLOOKUP($B105,Hitters!$A$1:$R$401,14,FALSE)</f>
        <v>0.27493775554489591</v>
      </c>
      <c r="S105" s="152">
        <f>VLOOKUP($B105,Hitters!$A$1:$R$401,15,FALSE)</f>
        <v>0.35546823631838065</v>
      </c>
      <c r="T105" s="154">
        <f>VLOOKUP($B105,Hitters!$A$1:$R$401,9,FALSE)</f>
        <v>133.73888888888888</v>
      </c>
      <c r="U105" s="154">
        <f>VLOOKUP($B105,Hitters!$A$1:$R$401,10,FALSE)</f>
        <v>30.492222222222221</v>
      </c>
      <c r="V105" s="154">
        <f>VLOOKUP($B105,Hitters!$A$1:$R$401,11,FALSE)</f>
        <v>1.9977777777777777</v>
      </c>
      <c r="W105" s="154">
        <f>VLOOKUP($B105,Hitters!$A$1:$R$401,12,FALSE)</f>
        <v>53.981666666666662</v>
      </c>
      <c r="X105" s="154">
        <f>VLOOKUP($B105,Hitters!$A$1:$R$401,13,FALSE)</f>
        <v>113.99333333333334</v>
      </c>
      <c r="Y105" s="152">
        <f>VLOOKUP($B105,Hitters!$A$1:$R$401,16,FALSE)</f>
        <v>0.4681148495854176</v>
      </c>
      <c r="Z105" s="152">
        <f>VLOOKUP($B105,Hitters!$A$1:$R$401,17,FALSE)</f>
        <v>0.82358308590379825</v>
      </c>
      <c r="AA105" s="31">
        <f>VLOOKUP($B105,Hitters!$A1:$R401,18,FALSE)</f>
        <v>0</v>
      </c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 spans="1:44" ht="20.100000000000001" customHeight="1">
      <c r="A106" s="25">
        <f ca="1">RANK(I106,I$2:I$651)</f>
        <v>105</v>
      </c>
      <c r="B106" s="26" t="s">
        <v>171</v>
      </c>
      <c r="C106" s="27" t="s">
        <v>63</v>
      </c>
      <c r="D106" s="27" t="s">
        <v>74</v>
      </c>
      <c r="E106" s="36" t="s">
        <v>31</v>
      </c>
      <c r="F106" s="37">
        <f ca="1">VLOOKUP(B106,SP!A1:I161,IF(Settings!$J$13="points",4,7),FALSE)</f>
        <v>31</v>
      </c>
      <c r="G106" s="30">
        <f>(AC106*Settings!$F$2)+(AF106*Settings!$F$5)+(AG106*Settings!$F$6)+(AH106*Settings!$F$7)+(AI106*Settings!$F$8)+(AJ106*Settings!$F$9)+(AK106*Settings!$F$10)+(AL106*Settings!$F$11)+(AM106*Settings!$F$12)+(AN106*Settings!$F$13)+(AO106*Settings!$F$14)+(AP106*Settings!$F$15)+(AQ106*Settings!$F$16)+(AR106*Settings!$F$17)</f>
        <v>411.52083333333326</v>
      </c>
      <c r="H106" s="31">
        <f>VLOOKUP(B106,'Standard Deviations'!$A1:$D651,4,FALSE)</f>
        <v>3.2878944226296034</v>
      </c>
      <c r="I106" s="32">
        <f ca="1">IF(Settings!$J$16="no",VLOOKUP(B106,SP!A1:I161,IF(Settings!$J$13="points",6,9),FALSE),VLOOKUP(B106,'SP+RP'!$A1:$I251,IF(Settings!$J$13="points",6,9),FALSE))</f>
        <v>4.1554709877043816</v>
      </c>
      <c r="J106" s="31"/>
      <c r="K106" s="31">
        <f ca="1">J106-A106</f>
        <v>-105</v>
      </c>
      <c r="L106" s="31"/>
      <c r="M106" s="31"/>
      <c r="N106" s="31"/>
      <c r="O106" s="31"/>
      <c r="P106" s="31"/>
      <c r="Q106" s="31"/>
      <c r="R106" s="152"/>
      <c r="S106" s="152"/>
      <c r="T106" s="154"/>
      <c r="U106" s="154"/>
      <c r="V106" s="154"/>
      <c r="W106" s="154"/>
      <c r="X106" s="154"/>
      <c r="Y106" s="152"/>
      <c r="Z106" s="152"/>
      <c r="AA106" s="31"/>
      <c r="AB106" s="31"/>
      <c r="AC106" s="31">
        <f>VLOOKUP($B106,Pitchers!$A1:$S251,4,FALSE)</f>
        <v>164.13716666666667</v>
      </c>
      <c r="AD106" s="33">
        <f>VLOOKUP($B106,Pitchers!$A1:$S251,5,FALSE)</f>
        <v>3.4929748797499651</v>
      </c>
      <c r="AE106" s="33">
        <f>VLOOKUP($B106,Pitchers!$A1:$S251,6,FALSE)</f>
        <v>1.1392300951541545</v>
      </c>
      <c r="AF106" s="31">
        <f>VLOOKUP($B106,Pitchers!$A1:$S251,7,FALSE)</f>
        <v>162.97266666666664</v>
      </c>
      <c r="AG106" s="31">
        <f>VLOOKUP($B106,Pitchers!$A1:$S251,8,FALSE)</f>
        <v>10.809666666666667</v>
      </c>
      <c r="AH106" s="31">
        <f>VLOOKUP($B106,Pitchers!$A1:$S251,9,FALSE)</f>
        <v>0</v>
      </c>
      <c r="AI106" s="31">
        <f>VLOOKUP($B106,Pitchers!$A1:$S251,10,FALSE)</f>
        <v>63.703000000000003</v>
      </c>
      <c r="AJ106" s="31">
        <f>VLOOKUP($B106,Pitchers!$A1:$S251,11,FALSE)</f>
        <v>143.48466666666667</v>
      </c>
      <c r="AK106" s="31">
        <f>VLOOKUP($B106,Pitchers!$A1:$S251,12,FALSE)</f>
        <v>43.505333333333333</v>
      </c>
      <c r="AL106" s="31">
        <f>VLOOKUP($B106,Pitchers!$A1:$S251,13,FALSE)</f>
        <v>19.12</v>
      </c>
      <c r="AM106" s="31">
        <f>VLOOKUP($B106,Pitchers!$A1:$S251,14,FALSE)</f>
        <v>27.661333333333335</v>
      </c>
      <c r="AN106" s="31">
        <f>VLOOKUP($B106,Pitchers!$A1:$S251,15,FALSE)</f>
        <v>27.65133333333333</v>
      </c>
      <c r="AO106" s="31">
        <f>VLOOKUP($B106,Pitchers!$A1:$S251,16,FALSE)</f>
        <v>7.1903333333333341</v>
      </c>
      <c r="AP106" s="31">
        <f>VLOOKUP($B106,Pitchers!$A1:$S251,17,FALSE)</f>
        <v>16.2</v>
      </c>
      <c r="AQ106" s="31">
        <f>VLOOKUP($B106,Pitchers!$A1:$S251,18,FALSE)</f>
        <v>0</v>
      </c>
      <c r="AR106" s="31">
        <f>VLOOKUP($B106,Pitchers!$A1:$S251,19,FALSE)</f>
        <v>0</v>
      </c>
    </row>
    <row r="107" spans="1:44" ht="18.600000000000001" customHeight="1">
      <c r="A107" s="25">
        <f ca="1">RANK(I107,I$2:I$651)</f>
        <v>106</v>
      </c>
      <c r="B107" s="26" t="s">
        <v>170</v>
      </c>
      <c r="C107" s="27" t="s">
        <v>68</v>
      </c>
      <c r="D107" s="27" t="s">
        <v>69</v>
      </c>
      <c r="E107" s="36" t="s">
        <v>31</v>
      </c>
      <c r="F107" s="37">
        <f ca="1">VLOOKUP(B107,SP!A1:I161,IF(Settings!$J$13="points",4,7),FALSE)</f>
        <v>32</v>
      </c>
      <c r="G107" s="30">
        <f>(AC107*Settings!$F$2)+(AF107*Settings!$F$5)+(AG107*Settings!$F$6)+(AH107*Settings!$F$7)+(AI107*Settings!$F$8)+(AJ107*Settings!$F$9)+(AK107*Settings!$F$10)+(AL107*Settings!$F$11)+(AM107*Settings!$F$12)+(AN107*Settings!$F$13)+(AO107*Settings!$F$14)+(AP107*Settings!$F$15)+(AQ107*Settings!$F$16)+(AR107*Settings!$F$17)</f>
        <v>413.51116666666667</v>
      </c>
      <c r="H107" s="31">
        <f>VLOOKUP(B107,'Standard Deviations'!$A1:$D651,4,FALSE)</f>
        <v>3.2613051484051434</v>
      </c>
      <c r="I107" s="32">
        <f ca="1">IF(Settings!$J$16="no",VLOOKUP(B107,SP!A1:I161,IF(Settings!$J$13="points",6,9),FALSE),VLOOKUP(B107,'SP+RP'!$A1:$I251,IF(Settings!$J$13="points",6,9),FALSE))</f>
        <v>4.1288896686494549</v>
      </c>
      <c r="J107" s="31"/>
      <c r="K107" s="31">
        <f ca="1">J107-A107</f>
        <v>-106</v>
      </c>
      <c r="L107" s="31"/>
      <c r="M107" s="31"/>
      <c r="N107" s="31"/>
      <c r="O107" s="31"/>
      <c r="P107" s="31"/>
      <c r="Q107" s="31"/>
      <c r="R107" s="152"/>
      <c r="S107" s="152"/>
      <c r="T107" s="154"/>
      <c r="U107" s="154"/>
      <c r="V107" s="154"/>
      <c r="W107" s="154"/>
      <c r="X107" s="154"/>
      <c r="Y107" s="152"/>
      <c r="Z107" s="152"/>
      <c r="AA107" s="31"/>
      <c r="AB107" s="31"/>
      <c r="AC107" s="31">
        <f>VLOOKUP($B107,Pitchers!$A1:$S251,4,FALSE)</f>
        <v>161.17855555555556</v>
      </c>
      <c r="AD107" s="33">
        <f>VLOOKUP($B107,Pitchers!$A1:$S251,5,FALSE)</f>
        <v>3.5991202303587388</v>
      </c>
      <c r="AE107" s="33">
        <f>VLOOKUP($B107,Pitchers!$A1:$S251,6,FALSE)</f>
        <v>1.1307583652912196</v>
      </c>
      <c r="AF107" s="31">
        <f>VLOOKUP($B107,Pitchers!$A1:$S251,7,FALSE)</f>
        <v>165.36011111111111</v>
      </c>
      <c r="AG107" s="31">
        <f>VLOOKUP($B107,Pitchers!$A1:$S251,8,FALSE)</f>
        <v>11.052</v>
      </c>
      <c r="AH107" s="31">
        <f>VLOOKUP($B107,Pitchers!$A1:$S251,9,FALSE)</f>
        <v>0</v>
      </c>
      <c r="AI107" s="31">
        <f>VLOOKUP($B107,Pitchers!$A1:$S251,10,FALSE)</f>
        <v>64.455666666666659</v>
      </c>
      <c r="AJ107" s="31">
        <f>VLOOKUP($B107,Pitchers!$A1:$S251,11,FALSE)</f>
        <v>137.75055555555556</v>
      </c>
      <c r="AK107" s="31">
        <f>VLOOKUP($B107,Pitchers!$A1:$S251,12,FALSE)</f>
        <v>44.503444444444447</v>
      </c>
      <c r="AL107" s="31">
        <f>VLOOKUP($B107,Pitchers!$A1:$S251,13,FALSE)</f>
        <v>22.86</v>
      </c>
      <c r="AM107" s="31">
        <f>VLOOKUP($B107,Pitchers!$A1:$S251,14,FALSE)</f>
        <v>28.334888888888887</v>
      </c>
      <c r="AN107" s="31">
        <f>VLOOKUP($B107,Pitchers!$A1:$S251,15,FALSE)</f>
        <v>28.334888888888887</v>
      </c>
      <c r="AO107" s="31">
        <f>VLOOKUP($B107,Pitchers!$A1:$S251,16,FALSE)</f>
        <v>7.5917777777777777</v>
      </c>
      <c r="AP107" s="31">
        <f>VLOOKUP($B107,Pitchers!$A1:$S251,17,FALSE)</f>
        <v>18.2</v>
      </c>
      <c r="AQ107" s="31">
        <f>VLOOKUP($B107,Pitchers!$A1:$S251,18,FALSE)</f>
        <v>0</v>
      </c>
      <c r="AR107" s="31">
        <f>VLOOKUP($B107,Pitchers!$A1:$S251,19,FALSE)</f>
        <v>0</v>
      </c>
    </row>
    <row r="108" spans="1:44" ht="18.600000000000001" customHeight="1">
      <c r="A108" s="25">
        <f ca="1">RANK(I108,I$2:I$651)</f>
        <v>107</v>
      </c>
      <c r="B108" s="26" t="s">
        <v>193</v>
      </c>
      <c r="C108" s="27" t="s">
        <v>101</v>
      </c>
      <c r="D108" s="27" t="s">
        <v>69</v>
      </c>
      <c r="E108" s="36" t="s">
        <v>31</v>
      </c>
      <c r="F108" s="37">
        <f ca="1">VLOOKUP(B108,SP!A1:I161,IF(Settings!$J$13="points",4,7),FALSE)</f>
        <v>33</v>
      </c>
      <c r="G108" s="30">
        <f>(AC108*Settings!$F$2)+(AF108*Settings!$F$5)+(AG108*Settings!$F$6)+(AH108*Settings!$F$7)+(AI108*Settings!$F$8)+(AJ108*Settings!$F$9)+(AK108*Settings!$F$10)+(AL108*Settings!$F$11)+(AM108*Settings!$F$12)+(AN108*Settings!$F$13)+(AO108*Settings!$F$14)+(AP108*Settings!$F$15)+(AQ108*Settings!$F$16)+(AR108*Settings!$F$17)</f>
        <v>406.80829444444436</v>
      </c>
      <c r="H108" s="31">
        <f>VLOOKUP(B108,'Standard Deviations'!$A1:$D651,4,FALSE)</f>
        <v>3.1989412269541502</v>
      </c>
      <c r="I108" s="32">
        <f ca="1">IF(Settings!$J$16="no",VLOOKUP(B108,SP!A1:I161,IF(Settings!$J$13="points",6,9),FALSE),VLOOKUP(B108,'SP+RP'!$A1:$I251,IF(Settings!$J$13="points",6,9),FALSE))</f>
        <v>4.0665175280580383</v>
      </c>
      <c r="J108" s="31"/>
      <c r="K108" s="31">
        <f ca="1">J108-A108</f>
        <v>-107</v>
      </c>
      <c r="L108" s="31"/>
      <c r="M108" s="31"/>
      <c r="N108" s="31"/>
      <c r="O108" s="31"/>
      <c r="P108" s="31"/>
      <c r="Q108" s="31"/>
      <c r="R108" s="152"/>
      <c r="S108" s="152"/>
      <c r="T108" s="154"/>
      <c r="U108" s="154"/>
      <c r="V108" s="154"/>
      <c r="W108" s="154"/>
      <c r="X108" s="154"/>
      <c r="Y108" s="152"/>
      <c r="Z108" s="152"/>
      <c r="AA108" s="31"/>
      <c r="AB108" s="31"/>
      <c r="AC108" s="31">
        <f>VLOOKUP($B108,Pitchers!$A1:$S251,4,FALSE)</f>
        <v>158.47243333333333</v>
      </c>
      <c r="AD108" s="33">
        <f>VLOOKUP($B108,Pitchers!$A1:$S251,5,FALSE)</f>
        <v>3.4825350276483422</v>
      </c>
      <c r="AE108" s="33">
        <f>VLOOKUP($B108,Pitchers!$A1:$S251,6,FALSE)</f>
        <v>1.1399376225195563</v>
      </c>
      <c r="AF108" s="31">
        <f>VLOOKUP($B108,Pitchers!$A1:$S251,7,FALSE)</f>
        <v>162.87710000000001</v>
      </c>
      <c r="AG108" s="31">
        <f>VLOOKUP($B108,Pitchers!$A1:$S251,8,FALSE)</f>
        <v>10.454466666666667</v>
      </c>
      <c r="AH108" s="31">
        <f>VLOOKUP($B108,Pitchers!$A1:$S251,9,FALSE)</f>
        <v>0</v>
      </c>
      <c r="AI108" s="31">
        <f>VLOOKUP($B108,Pitchers!$A1:$S251,10,FALSE)</f>
        <v>61.32064444444444</v>
      </c>
      <c r="AJ108" s="31">
        <f>VLOOKUP($B108,Pitchers!$A1:$S251,11,FALSE)</f>
        <v>137.74322222222222</v>
      </c>
      <c r="AK108" s="31">
        <f>VLOOKUP($B108,Pitchers!$A1:$S251,12,FALSE)</f>
        <v>42.905466666666662</v>
      </c>
      <c r="AL108" s="31">
        <f>VLOOKUP($B108,Pitchers!$A1:$S251,13,FALSE)</f>
        <v>20.839333333333332</v>
      </c>
      <c r="AM108" s="31">
        <f>VLOOKUP($B108,Pitchers!$A1:$S251,14,FALSE)</f>
        <v>30.930966666666666</v>
      </c>
      <c r="AN108" s="31">
        <f>VLOOKUP($B108,Pitchers!$A1:$S251,15,FALSE)</f>
        <v>27.98</v>
      </c>
      <c r="AO108" s="31">
        <f>VLOOKUP($B108,Pitchers!$A1:$S251,16,FALSE)</f>
        <v>8.3929777777777783</v>
      </c>
      <c r="AP108" s="31">
        <f>VLOOKUP($B108,Pitchers!$A1:$S251,17,FALSE)</f>
        <v>20.235133333333334</v>
      </c>
      <c r="AQ108" s="31">
        <f>VLOOKUP($B108,Pitchers!$A1:$S251,18,FALSE)</f>
        <v>0</v>
      </c>
      <c r="AR108" s="31">
        <f>VLOOKUP($B108,Pitchers!$A1:$S251,19,FALSE)</f>
        <v>0</v>
      </c>
    </row>
    <row r="109" spans="1:44" ht="18.600000000000001" customHeight="1">
      <c r="A109" s="25">
        <f ca="1">RANK(I109,I$2:I$651)</f>
        <v>108</v>
      </c>
      <c r="B109" s="26" t="s">
        <v>166</v>
      </c>
      <c r="C109" s="27" t="s">
        <v>99</v>
      </c>
      <c r="D109" s="27" t="s">
        <v>69</v>
      </c>
      <c r="E109" s="28" t="s">
        <v>23</v>
      </c>
      <c r="F109" s="29">
        <f ca="1">VLOOKUP(B109,OF!A1:I139,IF(Settings!$J$13="points",4,7),FALSE)</f>
        <v>27</v>
      </c>
      <c r="G109" s="30">
        <f>(M109*Settings!$B$2)+(N109*Settings!$B$3)+(O109*Settings!$B$4)+(P109*Settings!$B$5)+(Q109*Settings!$B$6)+((T109-U109-V109-O109)*Settings!$B$9)+(U109*Settings!$B$10)+(V109*Settings!$B$11)+(W109*Settings!$B$12)+(X109*Settings!$B$13)+(AA109*Settings!$B$16)</f>
        <v>405.94111111111107</v>
      </c>
      <c r="H109" s="31">
        <f>VLOOKUP(B109,'Standard Deviations'!$A1:$D651,4,FALSE)</f>
        <v>3.9080368983004572</v>
      </c>
      <c r="I109" s="32">
        <f ca="1">VLOOKUP(B109,OF!A1:I139,IF(Settings!$J$13="points",6,9),FALSE)</f>
        <v>4.0649709674431369</v>
      </c>
      <c r="J109" s="31"/>
      <c r="K109" s="31">
        <f ca="1">J109-A109</f>
        <v>-108</v>
      </c>
      <c r="L109" s="31"/>
      <c r="M109" s="31">
        <f>VLOOKUP($B109,Hitters!$A1:$R401,4,FALSE)</f>
        <v>562.93333333333328</v>
      </c>
      <c r="N109" s="31">
        <f>VLOOKUP($B109,Hitters!$A1:$R401,5,FALSE)</f>
        <v>75.468888888888884</v>
      </c>
      <c r="O109" s="31">
        <f>VLOOKUP($B109,Hitters!$A1:$R401,6,FALSE)</f>
        <v>28.612222222222226</v>
      </c>
      <c r="P109" s="31">
        <f>VLOOKUP($B109,Hitters!$A1:$R401,7,FALSE)</f>
        <v>87.884444444444441</v>
      </c>
      <c r="Q109" s="31">
        <f>VLOOKUP($B109,Hitters!$A1:$R401,8,FALSE)</f>
        <v>1.6422222222222222</v>
      </c>
      <c r="R109" s="152">
        <f>VLOOKUP($B109,Hitters!$A$1:$R$401,14,FALSE)</f>
        <v>0.24681430601610613</v>
      </c>
      <c r="S109" s="152">
        <f>VLOOKUP($B109,Hitters!$A$1:$R$401,15,FALSE)</f>
        <v>0.31262288635469915</v>
      </c>
      <c r="T109" s="154">
        <f>VLOOKUP($B109,Hitters!$A$1:$R$401,9,FALSE)</f>
        <v>138.94</v>
      </c>
      <c r="U109" s="154">
        <f>VLOOKUP($B109,Hitters!$A$1:$R$401,10,FALSE)</f>
        <v>28.935555555555556</v>
      </c>
      <c r="V109" s="154">
        <f>VLOOKUP($B109,Hitters!$A$1:$R$401,11,FALSE)</f>
        <v>0.9966666666666667</v>
      </c>
      <c r="W109" s="154">
        <f>VLOOKUP($B109,Hitters!$A$1:$R$401,12,FALSE)</f>
        <v>44.941666666666663</v>
      </c>
      <c r="X109" s="154">
        <f>VLOOKUP($B109,Hitters!$A$1:$R$401,13,FALSE)</f>
        <v>122.68777777777778</v>
      </c>
      <c r="Y109" s="152">
        <f>VLOOKUP($B109,Hitters!$A$1:$R$401,16,FALSE)</f>
        <v>0.45423772303805471</v>
      </c>
      <c r="Z109" s="152">
        <f>VLOOKUP($B109,Hitters!$A$1:$R$401,17,FALSE)</f>
        <v>0.76686060939275391</v>
      </c>
      <c r="AA109" s="31">
        <f>VLOOKUP($B109,Hitters!$A1:$R401,18,FALSE)</f>
        <v>0</v>
      </c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 spans="1:44" ht="18.600000000000001" customHeight="1">
      <c r="A110" s="25">
        <f ca="1">RANK(I110,I$2:I$651)</f>
        <v>109</v>
      </c>
      <c r="B110" s="26" t="s">
        <v>178</v>
      </c>
      <c r="C110" s="27" t="s">
        <v>120</v>
      </c>
      <c r="D110" s="27" t="s">
        <v>74</v>
      </c>
      <c r="E110" s="28" t="s">
        <v>23</v>
      </c>
      <c r="F110" s="29">
        <f ca="1">VLOOKUP(B110,OF!A1:I139,IF(Settings!$J$13="points",4,7),FALSE)</f>
        <v>28</v>
      </c>
      <c r="G110" s="30">
        <f>(M110*Settings!$B$2)+(N110*Settings!$B$3)+(O110*Settings!$B$4)+(P110*Settings!$B$5)+(Q110*Settings!$B$6)+((T110-U110-V110-O110)*Settings!$B$9)+(U110*Settings!$B$10)+(V110*Settings!$B$11)+(W110*Settings!$B$12)+(X110*Settings!$B$13)+(AA110*Settings!$B$16)</f>
        <v>367.32833333333326</v>
      </c>
      <c r="H110" s="31">
        <f>VLOOKUP(B110,'Standard Deviations'!$A1:$D651,4,FALSE)</f>
        <v>3.7859885360649921</v>
      </c>
      <c r="I110" s="32">
        <f ca="1">VLOOKUP(B110,OF!A1:I139,IF(Settings!$J$13="points",6,9),FALSE)</f>
        <v>3.9429212917269938</v>
      </c>
      <c r="J110" s="31"/>
      <c r="K110" s="31">
        <f ca="1">J110-A110</f>
        <v>-109</v>
      </c>
      <c r="L110" s="31"/>
      <c r="M110" s="31">
        <f>VLOOKUP($B110,Hitters!$A1:$R401,4,FALSE)</f>
        <v>500.5333333333333</v>
      </c>
      <c r="N110" s="31">
        <f>VLOOKUP($B110,Hitters!$A1:$R401,5,FALSE)</f>
        <v>75.551666666666662</v>
      </c>
      <c r="O110" s="31">
        <f>VLOOKUP($B110,Hitters!$A1:$R401,6,FALSE)</f>
        <v>16.100000000000001</v>
      </c>
      <c r="P110" s="31">
        <f>VLOOKUP($B110,Hitters!$A1:$R401,7,FALSE)</f>
        <v>60.418333333333329</v>
      </c>
      <c r="Q110" s="31">
        <f>VLOOKUP($B110,Hitters!$A1:$R401,8,FALSE)</f>
        <v>20.036666666666665</v>
      </c>
      <c r="R110" s="152">
        <f>VLOOKUP($B110,Hitters!$A$1:$R$401,14,FALSE)</f>
        <v>0.24833177943526905</v>
      </c>
      <c r="S110" s="152">
        <f>VLOOKUP($B110,Hitters!$A$1:$R$401,15,FALSE)</f>
        <v>0.32995691437288177</v>
      </c>
      <c r="T110" s="154">
        <f>VLOOKUP($B110,Hitters!$A$1:$R$401,9,FALSE)</f>
        <v>124.29833333333333</v>
      </c>
      <c r="U110" s="154">
        <f>VLOOKUP($B110,Hitters!$A$1:$R$401,10,FALSE)</f>
        <v>25.191666666666666</v>
      </c>
      <c r="V110" s="154">
        <f>VLOOKUP($B110,Hitters!$A$1:$R$401,11,FALSE)</f>
        <v>6.9899999999999993</v>
      </c>
      <c r="W110" s="154">
        <f>VLOOKUP($B110,Hitters!$A$1:$R$401,12,FALSE)</f>
        <v>53.391666666666673</v>
      </c>
      <c r="X110" s="154">
        <f>VLOOKUP($B110,Hitters!$A$1:$R$401,13,FALSE)</f>
        <v>147.75333333333333</v>
      </c>
      <c r="Y110" s="152">
        <f>VLOOKUP($B110,Hitters!$A$1:$R$401,16,FALSE)</f>
        <v>0.42308870538092708</v>
      </c>
      <c r="Z110" s="152">
        <f>VLOOKUP($B110,Hitters!$A$1:$R$401,17,FALSE)</f>
        <v>0.7530456197538089</v>
      </c>
      <c r="AA110" s="31">
        <f>VLOOKUP($B110,Hitters!$A1:$R401,18,FALSE)</f>
        <v>0</v>
      </c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 spans="1:44" ht="18.600000000000001" customHeight="1">
      <c r="A111" s="25">
        <f ca="1">RANK(I111,I$2:I$651)</f>
        <v>110</v>
      </c>
      <c r="B111" s="26" t="s">
        <v>269</v>
      </c>
      <c r="C111" s="27" t="s">
        <v>101</v>
      </c>
      <c r="D111" s="27" t="s">
        <v>69</v>
      </c>
      <c r="E111" s="42" t="s">
        <v>34</v>
      </c>
      <c r="F111" s="43">
        <f ca="1">VLOOKUP(B111,RP!A1:I91,IF(Settings!$J$13="points",4,7),FALSE)</f>
        <v>11</v>
      </c>
      <c r="G111" s="30">
        <f>(AC111*Settings!$F$2)+(AF111*Settings!$F$5)+(AG111*Settings!$F$6)+(AH111*Settings!$F$7)+(AI111*Settings!$F$8)+(AJ111*Settings!$F$9)+(AK111*Settings!$F$10)+(AL111*Settings!$F$11)+(AM111*Settings!$F$12)+(AN111*Settings!$F$13)+(AO111*Settings!$F$14)+(AP111*Settings!$F$15)+(AQ111*Settings!$F$16)+(AR111*Settings!$F$17)</f>
        <v>266.5888888888889</v>
      </c>
      <c r="H111" s="31">
        <f>VLOOKUP(B111,'Standard Deviations'!$A1:$D651,4,FALSE)</f>
        <v>3.0724972204590353</v>
      </c>
      <c r="I111" s="32">
        <f ca="1">IF(Settings!$J$16="no",VLOOKUP(B111,RP!A1:I91,IF(Settings!$J$13="points",6,9),FALSE),VLOOKUP(B111,'SP+RP'!$A1:$I251,IF(Settings!$J$13="points",6,9),FALSE))</f>
        <v>3.9400786647710317</v>
      </c>
      <c r="J111" s="31"/>
      <c r="K111" s="31">
        <f ca="1">J111-A111</f>
        <v>-110</v>
      </c>
      <c r="L111" s="31"/>
      <c r="M111" s="31"/>
      <c r="N111" s="31"/>
      <c r="O111" s="31"/>
      <c r="P111" s="31"/>
      <c r="Q111" s="31"/>
      <c r="R111" s="152"/>
      <c r="S111" s="152"/>
      <c r="T111" s="154"/>
      <c r="U111" s="154"/>
      <c r="V111" s="154"/>
      <c r="W111" s="154"/>
      <c r="X111" s="154"/>
      <c r="Y111" s="152"/>
      <c r="Z111" s="152"/>
      <c r="AA111" s="31"/>
      <c r="AB111" s="31"/>
      <c r="AC111" s="31">
        <f>VLOOKUP($B111,Pitchers!$A1:$S251,4,FALSE)</f>
        <v>58.128888888888888</v>
      </c>
      <c r="AD111" s="33">
        <f>VLOOKUP($B111,Pitchers!$A1:$S251,5,FALSE)</f>
        <v>2.9973048398195581</v>
      </c>
      <c r="AE111" s="33">
        <f>VLOOKUP($B111,Pitchers!$A1:$S251,6,FALSE)</f>
        <v>1.1249139842495604</v>
      </c>
      <c r="AF111" s="31">
        <f>VLOOKUP($B111,Pitchers!$A1:$S251,7,FALSE)</f>
        <v>76.833333333333329</v>
      </c>
      <c r="AG111" s="31">
        <f>VLOOKUP($B111,Pitchers!$A1:$S251,8,FALSE)</f>
        <v>3.5477777777777781</v>
      </c>
      <c r="AH111" s="31">
        <f>VLOOKUP($B111,Pitchers!$A1:$S251,9,FALSE)</f>
        <v>18.333333333333332</v>
      </c>
      <c r="AI111" s="31">
        <f>VLOOKUP($B111,Pitchers!$A1:$S251,10,FALSE)</f>
        <v>19.358888888888888</v>
      </c>
      <c r="AJ111" s="31">
        <f>VLOOKUP($B111,Pitchers!$A1:$S251,11,FALSE)</f>
        <v>44.878888888888888</v>
      </c>
      <c r="AK111" s="31">
        <f>VLOOKUP($B111,Pitchers!$A1:$S251,12,FALSE)</f>
        <v>20.511111111111109</v>
      </c>
      <c r="AL111" s="31">
        <f>VLOOKUP($B111,Pitchers!$A1:$S251,13,FALSE)</f>
        <v>4.6000000000000005</v>
      </c>
      <c r="AM111" s="31">
        <f>VLOOKUP($B111,Pitchers!$A1:$S251,14,FALSE)</f>
        <v>58.881111111111117</v>
      </c>
      <c r="AN111" s="31">
        <f>VLOOKUP($B111,Pitchers!$A1:$S251,15,FALSE)</f>
        <v>0</v>
      </c>
      <c r="AO111" s="31">
        <f>VLOOKUP($B111,Pitchers!$A1:$S251,16,FALSE)</f>
        <v>2.9266666666666672</v>
      </c>
      <c r="AP111" s="31">
        <f>VLOOKUP($B111,Pitchers!$A1:$S251,17,FALSE)</f>
        <v>0</v>
      </c>
      <c r="AQ111" s="31">
        <f>VLOOKUP($B111,Pitchers!$A1:$S251,18,FALSE)</f>
        <v>8.5</v>
      </c>
      <c r="AR111" s="31">
        <f>VLOOKUP($B111,Pitchers!$A1:$S251,19,FALSE)</f>
        <v>4</v>
      </c>
    </row>
    <row r="112" spans="1:44" ht="18.600000000000001" customHeight="1">
      <c r="A112" s="25">
        <f ca="1">RANK(I112,I$2:I$651)</f>
        <v>111</v>
      </c>
      <c r="B112" s="26" t="s">
        <v>201</v>
      </c>
      <c r="C112" s="27" t="s">
        <v>156</v>
      </c>
      <c r="D112" s="27" t="s">
        <v>69</v>
      </c>
      <c r="E112" s="36" t="s">
        <v>31</v>
      </c>
      <c r="F112" s="37">
        <f ca="1">VLOOKUP(B112,SP!A1:I161,IF(Settings!$J$13="points",4,7),FALSE)</f>
        <v>34</v>
      </c>
      <c r="G112" s="30">
        <f>(AC112*Settings!$F$2)+(AF112*Settings!$F$5)+(AG112*Settings!$F$6)+(AH112*Settings!$F$7)+(AI112*Settings!$F$8)+(AJ112*Settings!$F$9)+(AK112*Settings!$F$10)+(AL112*Settings!$F$11)+(AM112*Settings!$F$12)+(AN112*Settings!$F$13)+(AO112*Settings!$F$14)+(AP112*Settings!$F$15)+(AQ112*Settings!$F$16)+(AR112*Settings!$F$17)</f>
        <v>400.50277777777774</v>
      </c>
      <c r="H112" s="31">
        <f>VLOOKUP(B112,'Standard Deviations'!$A1:$D651,4,FALSE)</f>
        <v>3.0510371447377551</v>
      </c>
      <c r="I112" s="32">
        <f ca="1">IF(Settings!$J$16="no",VLOOKUP(B112,SP!A1:I161,IF(Settings!$J$13="points",6,9),FALSE),VLOOKUP(B112,'SP+RP'!$A1:$I251,IF(Settings!$J$13="points",6,9),FALSE))</f>
        <v>3.9186181841595089</v>
      </c>
      <c r="J112" s="31"/>
      <c r="K112" s="31">
        <f ca="1">J112-A112</f>
        <v>-111</v>
      </c>
      <c r="L112" s="31"/>
      <c r="M112" s="31"/>
      <c r="N112" s="31"/>
      <c r="O112" s="31"/>
      <c r="P112" s="31"/>
      <c r="Q112" s="31"/>
      <c r="R112" s="152"/>
      <c r="S112" s="152"/>
      <c r="T112" s="154"/>
      <c r="U112" s="154"/>
      <c r="V112" s="154"/>
      <c r="W112" s="154"/>
      <c r="X112" s="154"/>
      <c r="Y112" s="152"/>
      <c r="Z112" s="152"/>
      <c r="AA112" s="31"/>
      <c r="AB112" s="31"/>
      <c r="AC112" s="31">
        <f>VLOOKUP($B112,Pitchers!$A1:$S251,4,FALSE)</f>
        <v>166.03333333333333</v>
      </c>
      <c r="AD112" s="33">
        <f>VLOOKUP($B112,Pitchers!$A1:$S251,5,FALSE)</f>
        <v>3.7876731580004015</v>
      </c>
      <c r="AE112" s="33">
        <f>VLOOKUP($B112,Pitchers!$A1:$S251,6,FALSE)</f>
        <v>1.1239108612728368</v>
      </c>
      <c r="AF112" s="31">
        <f>VLOOKUP($B112,Pitchers!$A1:$S251,7,FALSE)</f>
        <v>172.33333333333334</v>
      </c>
      <c r="AG112" s="31">
        <f>VLOOKUP($B112,Pitchers!$A1:$S251,8,FALSE)</f>
        <v>11.03</v>
      </c>
      <c r="AH112" s="31">
        <f>VLOOKUP($B112,Pitchers!$A1:$S251,9,FALSE)</f>
        <v>0</v>
      </c>
      <c r="AI112" s="31">
        <f>VLOOKUP($B112,Pitchers!$A1:$S251,10,FALSE)</f>
        <v>69.87555555555555</v>
      </c>
      <c r="AJ112" s="31">
        <f>VLOOKUP($B112,Pitchers!$A1:$S251,11,FALSE)</f>
        <v>139.05111111111111</v>
      </c>
      <c r="AK112" s="31">
        <f>VLOOKUP($B112,Pitchers!$A1:$S251,12,FALSE)</f>
        <v>47.55555555555555</v>
      </c>
      <c r="AL112" s="31">
        <f>VLOOKUP($B112,Pitchers!$A1:$S251,13,FALSE)</f>
        <v>23.033333333333331</v>
      </c>
      <c r="AM112" s="31">
        <f>VLOOKUP($B112,Pitchers!$A1:$S251,14,FALSE)</f>
        <v>29.146666666666665</v>
      </c>
      <c r="AN112" s="31">
        <f>VLOOKUP($B112,Pitchers!$A1:$S251,15,FALSE)</f>
        <v>29.146666666666665</v>
      </c>
      <c r="AO112" s="31">
        <f>VLOOKUP($B112,Pitchers!$A1:$S251,16,FALSE)</f>
        <v>9.2983333333333338</v>
      </c>
      <c r="AP112" s="31">
        <f>VLOOKUP($B112,Pitchers!$A1:$S251,17,FALSE)</f>
        <v>14</v>
      </c>
      <c r="AQ112" s="31">
        <f>VLOOKUP($B112,Pitchers!$A1:$S251,18,FALSE)</f>
        <v>0</v>
      </c>
      <c r="AR112" s="31">
        <f>VLOOKUP($B112,Pitchers!$A1:$S251,19,FALSE)</f>
        <v>0</v>
      </c>
    </row>
    <row r="113" spans="1:44" ht="18.600000000000001" customHeight="1">
      <c r="A113" s="25">
        <f ca="1">RANK(I113,I$2:I$651)</f>
        <v>112</v>
      </c>
      <c r="B113" s="26" t="s">
        <v>300</v>
      </c>
      <c r="C113" s="27" t="s">
        <v>78</v>
      </c>
      <c r="D113" s="27" t="s">
        <v>69</v>
      </c>
      <c r="E113" s="38" t="s">
        <v>27</v>
      </c>
      <c r="F113" s="39">
        <f ca="1">VLOOKUP(B113,SS!A1:I45,IF(Settings!$J$13="points",4,7),FALSE)</f>
        <v>16</v>
      </c>
      <c r="G113" s="30">
        <f>(M113*Settings!$B$2)+(N113*Settings!$B$3)+(O113*Settings!$B$4)+(P113*Settings!$B$5)+(Q113*Settings!$B$6)+((T113-U113-V113-O113)*Settings!$B$9)+(U113*Settings!$B$10)+(V113*Settings!$B$11)+(W113*Settings!$B$12)+(X113*Settings!$B$13)+(AA113*Settings!$B$16)</f>
        <v>360.37833333333339</v>
      </c>
      <c r="H113" s="31">
        <f>VLOOKUP(B113,'Standard Deviations'!$A1:$D651,4,FALSE)</f>
        <v>3.8937282389953412</v>
      </c>
      <c r="I113" s="32">
        <f ca="1">IF(Settings!$J$16="no",VLOOKUP(B113,SS!A1:I45,IF(Settings!$J$13="points",6,9),FALSE),VLOOKUP(B113,'2B+SS'!$A1:$I94,IF(Settings!$J$13="points",6,9),FALSE))</f>
        <v>3.8876813025247965</v>
      </c>
      <c r="J113" s="31"/>
      <c r="K113" s="31">
        <f ca="1">J113-A113</f>
        <v>-112</v>
      </c>
      <c r="L113" s="31"/>
      <c r="M113" s="31">
        <f>VLOOKUP($B113,Hitters!$A1:$R401,4,FALSE)</f>
        <v>550.02222222222224</v>
      </c>
      <c r="N113" s="31">
        <f>VLOOKUP($B113,Hitters!$A1:$R401,5,FALSE)</f>
        <v>73.757777777777775</v>
      </c>
      <c r="O113" s="31">
        <f>VLOOKUP($B113,Hitters!$A1:$R401,6,FALSE)</f>
        <v>20.922222222222221</v>
      </c>
      <c r="P113" s="31">
        <f>VLOOKUP($B113,Hitters!$A1:$R401,7,FALSE)</f>
        <v>69.848888888888894</v>
      </c>
      <c r="Q113" s="31">
        <f>VLOOKUP($B113,Hitters!$A1:$R401,8,FALSE)</f>
        <v>13.132222222222223</v>
      </c>
      <c r="R113" s="152">
        <f>VLOOKUP($B113,Hitters!$A$1:$R$401,14,FALSE)</f>
        <v>0.2509595571896085</v>
      </c>
      <c r="S113" s="152">
        <f>VLOOKUP($B113,Hitters!$A$1:$R$401,15,FALSE)</f>
        <v>0.30117378962983299</v>
      </c>
      <c r="T113" s="154">
        <f>VLOOKUP($B113,Hitters!$A$1:$R$401,9,FALSE)</f>
        <v>138.03333333333333</v>
      </c>
      <c r="U113" s="154">
        <f>VLOOKUP($B113,Hitters!$A$1:$R$401,10,FALSE)</f>
        <v>23.318888888888889</v>
      </c>
      <c r="V113" s="154">
        <f>VLOOKUP($B113,Hitters!$A$1:$R$401,11,FALSE)</f>
        <v>2.9822222222222226</v>
      </c>
      <c r="W113" s="154">
        <f>VLOOKUP($B113,Hitters!$A$1:$R$401,12,FALSE)</f>
        <v>30.512222222222221</v>
      </c>
      <c r="X113" s="154">
        <f>VLOOKUP($B113,Hitters!$A$1:$R$401,13,FALSE)</f>
        <v>140.17666666666665</v>
      </c>
      <c r="Y113" s="152">
        <f>VLOOKUP($B113,Hitters!$A$1:$R$401,16,FALSE)</f>
        <v>0.41831643165932686</v>
      </c>
      <c r="Z113" s="152">
        <f>VLOOKUP($B113,Hitters!$A$1:$R$401,17,FALSE)</f>
        <v>0.71949022128915985</v>
      </c>
      <c r="AA113" s="31">
        <f>VLOOKUP($B113,Hitters!$A1:$R401,18,FALSE)</f>
        <v>0</v>
      </c>
      <c r="AB113" s="31"/>
      <c r="AC113" s="31"/>
      <c r="AD113" s="33"/>
      <c r="AE113" s="33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 spans="1:44" ht="18.600000000000001" customHeight="1">
      <c r="A114" s="25">
        <f ca="1">RANK(I114,I$2:I$651)</f>
        <v>113</v>
      </c>
      <c r="B114" s="26" t="s">
        <v>153</v>
      </c>
      <c r="C114" s="27" t="s">
        <v>68</v>
      </c>
      <c r="D114" s="27" t="s">
        <v>69</v>
      </c>
      <c r="E114" s="36" t="s">
        <v>31</v>
      </c>
      <c r="F114" s="37">
        <f ca="1">VLOOKUP(B114,SP!A1:I161,IF(Settings!$J$13="points",4,7),FALSE)</f>
        <v>35</v>
      </c>
      <c r="G114" s="30">
        <f>(AC114*Settings!$F$2)+(AF114*Settings!$F$5)+(AG114*Settings!$F$6)+(AH114*Settings!$F$7)+(AI114*Settings!$F$8)+(AJ114*Settings!$F$9)+(AK114*Settings!$F$10)+(AL114*Settings!$F$11)+(AM114*Settings!$F$12)+(AN114*Settings!$F$13)+(AO114*Settings!$F$14)+(AP114*Settings!$F$15)+(AQ114*Settings!$F$16)+(AR114*Settings!$F$17)</f>
        <v>400.52173888888888</v>
      </c>
      <c r="H114" s="31">
        <f>VLOOKUP(B114,'Standard Deviations'!$A1:$D651,4,FALSE)</f>
        <v>2.9984677745185535</v>
      </c>
      <c r="I114" s="32">
        <f ca="1">IF(Settings!$J$16="no",VLOOKUP(B114,SP!A1:I161,IF(Settings!$J$13="points",6,9),FALSE),VLOOKUP(B114,'SP+RP'!$A1:$I251,IF(Settings!$J$13="points",6,9),FALSE))</f>
        <v>3.866048915519483</v>
      </c>
      <c r="J114" s="31"/>
      <c r="K114" s="31">
        <f ca="1">J114-A114</f>
        <v>-113</v>
      </c>
      <c r="L114" s="31"/>
      <c r="M114" s="31"/>
      <c r="N114" s="31"/>
      <c r="O114" s="31"/>
      <c r="P114" s="31"/>
      <c r="Q114" s="31"/>
      <c r="R114" s="152"/>
      <c r="S114" s="152"/>
      <c r="T114" s="154"/>
      <c r="U114" s="154"/>
      <c r="V114" s="154"/>
      <c r="W114" s="154"/>
      <c r="X114" s="154"/>
      <c r="Y114" s="152"/>
      <c r="Z114" s="152"/>
      <c r="AA114" s="31"/>
      <c r="AB114" s="31"/>
      <c r="AC114" s="31">
        <f>VLOOKUP($B114,Pitchers!$A1:$S251,4,FALSE)</f>
        <v>149.78673333333333</v>
      </c>
      <c r="AD114" s="33">
        <f>VLOOKUP($B114,Pitchers!$A1:$S251,5,FALSE)</f>
        <v>3.5138812916675755</v>
      </c>
      <c r="AE114" s="33">
        <f>VLOOKUP($B114,Pitchers!$A1:$S251,6,FALSE)</f>
        <v>1.1416742441067693</v>
      </c>
      <c r="AF114" s="31">
        <f>VLOOKUP($B114,Pitchers!$A1:$S251,7,FALSE)</f>
        <v>160.0283</v>
      </c>
      <c r="AG114" s="31">
        <f>VLOOKUP($B114,Pitchers!$A1:$S251,8,FALSE)</f>
        <v>10.280700000000001</v>
      </c>
      <c r="AH114" s="31">
        <f>VLOOKUP($B114,Pitchers!$A1:$S251,9,FALSE)</f>
        <v>0</v>
      </c>
      <c r="AI114" s="31">
        <f>VLOOKUP($B114,Pitchers!$A1:$S251,10,FALSE)</f>
        <v>58.481422222222221</v>
      </c>
      <c r="AJ114" s="31">
        <f>VLOOKUP($B114,Pitchers!$A1:$S251,11,FALSE)</f>
        <v>126.8121</v>
      </c>
      <c r="AK114" s="31">
        <f>VLOOKUP($B114,Pitchers!$A1:$S251,12,FALSE)</f>
        <v>44.195555555555558</v>
      </c>
      <c r="AL114" s="31">
        <f>VLOOKUP($B114,Pitchers!$A1:$S251,13,FALSE)</f>
        <v>18.526666666666667</v>
      </c>
      <c r="AM114" s="31">
        <f>VLOOKUP($B114,Pitchers!$A1:$S251,14,FALSE)</f>
        <v>28.532722222222223</v>
      </c>
      <c r="AN114" s="31">
        <f>VLOOKUP($B114,Pitchers!$A1:$S251,15,FALSE)</f>
        <v>27.286666666666665</v>
      </c>
      <c r="AO114" s="31">
        <f>VLOOKUP($B114,Pitchers!$A1:$S251,16,FALSE)</f>
        <v>6.6384666666666661</v>
      </c>
      <c r="AP114" s="31">
        <f>VLOOKUP($B114,Pitchers!$A1:$S251,17,FALSE)</f>
        <v>20.621300000000002</v>
      </c>
      <c r="AQ114" s="31">
        <f>VLOOKUP($B114,Pitchers!$A1:$S251,18,FALSE)</f>
        <v>1.2675000000000001</v>
      </c>
      <c r="AR114" s="31">
        <f>VLOOKUP($B114,Pitchers!$A1:$S251,19,FALSE)</f>
        <v>0</v>
      </c>
    </row>
    <row r="115" spans="1:44" ht="18.600000000000001" customHeight="1">
      <c r="A115" s="25">
        <f ca="1">RANK(I115,I$2:I$651)</f>
        <v>114</v>
      </c>
      <c r="B115" s="26" t="s">
        <v>271</v>
      </c>
      <c r="C115" s="27" t="s">
        <v>99</v>
      </c>
      <c r="D115" s="27" t="s">
        <v>69</v>
      </c>
      <c r="E115" s="40" t="s">
        <v>7</v>
      </c>
      <c r="F115" s="41">
        <f ca="1">VLOOKUP(B115,'1B'!A1:I63,IF(Settings!$J$13="points",4,7),FALSE)</f>
        <v>8</v>
      </c>
      <c r="G115" s="30">
        <f>(M115*Settings!$B$2)+(N115*Settings!$B$3)+(O115*Settings!$B$4)+(P115*Settings!$B$5)+(Q115*Settings!$B$6)+((T115-U115-V115-O115)*Settings!$B$9)+(U115*Settings!$B$10)+(V115*Settings!$B$11)+(W115*Settings!$B$12)+(X115*Settings!$B$13)+(AA115*Settings!$B$16)</f>
        <v>375.93222222222226</v>
      </c>
      <c r="H115" s="31">
        <f>VLOOKUP(B115,'Standard Deviations'!$A1:$D651,4,FALSE)</f>
        <v>4.0678561500385948</v>
      </c>
      <c r="I115" s="32">
        <f ca="1">IF(Settings!$J$15="no",VLOOKUP(B115,'1B'!A1:I63,IF(Settings!$J$13="points",6,9),FALSE),VLOOKUP(B115,'1B+3B'!$A1:$I104,IF(Settings!$J$13="points",6,9),FALSE))</f>
        <v>3.8423788240777954</v>
      </c>
      <c r="J115" s="31"/>
      <c r="K115" s="31">
        <f ca="1">J115-A115</f>
        <v>-114</v>
      </c>
      <c r="L115" s="31"/>
      <c r="M115" s="31">
        <f>VLOOKUP($B115,Hitters!$A1:$R401,4,FALSE)</f>
        <v>545.0333333333333</v>
      </c>
      <c r="N115" s="31">
        <f>VLOOKUP($B115,Hitters!$A1:$R401,5,FALSE)</f>
        <v>71.03166666666668</v>
      </c>
      <c r="O115" s="31">
        <f>VLOOKUP($B115,Hitters!$A1:$R401,6,FALSE)</f>
        <v>25.10166666666667</v>
      </c>
      <c r="P115" s="31">
        <f>VLOOKUP($B115,Hitters!$A1:$R401,7,FALSE)</f>
        <v>83.154444444444451</v>
      </c>
      <c r="Q115" s="31">
        <f>VLOOKUP($B115,Hitters!$A1:$R401,8,FALSE)</f>
        <v>4.49</v>
      </c>
      <c r="R115" s="152">
        <f>VLOOKUP($B115,Hitters!$A$1:$R$401,14,FALSE)</f>
        <v>0.25856318675718098</v>
      </c>
      <c r="S115" s="152">
        <f>VLOOKUP($B115,Hitters!$A$1:$R$401,15,FALSE)</f>
        <v>0.32264328409947896</v>
      </c>
      <c r="T115" s="154">
        <f>VLOOKUP($B115,Hitters!$A$1:$R$401,9,FALSE)</f>
        <v>140.92555555555555</v>
      </c>
      <c r="U115" s="154">
        <f>VLOOKUP($B115,Hitters!$A$1:$R$401,10,FALSE)</f>
        <v>26.090000000000003</v>
      </c>
      <c r="V115" s="154">
        <f>VLOOKUP($B115,Hitters!$A$1:$R$401,11,FALSE)</f>
        <v>1.0033333333333334</v>
      </c>
      <c r="W115" s="154">
        <f>VLOOKUP($B115,Hitters!$A$1:$R$401,12,FALSE)</f>
        <v>43.12833333333333</v>
      </c>
      <c r="X115" s="154">
        <f>VLOOKUP($B115,Hitters!$A$1:$R$401,13,FALSE)</f>
        <v>149.37888888888889</v>
      </c>
      <c r="Y115" s="152">
        <f>VLOOKUP($B115,Hitters!$A$1:$R$401,16,FALSE)</f>
        <v>0.44827941206450173</v>
      </c>
      <c r="Z115" s="152">
        <f>VLOOKUP($B115,Hitters!$A$1:$R$401,17,FALSE)</f>
        <v>0.77092269616398068</v>
      </c>
      <c r="AA115" s="31">
        <f>VLOOKUP($B115,Hitters!$A1:$R401,18,FALSE)</f>
        <v>0</v>
      </c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 spans="1:44" ht="18.600000000000001" customHeight="1">
      <c r="A116" s="25">
        <f ca="1">RANK(I116,I$2:I$651)</f>
        <v>115</v>
      </c>
      <c r="B116" s="26" t="s">
        <v>332</v>
      </c>
      <c r="C116" s="27" t="s">
        <v>258</v>
      </c>
      <c r="D116" s="27" t="s">
        <v>69</v>
      </c>
      <c r="E116" s="38" t="s">
        <v>27</v>
      </c>
      <c r="F116" s="39">
        <f ca="1">VLOOKUP(B116,SS!A1:I45,IF(Settings!$J$13="points",4,7),FALSE)</f>
        <v>17</v>
      </c>
      <c r="G116" s="30">
        <f>(M116*Settings!$B$2)+(N116*Settings!$B$3)+(O116*Settings!$B$4)+(P116*Settings!$B$5)+(Q116*Settings!$B$6)+((T116-U116-V116-O116)*Settings!$B$9)+(U116*Settings!$B$10)+(V116*Settings!$B$11)+(W116*Settings!$B$12)+(X116*Settings!$B$13)+(AA116*Settings!$B$16)</f>
        <v>356.16555555555561</v>
      </c>
      <c r="H116" s="31">
        <f>VLOOKUP(B116,'Standard Deviations'!$A1:$D651,4,FALSE)</f>
        <v>3.8460937939828734</v>
      </c>
      <c r="I116" s="32">
        <f ca="1">IF(Settings!$J$16="no",VLOOKUP(B116,SS!A1:I45,IF(Settings!$J$13="points",6,9),FALSE),VLOOKUP(B116,'2B+SS'!$A1:$I94,IF(Settings!$J$13="points",6,9),FALSE))</f>
        <v>3.8400517392569871</v>
      </c>
      <c r="J116" s="31"/>
      <c r="K116" s="31">
        <f ca="1">J116-A116</f>
        <v>-115</v>
      </c>
      <c r="L116" s="31"/>
      <c r="M116" s="31">
        <f>VLOOKUP($B116,Hitters!$A1:$R401,4,FALSE)</f>
        <v>560.9</v>
      </c>
      <c r="N116" s="31">
        <f>VLOOKUP($B116,Hitters!$A1:$R401,5,FALSE)</f>
        <v>72.335555555555558</v>
      </c>
      <c r="O116" s="31">
        <f>VLOOKUP($B116,Hitters!$A1:$R401,6,FALSE)</f>
        <v>21.52</v>
      </c>
      <c r="P116" s="31">
        <f>VLOOKUP($B116,Hitters!$A1:$R401,7,FALSE)</f>
        <v>73.24666666666667</v>
      </c>
      <c r="Q116" s="31">
        <f>VLOOKUP($B116,Hitters!$A1:$R401,8,FALSE)</f>
        <v>13.327777777777778</v>
      </c>
      <c r="R116" s="152">
        <f>VLOOKUP($B116,Hitters!$A$1:$R$401,14,FALSE)</f>
        <v>0.24633822626334662</v>
      </c>
      <c r="S116" s="152">
        <f>VLOOKUP($B116,Hitters!$A$1:$R$401,15,FALSE)</f>
        <v>0.29460233396720337</v>
      </c>
      <c r="T116" s="154">
        <f>VLOOKUP($B116,Hitters!$A$1:$R$401,9,FALSE)</f>
        <v>138.17111111111112</v>
      </c>
      <c r="U116" s="154">
        <f>VLOOKUP($B116,Hitters!$A$1:$R$401,10,FALSE)</f>
        <v>26.927777777777777</v>
      </c>
      <c r="V116" s="154">
        <f>VLOOKUP($B116,Hitters!$A$1:$R$401,11,FALSE)</f>
        <v>3.0050000000000003</v>
      </c>
      <c r="W116" s="154">
        <f>VLOOKUP($B116,Hitters!$A$1:$R$401,12,FALSE)</f>
        <v>29.040000000000003</v>
      </c>
      <c r="X116" s="154">
        <f>VLOOKUP($B116,Hitters!$A$1:$R$401,13,FALSE)</f>
        <v>161.56222222222223</v>
      </c>
      <c r="Y116" s="152">
        <f>VLOOKUP($B116,Hitters!$A$1:$R$401,16,FALSE)</f>
        <v>0.4201620411640023</v>
      </c>
      <c r="Z116" s="152">
        <f>VLOOKUP($B116,Hitters!$A$1:$R$401,17,FALSE)</f>
        <v>0.71476437513120561</v>
      </c>
      <c r="AA116" s="31">
        <f>VLOOKUP($B116,Hitters!$A1:$R401,18,FALSE)</f>
        <v>0</v>
      </c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 spans="1:44" ht="18.600000000000001" customHeight="1">
      <c r="A117" s="25">
        <f ca="1">RANK(I117,I$2:I$651)</f>
        <v>116</v>
      </c>
      <c r="B117" s="26" t="s">
        <v>289</v>
      </c>
      <c r="C117" s="27" t="s">
        <v>137</v>
      </c>
      <c r="D117" s="27" t="s">
        <v>74</v>
      </c>
      <c r="E117" s="42" t="s">
        <v>34</v>
      </c>
      <c r="F117" s="43">
        <f ca="1">VLOOKUP(B117,RP!A1:I91,IF(Settings!$J$13="points",4,7),FALSE)</f>
        <v>12</v>
      </c>
      <c r="G117" s="30">
        <f>(AC117*Settings!$F$2)+(AF117*Settings!$F$5)+(AG117*Settings!$F$6)+(AH117*Settings!$F$7)+(AI117*Settings!$F$8)+(AJ117*Settings!$F$9)+(AK117*Settings!$F$10)+(AL117*Settings!$F$11)+(AM117*Settings!$F$12)+(AN117*Settings!$F$13)+(AO117*Settings!$F$14)+(AP117*Settings!$F$15)+(AQ117*Settings!$F$16)+(AR117*Settings!$F$17)</f>
        <v>323.35777777777781</v>
      </c>
      <c r="H117" s="31">
        <f>VLOOKUP(B117,'Standard Deviations'!$A1:$D651,4,FALSE)</f>
        <v>2.9712051493357317</v>
      </c>
      <c r="I117" s="32">
        <f ca="1">IF(Settings!$J$16="no",VLOOKUP(B117,RP!A1:I91,IF(Settings!$J$13="points",6,9),FALSE),VLOOKUP(B117,'SP+RP'!$A1:$I251,IF(Settings!$J$13="points",6,9),FALSE))</f>
        <v>3.8387823877092613</v>
      </c>
      <c r="J117" s="31"/>
      <c r="K117" s="31">
        <f ca="1">J117-A117</f>
        <v>-116</v>
      </c>
      <c r="L117" s="31"/>
      <c r="M117" s="31"/>
      <c r="N117" s="31"/>
      <c r="O117" s="31"/>
      <c r="P117" s="31"/>
      <c r="Q117" s="31"/>
      <c r="R117" s="152"/>
      <c r="S117" s="152"/>
      <c r="T117" s="154"/>
      <c r="U117" s="154"/>
      <c r="V117" s="154"/>
      <c r="W117" s="154"/>
      <c r="X117" s="154"/>
      <c r="Y117" s="152"/>
      <c r="Z117" s="152"/>
      <c r="AA117" s="31"/>
      <c r="AB117" s="31"/>
      <c r="AC117" s="31">
        <f>VLOOKUP($B117,Pitchers!$A1:$S251,4,FALSE)</f>
        <v>61.585000000000001</v>
      </c>
      <c r="AD117" s="33">
        <f>VLOOKUP($B117,Pitchers!$A1:$S251,5,FALSE)</f>
        <v>3.2694649671186169</v>
      </c>
      <c r="AE117" s="33">
        <f>VLOOKUP($B117,Pitchers!$A1:$S251,6,FALSE)</f>
        <v>1.16532705474818</v>
      </c>
      <c r="AF117" s="31">
        <f>VLOOKUP($B117,Pitchers!$A1:$S251,7,FALSE)</f>
        <v>75.40666666666668</v>
      </c>
      <c r="AG117" s="31">
        <f>VLOOKUP($B117,Pitchers!$A1:$S251,8,FALSE)</f>
        <v>2.9899999999999998</v>
      </c>
      <c r="AH117" s="31">
        <f>VLOOKUP($B117,Pitchers!$A1:$S251,9,FALSE)</f>
        <v>27</v>
      </c>
      <c r="AI117" s="31">
        <f>VLOOKUP($B117,Pitchers!$A1:$S251,10,FALSE)</f>
        <v>22.372222222222224</v>
      </c>
      <c r="AJ117" s="31">
        <f>VLOOKUP($B117,Pitchers!$A1:$S251,11,FALSE)</f>
        <v>51.524444444444441</v>
      </c>
      <c r="AK117" s="31">
        <f>VLOOKUP($B117,Pitchers!$A1:$S251,12,FALSE)</f>
        <v>20.242222222222221</v>
      </c>
      <c r="AL117" s="31">
        <f>VLOOKUP($B117,Pitchers!$A1:$S251,13,FALSE)</f>
        <v>6.0333333333333341</v>
      </c>
      <c r="AM117" s="31">
        <f>VLOOKUP($B117,Pitchers!$A1:$S251,14,FALSE)</f>
        <v>60.015000000000008</v>
      </c>
      <c r="AN117" s="31">
        <f>VLOOKUP($B117,Pitchers!$A1:$S251,15,FALSE)</f>
        <v>0</v>
      </c>
      <c r="AO117" s="31">
        <f>VLOOKUP($B117,Pitchers!$A1:$S251,16,FALSE)</f>
        <v>2.9783333333333335</v>
      </c>
      <c r="AP117" s="31">
        <f>VLOOKUP($B117,Pitchers!$A1:$S251,17,FALSE)</f>
        <v>0</v>
      </c>
      <c r="AQ117" s="31">
        <f>VLOOKUP($B117,Pitchers!$A1:$S251,18,FALSE)</f>
        <v>3</v>
      </c>
      <c r="AR117" s="31">
        <f>VLOOKUP($B117,Pitchers!$A1:$S251,19,FALSE)</f>
        <v>5</v>
      </c>
    </row>
    <row r="118" spans="1:44" ht="18.600000000000001" customHeight="1">
      <c r="A118" s="25">
        <f ca="1">RANK(I118,I$2:I$651)</f>
        <v>117</v>
      </c>
      <c r="B118" s="26" t="s">
        <v>187</v>
      </c>
      <c r="C118" s="27" t="s">
        <v>91</v>
      </c>
      <c r="D118" s="27" t="s">
        <v>74</v>
      </c>
      <c r="E118" s="28" t="s">
        <v>23</v>
      </c>
      <c r="F118" s="29">
        <f ca="1">VLOOKUP(B118,OF!A1:I139,IF(Settings!$J$13="points",4,7),FALSE)</f>
        <v>29</v>
      </c>
      <c r="G118" s="30">
        <f>(M118*Settings!$B$2)+(N118*Settings!$B$3)+(O118*Settings!$B$4)+(P118*Settings!$B$5)+(Q118*Settings!$B$6)+((T118-U118-V118-O118)*Settings!$B$9)+(U118*Settings!$B$10)+(V118*Settings!$B$11)+(W118*Settings!$B$12)+(X118*Settings!$B$13)+(AA118*Settings!$B$16)</f>
        <v>369.93166666666656</v>
      </c>
      <c r="H118" s="31">
        <f>VLOOKUP(B118,'Standard Deviations'!$A1:$D651,4,FALSE)</f>
        <v>3.6650301695282685</v>
      </c>
      <c r="I118" s="32">
        <f ca="1">VLOOKUP(B118,OF!A1:I139,IF(Settings!$J$13="points",6,9),FALSE)</f>
        <v>3.8219610535744337</v>
      </c>
      <c r="J118" s="31"/>
      <c r="K118" s="31">
        <f ca="1">J118-A118</f>
        <v>-117</v>
      </c>
      <c r="L118" s="31"/>
      <c r="M118" s="31">
        <f>VLOOKUP($B118,Hitters!$A1:$R401,4,FALSE)</f>
        <v>544.74444444444441</v>
      </c>
      <c r="N118" s="31">
        <f>VLOOKUP($B118,Hitters!$A1:$R401,5,FALSE)</f>
        <v>71.884444444444441</v>
      </c>
      <c r="O118" s="31">
        <f>VLOOKUP($B118,Hitters!$A1:$R401,6,FALSE)</f>
        <v>20.658888888888889</v>
      </c>
      <c r="P118" s="31">
        <f>VLOOKUP($B118,Hitters!$A1:$R401,7,FALSE)</f>
        <v>78.148333333333341</v>
      </c>
      <c r="Q118" s="31">
        <f>VLOOKUP($B118,Hitters!$A1:$R401,8,FALSE)</f>
        <v>4.9799999999999995</v>
      </c>
      <c r="R118" s="152">
        <f>VLOOKUP($B118,Hitters!$A$1:$R$401,14,FALSE)</f>
        <v>0.2638280947233157</v>
      </c>
      <c r="S118" s="152">
        <f>VLOOKUP($B118,Hitters!$A$1:$R$401,15,FALSE)</f>
        <v>0.32037500619855935</v>
      </c>
      <c r="T118" s="154">
        <f>VLOOKUP($B118,Hitters!$A$1:$R$401,9,FALSE)</f>
        <v>143.71888888888887</v>
      </c>
      <c r="U118" s="154">
        <f>VLOOKUP($B118,Hitters!$A$1:$R$401,10,FALSE)</f>
        <v>31.946666666666669</v>
      </c>
      <c r="V118" s="154">
        <f>VLOOKUP($B118,Hitters!$A$1:$R$401,11,FALSE)</f>
        <v>1.6444444444444446</v>
      </c>
      <c r="W118" s="154">
        <f>VLOOKUP($B118,Hitters!$A$1:$R$401,12,FALSE)</f>
        <v>36.841666666666669</v>
      </c>
      <c r="X118" s="154">
        <f>VLOOKUP($B118,Hitters!$A$1:$R$401,13,FALSE)</f>
        <v>135.66777777777779</v>
      </c>
      <c r="Y118" s="152">
        <f>VLOOKUP($B118,Hitters!$A$1:$R$401,16,FALSE)</f>
        <v>0.44228282375017847</v>
      </c>
      <c r="Z118" s="152">
        <f>VLOOKUP($B118,Hitters!$A$1:$R$401,17,FALSE)</f>
        <v>0.76265782994873788</v>
      </c>
      <c r="AA118" s="31">
        <f>VLOOKUP($B118,Hitters!$A1:$R401,18,FALSE)</f>
        <v>0</v>
      </c>
      <c r="AB118" s="31"/>
      <c r="AC118" s="31"/>
      <c r="AD118" s="33"/>
      <c r="AE118" s="33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</row>
    <row r="119" spans="1:44" ht="18.600000000000001" customHeight="1">
      <c r="A119" s="25">
        <f ca="1">RANK(I119,I$2:I$651)</f>
        <v>118</v>
      </c>
      <c r="B119" s="26" t="s">
        <v>314</v>
      </c>
      <c r="C119" s="27" t="s">
        <v>217</v>
      </c>
      <c r="D119" s="27" t="s">
        <v>74</v>
      </c>
      <c r="E119" s="48" t="s">
        <v>11</v>
      </c>
      <c r="F119" s="49">
        <f ca="1">VLOOKUP(B119,'2B'!A1:I50,IF(Settings!$J$13="points",4,7),FALSE)</f>
        <v>7</v>
      </c>
      <c r="G119" s="30">
        <f>(M119*Settings!$B$2)+(N119*Settings!$B$3)+(O119*Settings!$B$4)+(P119*Settings!$B$5)+(Q119*Settings!$B$6)+((T119-U119-V119-O119)*Settings!$B$9)+(U119*Settings!$B$10)+(V119*Settings!$B$11)+(W119*Settings!$B$12)+(X119*Settings!$B$13)+(AA119*Settings!$B$16)</f>
        <v>355.58333333333337</v>
      </c>
      <c r="H119" s="31">
        <f>VLOOKUP(B119,'Standard Deviations'!$A1:$D651,4,FALSE)</f>
        <v>3.8116962512700994</v>
      </c>
      <c r="I119" s="32">
        <f ca="1">IF(Settings!$J$16="no",VLOOKUP(B119,'2B'!A1:I50,IF(Settings!$J$13="points",6,9),FALSE),VLOOKUP(B119,'2B+SS'!$A1:$I94,IF(Settings!$J$13="points",6,9),FALSE))</f>
        <v>3.8056521397083625</v>
      </c>
      <c r="J119" s="31"/>
      <c r="K119" s="31">
        <f ca="1">J119-A119</f>
        <v>-118</v>
      </c>
      <c r="L119" s="31"/>
      <c r="M119" s="31">
        <f>VLOOKUP($B119,Hitters!$A1:$R401,4,FALSE)</f>
        <v>501.42222222222222</v>
      </c>
      <c r="N119" s="31">
        <f>VLOOKUP($B119,Hitters!$A1:$R401,5,FALSE)</f>
        <v>69.316666666666663</v>
      </c>
      <c r="O119" s="31">
        <f>VLOOKUP($B119,Hitters!$A1:$R401,6,FALSE)</f>
        <v>14.634444444444446</v>
      </c>
      <c r="P119" s="31">
        <f>VLOOKUP($B119,Hitters!$A1:$R401,7,FALSE)</f>
        <v>59.928888888888885</v>
      </c>
      <c r="Q119" s="31">
        <f>VLOOKUP($B119,Hitters!$A1:$R401,8,FALSE)</f>
        <v>18.362222222222222</v>
      </c>
      <c r="R119" s="152">
        <f>VLOOKUP($B119,Hitters!$A$1:$R$401,14,FALSE)</f>
        <v>0.26279914908704133</v>
      </c>
      <c r="S119" s="152">
        <f>VLOOKUP($B119,Hitters!$A$1:$R$401,15,FALSE)</f>
        <v>0.31955787040540234</v>
      </c>
      <c r="T119" s="154">
        <f>VLOOKUP($B119,Hitters!$A$1:$R$401,9,FALSE)</f>
        <v>131.77333333333334</v>
      </c>
      <c r="U119" s="154">
        <f>VLOOKUP($B119,Hitters!$A$1:$R$401,10,FALSE)</f>
        <v>22.986666666666668</v>
      </c>
      <c r="V119" s="154">
        <f>VLOOKUP($B119,Hitters!$A$1:$R$401,11,FALSE)</f>
        <v>2.1866666666666665</v>
      </c>
      <c r="W119" s="154">
        <f>VLOOKUP($B119,Hitters!$A$1:$R$401,12,FALSE)</f>
        <v>34</v>
      </c>
      <c r="X119" s="154">
        <f>VLOOKUP($B119,Hitters!$A$1:$R$401,13,FALSE)</f>
        <v>94.84666666666665</v>
      </c>
      <c r="Y119" s="152">
        <f>VLOOKUP($B119,Hitters!$A$1:$R$401,16,FALSE)</f>
        <v>0.40492155646162031</v>
      </c>
      <c r="Z119" s="152">
        <f>VLOOKUP($B119,Hitters!$A$1:$R$401,17,FALSE)</f>
        <v>0.72447942686702271</v>
      </c>
      <c r="AA119" s="31">
        <f>VLOOKUP($B119,Hitters!$A1:$R401,18,FALSE)</f>
        <v>0</v>
      </c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</row>
    <row r="120" spans="1:44" ht="18.600000000000001" customHeight="1">
      <c r="A120" s="25">
        <f ca="1">RANK(I120,I$2:I$651)</f>
        <v>119</v>
      </c>
      <c r="B120" s="26" t="s">
        <v>191</v>
      </c>
      <c r="C120" s="27" t="s">
        <v>103</v>
      </c>
      <c r="D120" s="27" t="s">
        <v>69</v>
      </c>
      <c r="E120" s="28" t="s">
        <v>23</v>
      </c>
      <c r="F120" s="29">
        <f ca="1">VLOOKUP(B120,OF!A1:I139,IF(Settings!$J$13="points",4,7),FALSE)</f>
        <v>30</v>
      </c>
      <c r="G120" s="30">
        <f>(M120*Settings!$B$2)+(N120*Settings!$B$3)+(O120*Settings!$B$4)+(P120*Settings!$B$5)+(Q120*Settings!$B$6)+((T120-U120-V120-O120)*Settings!$B$9)+(U120*Settings!$B$10)+(V120*Settings!$B$11)+(W120*Settings!$B$12)+(X120*Settings!$B$13)+(AA120*Settings!$B$16)</f>
        <v>380.83055555555563</v>
      </c>
      <c r="H120" s="31">
        <f>VLOOKUP(B120,'Standard Deviations'!$A1:$D651,4,FALSE)</f>
        <v>3.6281601272496804</v>
      </c>
      <c r="I120" s="32">
        <f ca="1">VLOOKUP(B120,OF!A1:I139,IF(Settings!$J$13="points",6,9),FALSE)</f>
        <v>3.7850924225546621</v>
      </c>
      <c r="J120" s="31"/>
      <c r="K120" s="31">
        <f ca="1">J120-A120</f>
        <v>-119</v>
      </c>
      <c r="L120" s="31"/>
      <c r="M120" s="31">
        <f>VLOOKUP($B120,Hitters!$A1:$R401,4,FALSE)</f>
        <v>462.92222222222222</v>
      </c>
      <c r="N120" s="31">
        <f>VLOOKUP($B120,Hitters!$A1:$R401,5,FALSE)</f>
        <v>68.26166666666667</v>
      </c>
      <c r="O120" s="31">
        <f>VLOOKUP($B120,Hitters!$A1:$R401,6,FALSE)</f>
        <v>16.024999999999999</v>
      </c>
      <c r="P120" s="31">
        <f>VLOOKUP($B120,Hitters!$A1:$R401,7,FALSE)</f>
        <v>67.28</v>
      </c>
      <c r="Q120" s="31">
        <f>VLOOKUP($B120,Hitters!$A1:$R401,8,FALSE)</f>
        <v>3.5133333333333332</v>
      </c>
      <c r="R120" s="152">
        <f>VLOOKUP($B120,Hitters!$A$1:$R$401,14,FALSE)</f>
        <v>0.2909656049732377</v>
      </c>
      <c r="S120" s="152">
        <f>VLOOKUP($B120,Hitters!$A$1:$R$401,15,FALSE)</f>
        <v>0.37287360631599359</v>
      </c>
      <c r="T120" s="154">
        <f>VLOOKUP($B120,Hitters!$A$1:$R$401,9,FALSE)</f>
        <v>134.69444444444446</v>
      </c>
      <c r="U120" s="154">
        <f>VLOOKUP($B120,Hitters!$A$1:$R$401,10,FALSE)</f>
        <v>27.468888888888888</v>
      </c>
      <c r="V120" s="154">
        <f>VLOOKUP($B120,Hitters!$A$1:$R$401,11,FALSE)</f>
        <v>1.7822222222222222</v>
      </c>
      <c r="W120" s="154">
        <f>VLOOKUP($B120,Hitters!$A$1:$R$401,12,FALSE)</f>
        <v>54.393333333333338</v>
      </c>
      <c r="X120" s="154">
        <f>VLOOKUP($B120,Hitters!$A$1:$R$401,13,FALSE)</f>
        <v>59.867777777777775</v>
      </c>
      <c r="Y120" s="152">
        <f>VLOOKUP($B120,Hitters!$A$1:$R$401,16,FALSE)</f>
        <v>0.46185464320860237</v>
      </c>
      <c r="Z120" s="152">
        <f>VLOOKUP($B120,Hitters!$A$1:$R$401,17,FALSE)</f>
        <v>0.83472824952459601</v>
      </c>
      <c r="AA120" s="31">
        <f>VLOOKUP($B120,Hitters!$A1:$R401,18,FALSE)</f>
        <v>0</v>
      </c>
      <c r="AB120" s="31"/>
      <c r="AC120" s="31"/>
      <c r="AD120" s="33"/>
      <c r="AE120" s="33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</row>
    <row r="121" spans="1:44" ht="18.600000000000001" customHeight="1">
      <c r="A121" s="25">
        <f ca="1">RANK(I121,I$2:I$651)</f>
        <v>120</v>
      </c>
      <c r="B121" s="26" t="s">
        <v>263</v>
      </c>
      <c r="C121" s="27" t="s">
        <v>120</v>
      </c>
      <c r="D121" s="27" t="s">
        <v>74</v>
      </c>
      <c r="E121" s="40" t="s">
        <v>7</v>
      </c>
      <c r="F121" s="41">
        <f ca="1">VLOOKUP(B121,'1B'!A1:I63,IF(Settings!$J$13="points",4,7),FALSE)</f>
        <v>9</v>
      </c>
      <c r="G121" s="30">
        <f>(M121*Settings!$B$2)+(N121*Settings!$B$3)+(O121*Settings!$B$4)+(P121*Settings!$B$5)+(Q121*Settings!$B$6)+((T121-U121-V121-O121)*Settings!$B$9)+(U121*Settings!$B$10)+(V121*Settings!$B$11)+(W121*Settings!$B$12)+(X121*Settings!$B$13)+(AA121*Settings!$B$16)</f>
        <v>412.57833333333338</v>
      </c>
      <c r="H121" s="31">
        <f>VLOOKUP(B121,'Standard Deviations'!$A1:$D651,4,FALSE)</f>
        <v>3.9817564939752019</v>
      </c>
      <c r="I121" s="32">
        <f ca="1">IF(Settings!$J$15="no",VLOOKUP(B121,'1B'!A1:I63,IF(Settings!$J$13="points",6,9),FALSE),VLOOKUP(B121,'1B+3B'!$A1:$I104,IF(Settings!$J$13="points",6,9),FALSE))</f>
        <v>3.7562729390113798</v>
      </c>
      <c r="J121" s="31"/>
      <c r="K121" s="31">
        <f ca="1">J121-A121</f>
        <v>-120</v>
      </c>
      <c r="L121" s="31"/>
      <c r="M121" s="31">
        <f>VLOOKUP($B121,Hitters!$A1:$R401,4,FALSE)</f>
        <v>553.67777777777781</v>
      </c>
      <c r="N121" s="31">
        <f>VLOOKUP($B121,Hitters!$A1:$R401,5,FALSE)</f>
        <v>77.593333333333334</v>
      </c>
      <c r="O121" s="31">
        <f>VLOOKUP($B121,Hitters!$A1:$R401,6,FALSE)</f>
        <v>26.16333333333333</v>
      </c>
      <c r="P121" s="31">
        <f>VLOOKUP($B121,Hitters!$A1:$R401,7,FALSE)</f>
        <v>86.683333333333337</v>
      </c>
      <c r="Q121" s="31">
        <f>VLOOKUP($B121,Hitters!$A1:$R401,8,FALSE)</f>
        <v>2.5033333333333334</v>
      </c>
      <c r="R121" s="152">
        <f>VLOOKUP($B121,Hitters!$A$1:$R$401,14,FALSE)</f>
        <v>0.25095422528145134</v>
      </c>
      <c r="S121" s="152">
        <f>VLOOKUP($B121,Hitters!$A$1:$R$401,15,FALSE)</f>
        <v>0.33333466704718101</v>
      </c>
      <c r="T121" s="154">
        <f>VLOOKUP($B121,Hitters!$A$1:$R$401,9,FALSE)</f>
        <v>138.94777777777779</v>
      </c>
      <c r="U121" s="154">
        <f>VLOOKUP($B121,Hitters!$A$1:$R$401,10,FALSE)</f>
        <v>27.97666666666667</v>
      </c>
      <c r="V121" s="154">
        <f>VLOOKUP($B121,Hitters!$A$1:$R$401,11,FALSE)</f>
        <v>2</v>
      </c>
      <c r="W121" s="154">
        <f>VLOOKUP($B121,Hitters!$A$1:$R$401,12,FALSE)</f>
        <v>60.113333333333337</v>
      </c>
      <c r="X121" s="154">
        <f>VLOOKUP($B121,Hitters!$A$1:$R$401,13,FALSE)</f>
        <v>132.46555555555554</v>
      </c>
      <c r="Y121" s="152">
        <f>VLOOKUP($B121,Hitters!$A$1:$R$401,16,FALSE)</f>
        <v>0.45046858381328886</v>
      </c>
      <c r="Z121" s="152">
        <f>VLOOKUP($B121,Hitters!$A$1:$R$401,17,FALSE)</f>
        <v>0.78380325086046987</v>
      </c>
      <c r="AA121" s="31">
        <f>VLOOKUP($B121,Hitters!$A1:$R401,18,FALSE)</f>
        <v>0</v>
      </c>
      <c r="AB121" s="31"/>
      <c r="AC121" s="31"/>
      <c r="AD121" s="33"/>
      <c r="AE121" s="33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</row>
    <row r="122" spans="1:44" ht="18.600000000000001" customHeight="1">
      <c r="A122" s="25">
        <f ca="1">RANK(I122,I$2:I$651)</f>
        <v>121</v>
      </c>
      <c r="B122" s="26" t="s">
        <v>748</v>
      </c>
      <c r="C122" s="27" t="s">
        <v>120</v>
      </c>
      <c r="D122" s="27" t="s">
        <v>69</v>
      </c>
      <c r="E122" s="36" t="s">
        <v>31</v>
      </c>
      <c r="F122" s="37">
        <f ca="1">VLOOKUP(B122,SP!A1:I161,IF(Settings!$J$13="points",4,7),FALSE)</f>
        <v>36</v>
      </c>
      <c r="G122" s="30">
        <f>(AC122*Settings!$F$2)+(AF122*Settings!$F$5)+(AG122*Settings!$F$6)+(AH122*Settings!$F$7)+(AI122*Settings!$F$8)+(AJ122*Settings!$F$9)+(AK122*Settings!$F$10)+(AL122*Settings!$F$11)+(AM122*Settings!$F$12)+(AN122*Settings!$F$13)+(AO122*Settings!$F$14)+(AP122*Settings!$F$15)+(AQ122*Settings!$F$16)+(AR122*Settings!$F$17)</f>
        <v>341.93435392000004</v>
      </c>
      <c r="H122" s="31">
        <f>VLOOKUP(B122,'Standard Deviations'!$A1:$D651,4,FALSE)</f>
        <v>2.8678310194247305</v>
      </c>
      <c r="I122" s="32">
        <f ca="1">IF(Settings!$J$16="no",VLOOKUP(B122,SP!A1:I161,IF(Settings!$J$13="points",6,9),FALSE),VLOOKUP(B122,'SP+RP'!$A1:$I251,IF(Settings!$J$13="points",6,9),FALSE))</f>
        <v>3.7354164133311825</v>
      </c>
      <c r="J122" s="31"/>
      <c r="K122" s="31">
        <f ca="1">J122-A122</f>
        <v>-121</v>
      </c>
      <c r="L122" s="31"/>
      <c r="M122" s="31"/>
      <c r="N122" s="31"/>
      <c r="O122" s="31"/>
      <c r="P122" s="31"/>
      <c r="Q122" s="31"/>
      <c r="R122" s="152"/>
      <c r="S122" s="152"/>
      <c r="T122" s="154"/>
      <c r="U122" s="154"/>
      <c r="V122" s="154"/>
      <c r="W122" s="154"/>
      <c r="X122" s="154"/>
      <c r="Y122" s="152"/>
      <c r="Z122" s="152"/>
      <c r="AA122" s="31"/>
      <c r="AB122" s="31"/>
      <c r="AC122" s="31">
        <f>VLOOKUP($B122,Pitchers!$A1:$S251,4,FALSE)</f>
        <v>134.68058581333332</v>
      </c>
      <c r="AD122" s="33">
        <f>VLOOKUP($B122,Pitchers!$A1:$S251,5,FALSE)</f>
        <v>3.5276694838445253</v>
      </c>
      <c r="AE122" s="33">
        <f>VLOOKUP($B122,Pitchers!$A1:$S251,6,FALSE)</f>
        <v>1.0580066618571728</v>
      </c>
      <c r="AF122" s="31">
        <f>VLOOKUP($B122,Pitchers!$A1:$S251,7,FALSE)</f>
        <v>151.86666666666665</v>
      </c>
      <c r="AG122" s="31">
        <f>VLOOKUP($B122,Pitchers!$A1:$S251,8,FALSE)</f>
        <v>7.3646724266666652</v>
      </c>
      <c r="AH122" s="31">
        <f>VLOOKUP($B122,Pitchers!$A1:$S251,9,FALSE)</f>
        <v>0</v>
      </c>
      <c r="AI122" s="31">
        <f>VLOOKUP($B122,Pitchers!$A1:$S251,10,FALSE)</f>
        <v>52.789843626666652</v>
      </c>
      <c r="AJ122" s="31">
        <f>VLOOKUP($B122,Pitchers!$A1:$S251,11,FALSE)</f>
        <v>112.45581397333331</v>
      </c>
      <c r="AK122" s="31">
        <f>VLOOKUP($B122,Pitchers!$A1:$S251,12,FALSE)</f>
        <v>30.03714304</v>
      </c>
      <c r="AL122" s="31">
        <f>VLOOKUP($B122,Pitchers!$A1:$S251,13,FALSE)</f>
        <v>17.300785066666663</v>
      </c>
      <c r="AM122" s="31">
        <f>VLOOKUP($B122,Pitchers!$A1:$S251,14,FALSE)</f>
        <v>26.130031786666667</v>
      </c>
      <c r="AN122" s="31">
        <f>VLOOKUP($B122,Pitchers!$A1:$S251,15,FALSE)</f>
        <v>16.237666666666666</v>
      </c>
      <c r="AO122" s="31">
        <f>VLOOKUP($B122,Pitchers!$A1:$S251,16,FALSE)</f>
        <v>6.8421286399999994</v>
      </c>
      <c r="AP122" s="31">
        <f>VLOOKUP($B122,Pitchers!$A1:$S251,17,FALSE)</f>
        <v>13.3</v>
      </c>
      <c r="AQ122" s="31">
        <f>VLOOKUP($B122,Pitchers!$A1:$S251,18,FALSE)</f>
        <v>0</v>
      </c>
      <c r="AR122" s="31">
        <f>VLOOKUP($B122,Pitchers!$A1:$S251,19,FALSE)</f>
        <v>0</v>
      </c>
    </row>
    <row r="123" spans="1:44" ht="18.600000000000001" customHeight="1">
      <c r="A123" s="25">
        <f ca="1">RANK(I123,I$2:I$651)</f>
        <v>122</v>
      </c>
      <c r="B123" s="26" t="s">
        <v>221</v>
      </c>
      <c r="C123" s="27" t="s">
        <v>78</v>
      </c>
      <c r="D123" s="27" t="s">
        <v>69</v>
      </c>
      <c r="E123" s="40" t="s">
        <v>7</v>
      </c>
      <c r="F123" s="41">
        <f ca="1">VLOOKUP(B123,'1B'!A1:I63,IF(Settings!$J$13="points",4,7),FALSE)</f>
        <v>10</v>
      </c>
      <c r="G123" s="30">
        <f>(M123*Settings!$B$2)+(N123*Settings!$B$3)+(O123*Settings!$B$4)+(P123*Settings!$B$5)+(Q123*Settings!$B$6)+((T123-U123-V123-O123)*Settings!$B$9)+(U123*Settings!$B$10)+(V123*Settings!$B$11)+(W123*Settings!$B$12)+(X123*Settings!$B$13)+(AA123*Settings!$B$16)</f>
        <v>400.55555555555554</v>
      </c>
      <c r="H123" s="31">
        <f>VLOOKUP(B123,'Standard Deviations'!$A1:$D651,4,FALSE)</f>
        <v>3.9581385387386536</v>
      </c>
      <c r="I123" s="32">
        <f ca="1">IF(Settings!$J$15="no",VLOOKUP(B123,'1B'!A1:I63,IF(Settings!$J$13="points",6,9),FALSE),VLOOKUP(B123,'1B+3B'!$A1:$I104,IF(Settings!$J$13="points",6,9),FALSE))</f>
        <v>3.7326612003586153</v>
      </c>
      <c r="J123" s="31"/>
      <c r="K123" s="31">
        <f ca="1">J123-A123</f>
        <v>-122</v>
      </c>
      <c r="L123" s="31"/>
      <c r="M123" s="31">
        <f>VLOOKUP($B123,Hitters!$A1:$R401,4,FALSE)</f>
        <v>557.33333333333337</v>
      </c>
      <c r="N123" s="31">
        <f>VLOOKUP($B123,Hitters!$A1:$R401,5,FALSE)</f>
        <v>77.959999999999994</v>
      </c>
      <c r="O123" s="31">
        <f>VLOOKUP($B123,Hitters!$A1:$R401,6,FALSE)</f>
        <v>20.498888888888889</v>
      </c>
      <c r="P123" s="31">
        <f>VLOOKUP($B123,Hitters!$A1:$R401,7,FALSE)</f>
        <v>83.057777777777787</v>
      </c>
      <c r="Q123" s="31">
        <f>VLOOKUP($B123,Hitters!$A1:$R401,8,FALSE)</f>
        <v>0.98444444444444434</v>
      </c>
      <c r="R123" s="152">
        <f>VLOOKUP($B123,Hitters!$A$1:$R$401,14,FALSE)</f>
        <v>0.27111842105263162</v>
      </c>
      <c r="S123" s="152">
        <f>VLOOKUP($B123,Hitters!$A$1:$R$401,15,FALSE)</f>
        <v>0.34226160771974434</v>
      </c>
      <c r="T123" s="154">
        <f>VLOOKUP($B123,Hitters!$A$1:$R$401,9,FALSE)</f>
        <v>151.10333333333335</v>
      </c>
      <c r="U123" s="154">
        <f>VLOOKUP($B123,Hitters!$A$1:$R$401,10,FALSE)</f>
        <v>31.216666666666669</v>
      </c>
      <c r="V123" s="154">
        <f>VLOOKUP($B123,Hitters!$A$1:$R$401,11,FALSE)</f>
        <v>0.99888888888888883</v>
      </c>
      <c r="W123" s="154">
        <f>VLOOKUP($B123,Hitters!$A$1:$R$401,12,FALSE)</f>
        <v>52.15</v>
      </c>
      <c r="X123" s="154">
        <f>VLOOKUP($B123,Hitters!$A$1:$R$401,13,FALSE)</f>
        <v>120.79111111111111</v>
      </c>
      <c r="Y123" s="152">
        <f>VLOOKUP($B123,Hitters!$A$1:$R$401,16,FALSE)</f>
        <v>0.44105462519936206</v>
      </c>
      <c r="Z123" s="152">
        <f>VLOOKUP($B123,Hitters!$A$1:$R$401,17,FALSE)</f>
        <v>0.78331623291910635</v>
      </c>
      <c r="AA123" s="31">
        <f>VLOOKUP($B123,Hitters!$A1:$R401,18,FALSE)</f>
        <v>0</v>
      </c>
      <c r="AB123" s="31"/>
      <c r="AC123" s="31"/>
      <c r="AD123" s="33"/>
      <c r="AE123" s="33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</row>
    <row r="124" spans="1:44" ht="18.600000000000001" customHeight="1">
      <c r="A124" s="25">
        <f ca="1">RANK(I124,I$2:I$651)</f>
        <v>123</v>
      </c>
      <c r="B124" s="26" t="s">
        <v>227</v>
      </c>
      <c r="C124" s="27" t="s">
        <v>176</v>
      </c>
      <c r="D124" s="27" t="s">
        <v>74</v>
      </c>
      <c r="E124" s="40" t="s">
        <v>7</v>
      </c>
      <c r="F124" s="41">
        <f ca="1">VLOOKUP(B124,'1B'!A1:I63,IF(Settings!$J$13="points",4,7),FALSE)</f>
        <v>11</v>
      </c>
      <c r="G124" s="30">
        <f>(M124*Settings!$B$2)+(N124*Settings!$B$3)+(O124*Settings!$B$4)+(P124*Settings!$B$5)+(Q124*Settings!$B$6)+((T124-U124-V124-O124)*Settings!$B$9)+(U124*Settings!$B$10)+(V124*Settings!$B$11)+(W124*Settings!$B$12)+(X124*Settings!$B$13)+(AA124*Settings!$B$16)</f>
        <v>384.16777777777776</v>
      </c>
      <c r="H124" s="31">
        <f>VLOOKUP(B124,'Standard Deviations'!$A1:$D651,4,FALSE)</f>
        <v>3.9528188714133803</v>
      </c>
      <c r="I124" s="32">
        <f ca="1">IF(Settings!$J$15="no",VLOOKUP(B124,'1B'!A1:I63,IF(Settings!$J$13="points",6,9),FALSE),VLOOKUP(B124,'1B+3B'!$A1:$I104,IF(Settings!$J$13="points",6,9),FALSE))</f>
        <v>3.7273386596099121</v>
      </c>
      <c r="J124" s="31"/>
      <c r="K124" s="31">
        <f ca="1">J124-A124</f>
        <v>-123</v>
      </c>
      <c r="L124" s="31"/>
      <c r="M124" s="31">
        <f>VLOOKUP($B124,Hitters!$A1:$R401,4,FALSE)</f>
        <v>520.98333333333346</v>
      </c>
      <c r="N124" s="31">
        <f>VLOOKUP($B124,Hitters!$A1:$R401,5,FALSE)</f>
        <v>73.166666666666671</v>
      </c>
      <c r="O124" s="31">
        <f>VLOOKUP($B124,Hitters!$A1:$R401,6,FALSE)</f>
        <v>27.051666666666662</v>
      </c>
      <c r="P124" s="31">
        <f>VLOOKUP($B124,Hitters!$A1:$R401,7,FALSE)</f>
        <v>87.391666666666666</v>
      </c>
      <c r="Q124" s="31">
        <f>VLOOKUP($B124,Hitters!$A1:$R401,8,FALSE)</f>
        <v>0.43</v>
      </c>
      <c r="R124" s="152">
        <f>VLOOKUP($B124,Hitters!$A$1:$R$401,14,FALSE)</f>
        <v>0.25717713298570005</v>
      </c>
      <c r="S124" s="152">
        <f>VLOOKUP($B124,Hitters!$A$1:$R$401,15,FALSE)</f>
        <v>0.32879644979691541</v>
      </c>
      <c r="T124" s="154">
        <f>VLOOKUP($B124,Hitters!$A$1:$R$401,9,FALSE)</f>
        <v>133.98499999999999</v>
      </c>
      <c r="U124" s="154">
        <f>VLOOKUP($B124,Hitters!$A$1:$R$401,10,FALSE)</f>
        <v>26.45</v>
      </c>
      <c r="V124" s="154">
        <f>VLOOKUP($B124,Hitters!$A$1:$R$401,11,FALSE)</f>
        <v>2.0049999999999999</v>
      </c>
      <c r="W124" s="154">
        <f>VLOOKUP($B124,Hitters!$A$1:$R$401,12,FALSE)</f>
        <v>47.669999999999995</v>
      </c>
      <c r="X124" s="154">
        <f>VLOOKUP($B124,Hitters!$A$1:$R$401,13,FALSE)</f>
        <v>141.04111111111112</v>
      </c>
      <c r="Y124" s="152">
        <f>VLOOKUP($B124,Hitters!$A$1:$R$401,16,FALSE)</f>
        <v>0.47141623212514777</v>
      </c>
      <c r="Z124" s="152">
        <f>VLOOKUP($B124,Hitters!$A$1:$R$401,17,FALSE)</f>
        <v>0.80021268192206318</v>
      </c>
      <c r="AA124" s="31">
        <f>VLOOKUP($B124,Hitters!$A1:$R401,18,FALSE)</f>
        <v>0</v>
      </c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</row>
    <row r="125" spans="1:44" ht="18.600000000000001" customHeight="1">
      <c r="A125" s="25">
        <f ca="1">RANK(I125,I$2:I$651)</f>
        <v>124</v>
      </c>
      <c r="B125" s="26" t="s">
        <v>157</v>
      </c>
      <c r="C125" s="27" t="s">
        <v>158</v>
      </c>
      <c r="D125" s="27" t="s">
        <v>74</v>
      </c>
      <c r="E125" s="28" t="s">
        <v>23</v>
      </c>
      <c r="F125" s="29">
        <f ca="1">VLOOKUP(B125,OF!A1:I139,IF(Settings!$J$13="points",4,7),FALSE)</f>
        <v>31</v>
      </c>
      <c r="G125" s="30">
        <f>(M125*Settings!$B$2)+(N125*Settings!$B$3)+(O125*Settings!$B$4)+(P125*Settings!$B$5)+(Q125*Settings!$B$6)+((T125-U125-V125-O125)*Settings!$B$9)+(U125*Settings!$B$10)+(V125*Settings!$B$11)+(W125*Settings!$B$12)+(X125*Settings!$B$13)+(AA125*Settings!$B$16)</f>
        <v>360.47087500000004</v>
      </c>
      <c r="H125" s="31">
        <f>VLOOKUP(B125,'Standard Deviations'!$A1:$D651,4,FALSE)</f>
        <v>3.5531339872330232</v>
      </c>
      <c r="I125" s="32">
        <f ca="1">VLOOKUP(B125,OF!A1:I139,IF(Settings!$J$13="points",6,9),FALSE)</f>
        <v>3.7100695651961177</v>
      </c>
      <c r="J125" s="31"/>
      <c r="K125" s="31">
        <f ca="1">J125-A125</f>
        <v>-124</v>
      </c>
      <c r="L125" s="31"/>
      <c r="M125" s="31">
        <f>VLOOKUP($B125,Hitters!$A1:$R401,4,FALSE)</f>
        <v>461.34472222222229</v>
      </c>
      <c r="N125" s="31">
        <f>VLOOKUP($B125,Hitters!$A1:$R401,5,FALSE)</f>
        <v>68.386194444444456</v>
      </c>
      <c r="O125" s="31">
        <f>VLOOKUP($B125,Hitters!$A1:$R401,6,FALSE)</f>
        <v>19.726972222222219</v>
      </c>
      <c r="P125" s="31">
        <f>VLOOKUP($B125,Hitters!$A1:$R401,7,FALSE)</f>
        <v>65.00522222222223</v>
      </c>
      <c r="Q125" s="31">
        <f>VLOOKUP($B125,Hitters!$A1:$R401,8,FALSE)</f>
        <v>10.596527777777778</v>
      </c>
      <c r="R125" s="152">
        <f>VLOOKUP($B125,Hitters!$A$1:$R$401,14,FALSE)</f>
        <v>0.26317877509045112</v>
      </c>
      <c r="S125" s="152">
        <f>VLOOKUP($B125,Hitters!$A$1:$R$401,15,FALSE)</f>
        <v>0.3514986481035039</v>
      </c>
      <c r="T125" s="154">
        <f>VLOOKUP($B125,Hitters!$A$1:$R$401,9,FALSE)</f>
        <v>121.4161388888889</v>
      </c>
      <c r="U125" s="154">
        <f>VLOOKUP($B125,Hitters!$A$1:$R$401,10,FALSE)</f>
        <v>24.650444444444446</v>
      </c>
      <c r="V125" s="154">
        <f>VLOOKUP($B125,Hitters!$A$1:$R$401,11,FALSE)</f>
        <v>1.9479444444444445</v>
      </c>
      <c r="W125" s="154">
        <f>VLOOKUP($B125,Hitters!$A$1:$R$401,12,FALSE)</f>
        <v>56.298388888888894</v>
      </c>
      <c r="X125" s="154">
        <f>VLOOKUP($B125,Hitters!$A$1:$R$401,13,FALSE)</f>
        <v>119.11075000000001</v>
      </c>
      <c r="Y125" s="152">
        <f>VLOOKUP($B125,Hitters!$A$1:$R$401,16,FALSE)</f>
        <v>0.45333430472874875</v>
      </c>
      <c r="Z125" s="152">
        <f>VLOOKUP($B125,Hitters!$A$1:$R$401,17,FALSE)</f>
        <v>0.80483295283225265</v>
      </c>
      <c r="AA125" s="31">
        <f>VLOOKUP($B125,Hitters!$A1:$R401,18,FALSE)</f>
        <v>0</v>
      </c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</row>
    <row r="126" spans="1:44" ht="18.600000000000001" customHeight="1">
      <c r="A126" s="25">
        <f ca="1">RANK(I126,I$2:I$651)</f>
        <v>125</v>
      </c>
      <c r="B126" s="26" t="s">
        <v>219</v>
      </c>
      <c r="C126" s="27" t="s">
        <v>217</v>
      </c>
      <c r="D126" s="27" t="s">
        <v>74</v>
      </c>
      <c r="E126" s="36" t="s">
        <v>31</v>
      </c>
      <c r="F126" s="37">
        <f ca="1">VLOOKUP(B126,SP!A1:I161,IF(Settings!$J$13="points",4,7),FALSE)</f>
        <v>37</v>
      </c>
      <c r="G126" s="30">
        <f>(AC126*Settings!$F$2)+(AF126*Settings!$F$5)+(AG126*Settings!$F$6)+(AH126*Settings!$F$7)+(AI126*Settings!$F$8)+(AJ126*Settings!$F$9)+(AK126*Settings!$F$10)+(AL126*Settings!$F$11)+(AM126*Settings!$F$12)+(AN126*Settings!$F$13)+(AO126*Settings!$F$14)+(AP126*Settings!$F$15)+(AQ126*Settings!$F$16)+(AR126*Settings!$F$17)</f>
        <v>439.76346666666666</v>
      </c>
      <c r="H126" s="31">
        <f>VLOOKUP(B126,'Standard Deviations'!$A1:$D651,4,FALSE)</f>
        <v>2.8206672239636457</v>
      </c>
      <c r="I126" s="32">
        <f ca="1">IF(Settings!$J$16="no",VLOOKUP(B126,SP!A1:I161,IF(Settings!$J$13="points",6,9),FALSE),VLOOKUP(B126,'SP+RP'!$A1:$I251,IF(Settings!$J$13="points",6,9),FALSE))</f>
        <v>3.6882512280227999</v>
      </c>
      <c r="J126" s="31"/>
      <c r="K126" s="31">
        <f ca="1">J126-A126</f>
        <v>-125</v>
      </c>
      <c r="L126" s="31"/>
      <c r="M126" s="31"/>
      <c r="N126" s="31"/>
      <c r="O126" s="31"/>
      <c r="P126" s="31"/>
      <c r="Q126" s="31"/>
      <c r="R126" s="152"/>
      <c r="S126" s="152"/>
      <c r="T126" s="154"/>
      <c r="U126" s="154"/>
      <c r="V126" s="154"/>
      <c r="W126" s="154"/>
      <c r="X126" s="154"/>
      <c r="Y126" s="152"/>
      <c r="Z126" s="152"/>
      <c r="AA126" s="31"/>
      <c r="AB126" s="31"/>
      <c r="AC126" s="31">
        <f>VLOOKUP($B126,Pitchers!$A1:$S251,4,FALSE)</f>
        <v>189.37</v>
      </c>
      <c r="AD126" s="33">
        <f>VLOOKUP($B126,Pitchers!$A1:$S251,5,FALSE)</f>
        <v>3.5409188361408881</v>
      </c>
      <c r="AE126" s="33">
        <f>VLOOKUP($B126,Pitchers!$A1:$S251,6,FALSE)</f>
        <v>1.2331884083481484</v>
      </c>
      <c r="AF126" s="31">
        <f>VLOOKUP($B126,Pitchers!$A1:$S251,7,FALSE)</f>
        <v>164.76111111111112</v>
      </c>
      <c r="AG126" s="31">
        <f>VLOOKUP($B126,Pitchers!$A1:$S251,8,FALSE)</f>
        <v>12.997777777777777</v>
      </c>
      <c r="AH126" s="31">
        <f>VLOOKUP($B126,Pitchers!$A1:$S251,9,FALSE)</f>
        <v>0</v>
      </c>
      <c r="AI126" s="31">
        <f>VLOOKUP($B126,Pitchers!$A1:$S251,10,FALSE)</f>
        <v>74.504866666666672</v>
      </c>
      <c r="AJ126" s="31">
        <f>VLOOKUP($B126,Pitchers!$A1:$S251,11,FALSE)</f>
        <v>182.02555555555554</v>
      </c>
      <c r="AK126" s="31">
        <f>VLOOKUP($B126,Pitchers!$A1:$S251,12,FALSE)</f>
        <v>51.50333333333333</v>
      </c>
      <c r="AL126" s="31">
        <f>VLOOKUP($B126,Pitchers!$A1:$S251,13,FALSE)</f>
        <v>14.299999999999999</v>
      </c>
      <c r="AM126" s="31">
        <f>VLOOKUP($B126,Pitchers!$A1:$S251,14,FALSE)</f>
        <v>31.975555555555555</v>
      </c>
      <c r="AN126" s="31">
        <f>VLOOKUP($B126,Pitchers!$A1:$S251,15,FALSE)</f>
        <v>31.953333333333333</v>
      </c>
      <c r="AO126" s="31">
        <f>VLOOKUP($B126,Pitchers!$A1:$S251,16,FALSE)</f>
        <v>9.5355555555555558</v>
      </c>
      <c r="AP126" s="31">
        <f>VLOOKUP($B126,Pitchers!$A1:$S251,17,FALSE)</f>
        <v>18</v>
      </c>
      <c r="AQ126" s="31">
        <f>VLOOKUP($B126,Pitchers!$A1:$S251,18,FALSE)</f>
        <v>0</v>
      </c>
      <c r="AR126" s="31">
        <f>VLOOKUP($B126,Pitchers!$A1:$S251,19,FALSE)</f>
        <v>0</v>
      </c>
    </row>
    <row r="127" spans="1:44" ht="18.600000000000001" customHeight="1">
      <c r="A127" s="25">
        <f ca="1">RANK(I127,I$2:I$651)</f>
        <v>126</v>
      </c>
      <c r="B127" s="26" t="s">
        <v>255</v>
      </c>
      <c r="C127" s="27" t="s">
        <v>71</v>
      </c>
      <c r="D127" s="27" t="s">
        <v>69</v>
      </c>
      <c r="E127" s="42" t="s">
        <v>34</v>
      </c>
      <c r="F127" s="43">
        <f ca="1">VLOOKUP(B127,RP!A1:I91,IF(Settings!$J$13="points",4,7),FALSE)</f>
        <v>13</v>
      </c>
      <c r="G127" s="30">
        <f>(AC127*Settings!$F$2)+(AF127*Settings!$F$5)+(AG127*Settings!$F$6)+(AH127*Settings!$F$7)+(AI127*Settings!$F$8)+(AJ127*Settings!$F$9)+(AK127*Settings!$F$10)+(AL127*Settings!$F$11)+(AM127*Settings!$F$12)+(AN127*Settings!$F$13)+(AO127*Settings!$F$14)+(AP127*Settings!$F$15)+(AQ127*Settings!$F$16)+(AR127*Settings!$F$17)</f>
        <v>282.31833333333321</v>
      </c>
      <c r="H127" s="31">
        <f>VLOOKUP(B127,'Standard Deviations'!$A1:$D651,4,FALSE)</f>
        <v>2.7811580134460483</v>
      </c>
      <c r="I127" s="32">
        <f ca="1">IF(Settings!$J$16="no",VLOOKUP(B127,RP!A1:I91,IF(Settings!$J$13="points",6,9),FALSE),VLOOKUP(B127,'SP+RP'!$A1:$I251,IF(Settings!$J$13="points",6,9),FALSE))</f>
        <v>3.6487395558472673</v>
      </c>
      <c r="J127" s="31"/>
      <c r="K127" s="31">
        <f ca="1">J127-A127</f>
        <v>-126</v>
      </c>
      <c r="L127" s="31"/>
      <c r="M127" s="31"/>
      <c r="N127" s="31"/>
      <c r="O127" s="31"/>
      <c r="P127" s="31"/>
      <c r="Q127" s="31"/>
      <c r="R127" s="152"/>
      <c r="S127" s="152"/>
      <c r="T127" s="154"/>
      <c r="U127" s="154"/>
      <c r="V127" s="154"/>
      <c r="W127" s="154"/>
      <c r="X127" s="154"/>
      <c r="Y127" s="152"/>
      <c r="Z127" s="152"/>
      <c r="AA127" s="31"/>
      <c r="AB127" s="31"/>
      <c r="AC127" s="31">
        <f>VLOOKUP($B127,Pitchers!$A1:$S251,4,FALSE)</f>
        <v>62.166666666666657</v>
      </c>
      <c r="AD127" s="33">
        <f>VLOOKUP($B127,Pitchers!$A1:$S251,5,FALSE)</f>
        <v>3.4643967828418232</v>
      </c>
      <c r="AE127" s="33">
        <f>VLOOKUP($B127,Pitchers!$A1:$S251,6,FALSE)</f>
        <v>1.0778194816800717</v>
      </c>
      <c r="AF127" s="31">
        <f>VLOOKUP($B127,Pitchers!$A1:$S251,7,FALSE)</f>
        <v>75.894444444444446</v>
      </c>
      <c r="AG127" s="31">
        <f>VLOOKUP($B127,Pitchers!$A1:$S251,8,FALSE)</f>
        <v>3.9777777777777779</v>
      </c>
      <c r="AH127" s="31">
        <f>VLOOKUP($B127,Pitchers!$A1:$S251,9,FALSE)</f>
        <v>19.422222222222221</v>
      </c>
      <c r="AI127" s="31">
        <f>VLOOKUP($B127,Pitchers!$A1:$S251,10,FALSE)</f>
        <v>23.929999999999996</v>
      </c>
      <c r="AJ127" s="31">
        <f>VLOOKUP($B127,Pitchers!$A1:$S251,11,FALSE)</f>
        <v>48.027777777777779</v>
      </c>
      <c r="AK127" s="31">
        <f>VLOOKUP($B127,Pitchers!$A1:$S251,12,FALSE)</f>
        <v>18.976666666666667</v>
      </c>
      <c r="AL127" s="31">
        <f>VLOOKUP($B127,Pitchers!$A1:$S251,13,FALSE)</f>
        <v>9</v>
      </c>
      <c r="AM127" s="31">
        <f>VLOOKUP($B127,Pitchers!$A1:$S251,14,FALSE)</f>
        <v>62.075555555555553</v>
      </c>
      <c r="AN127" s="31">
        <f>VLOOKUP($B127,Pitchers!$A1:$S251,15,FALSE)</f>
        <v>0</v>
      </c>
      <c r="AO127" s="31">
        <f>VLOOKUP($B127,Pitchers!$A1:$S251,16,FALSE)</f>
        <v>2.9988888888888887</v>
      </c>
      <c r="AP127" s="31">
        <f>VLOOKUP($B127,Pitchers!$A1:$S251,17,FALSE)</f>
        <v>0</v>
      </c>
      <c r="AQ127" s="31">
        <f>VLOOKUP($B127,Pitchers!$A1:$S251,18,FALSE)</f>
        <v>9</v>
      </c>
      <c r="AR127" s="31">
        <f>VLOOKUP($B127,Pitchers!$A1:$S251,19,FALSE)</f>
        <v>9</v>
      </c>
    </row>
    <row r="128" spans="1:44" ht="20.100000000000001" customHeight="1">
      <c r="A128" s="25">
        <f ca="1">RANK(I128,I$2:I$651)</f>
        <v>127</v>
      </c>
      <c r="B128" s="26" t="s">
        <v>253</v>
      </c>
      <c r="C128" s="27" t="s">
        <v>81</v>
      </c>
      <c r="D128" s="27" t="s">
        <v>74</v>
      </c>
      <c r="E128" s="36" t="s">
        <v>31</v>
      </c>
      <c r="F128" s="37">
        <f ca="1">VLOOKUP(B128,SP!A1:I161,IF(Settings!$J$13="points",4,7),FALSE)</f>
        <v>38</v>
      </c>
      <c r="G128" s="30">
        <f>(AC128*Settings!$F$2)+(AF128*Settings!$F$5)+(AG128*Settings!$F$6)+(AH128*Settings!$F$7)+(AI128*Settings!$F$8)+(AJ128*Settings!$F$9)+(AK128*Settings!$F$10)+(AL128*Settings!$F$11)+(AM128*Settings!$F$12)+(AN128*Settings!$F$13)+(AO128*Settings!$F$14)+(AP128*Settings!$F$15)+(AQ128*Settings!$F$16)+(AR128*Settings!$F$17)</f>
        <v>328.5691666666666</v>
      </c>
      <c r="H128" s="31">
        <f>VLOOKUP(B128,'Standard Deviations'!$A1:$D651,4,FALSE)</f>
        <v>2.7089106712305284</v>
      </c>
      <c r="I128" s="32">
        <f ca="1">IF(Settings!$J$16="no",VLOOKUP(B128,SP!A1:I161,IF(Settings!$J$13="points",6,9),FALSE),VLOOKUP(B128,'SP+RP'!$A1:$I251,IF(Settings!$J$13="points",6,9),FALSE))</f>
        <v>3.5764911568232876</v>
      </c>
      <c r="J128" s="31"/>
      <c r="K128" s="31">
        <f ca="1">J128-A128</f>
        <v>-127</v>
      </c>
      <c r="L128" s="31"/>
      <c r="M128" s="31"/>
      <c r="N128" s="31"/>
      <c r="O128" s="31"/>
      <c r="P128" s="31"/>
      <c r="Q128" s="31"/>
      <c r="R128" s="152"/>
      <c r="S128" s="152"/>
      <c r="T128" s="154"/>
      <c r="U128" s="154"/>
      <c r="V128" s="154"/>
      <c r="W128" s="154"/>
      <c r="X128" s="154"/>
      <c r="Y128" s="152"/>
      <c r="Z128" s="152"/>
      <c r="AA128" s="31"/>
      <c r="AB128" s="31"/>
      <c r="AC128" s="31">
        <f>VLOOKUP($B128,Pitchers!$A1:$S251,4,FALSE)</f>
        <v>132.56666666666666</v>
      </c>
      <c r="AD128" s="33">
        <f>VLOOKUP($B128,Pitchers!$A1:$S251,5,FALSE)</f>
        <v>3.366174251948705</v>
      </c>
      <c r="AE128" s="33">
        <f>VLOOKUP($B128,Pitchers!$A1:$S251,6,FALSE)</f>
        <v>1.1144078451093788</v>
      </c>
      <c r="AF128" s="31">
        <f>VLOOKUP($B128,Pitchers!$A1:$S251,7,FALSE)</f>
        <v>137.53333333333333</v>
      </c>
      <c r="AG128" s="31">
        <f>VLOOKUP($B128,Pitchers!$A1:$S251,8,FALSE)</f>
        <v>8.5883333333333329</v>
      </c>
      <c r="AH128" s="31">
        <f>VLOOKUP($B128,Pitchers!$A1:$S251,9,FALSE)</f>
        <v>0.32500000000000001</v>
      </c>
      <c r="AI128" s="31">
        <f>VLOOKUP($B128,Pitchers!$A1:$S251,10,FALSE)</f>
        <v>49.582500000000003</v>
      </c>
      <c r="AJ128" s="31">
        <f>VLOOKUP($B128,Pitchers!$A1:$S251,11,FALSE)</f>
        <v>107.46666666666665</v>
      </c>
      <c r="AK128" s="31">
        <f>VLOOKUP($B128,Pitchers!$A1:$S251,12,FALSE)</f>
        <v>40.266666666666666</v>
      </c>
      <c r="AL128" s="31">
        <f>VLOOKUP($B128,Pitchers!$A1:$S251,13,FALSE)</f>
        <v>14.266666666666666</v>
      </c>
      <c r="AM128" s="31">
        <f>VLOOKUP($B128,Pitchers!$A1:$S251,14,FALSE)</f>
        <v>29.14833333333333</v>
      </c>
      <c r="AN128" s="31">
        <f>VLOOKUP($B128,Pitchers!$A1:$S251,15,FALSE)</f>
        <v>22.665000000000003</v>
      </c>
      <c r="AO128" s="31">
        <f>VLOOKUP($B128,Pitchers!$A1:$S251,16,FALSE)</f>
        <v>5.9950000000000001</v>
      </c>
      <c r="AP128" s="31">
        <f>VLOOKUP($B128,Pitchers!$A1:$S251,17,FALSE)</f>
        <v>9</v>
      </c>
      <c r="AQ128" s="31">
        <f>VLOOKUP($B128,Pitchers!$A1:$S251,18,FALSE)</f>
        <v>0</v>
      </c>
      <c r="AR128" s="31">
        <f>VLOOKUP($B128,Pitchers!$A1:$S251,19,FALSE)</f>
        <v>0</v>
      </c>
    </row>
    <row r="129" spans="1:44" ht="18.600000000000001" customHeight="1">
      <c r="A129" s="25">
        <f ca="1">RANK(I129,I$2:I$651)</f>
        <v>128</v>
      </c>
      <c r="B129" s="26" t="s">
        <v>224</v>
      </c>
      <c r="C129" s="27" t="s">
        <v>63</v>
      </c>
      <c r="D129" s="27" t="s">
        <v>74</v>
      </c>
      <c r="E129" s="36" t="s">
        <v>31</v>
      </c>
      <c r="F129" s="37">
        <f ca="1">VLOOKUP(B129,SP!A1:I161,IF(Settings!$J$13="points",4,7),FALSE)</f>
        <v>39</v>
      </c>
      <c r="G129" s="30">
        <f>(AC129*Settings!$F$2)+(AF129*Settings!$F$5)+(AG129*Settings!$F$6)+(AH129*Settings!$F$7)+(AI129*Settings!$F$8)+(AJ129*Settings!$F$9)+(AK129*Settings!$F$10)+(AL129*Settings!$F$11)+(AM129*Settings!$F$12)+(AN129*Settings!$F$13)+(AO129*Settings!$F$14)+(AP129*Settings!$F$15)+(AQ129*Settings!$F$16)+(AR129*Settings!$F$17)</f>
        <v>376.55</v>
      </c>
      <c r="H129" s="31">
        <f>VLOOKUP(B129,'Standard Deviations'!$A1:$D651,4,FALSE)</f>
        <v>2.6950146282822312</v>
      </c>
      <c r="I129" s="32">
        <f ca="1">IF(Settings!$J$16="no",VLOOKUP(B129,SP!A1:I161,IF(Settings!$J$13="points",6,9),FALSE),VLOOKUP(B129,'SP+RP'!$A1:$I251,IF(Settings!$J$13="points",6,9),FALSE))</f>
        <v>3.5625964347329284</v>
      </c>
      <c r="J129" s="31"/>
      <c r="K129" s="31">
        <f ca="1">J129-A129</f>
        <v>-128</v>
      </c>
      <c r="L129" s="31"/>
      <c r="M129" s="31"/>
      <c r="N129" s="31"/>
      <c r="O129" s="31"/>
      <c r="P129" s="31"/>
      <c r="Q129" s="31"/>
      <c r="R129" s="152"/>
      <c r="S129" s="152"/>
      <c r="T129" s="154"/>
      <c r="U129" s="154"/>
      <c r="V129" s="154"/>
      <c r="W129" s="154"/>
      <c r="X129" s="154"/>
      <c r="Y129" s="152"/>
      <c r="Z129" s="152"/>
      <c r="AA129" s="31"/>
      <c r="AB129" s="31"/>
      <c r="AC129" s="31">
        <f>VLOOKUP($B129,Pitchers!$A1:$S251,4,FALSE)</f>
        <v>147.17555555555555</v>
      </c>
      <c r="AD129" s="33">
        <f>VLOOKUP($B129,Pitchers!$A1:$S251,5,FALSE)</f>
        <v>3.5626840205952082</v>
      </c>
      <c r="AE129" s="33">
        <f>VLOOKUP($B129,Pitchers!$A1:$S251,6,FALSE)</f>
        <v>1.2075299340168206</v>
      </c>
      <c r="AF129" s="31">
        <f>VLOOKUP($B129,Pitchers!$A1:$S251,7,FALSE)</f>
        <v>182.17666666666665</v>
      </c>
      <c r="AG129" s="31">
        <f>VLOOKUP($B129,Pitchers!$A1:$S251,8,FALSE)</f>
        <v>10.488888888888889</v>
      </c>
      <c r="AH129" s="31">
        <f>VLOOKUP($B129,Pitchers!$A1:$S251,9,FALSE)</f>
        <v>0</v>
      </c>
      <c r="AI129" s="31">
        <f>VLOOKUP($B129,Pitchers!$A1:$S251,10,FALSE)</f>
        <v>58.26</v>
      </c>
      <c r="AJ129" s="31">
        <f>VLOOKUP($B129,Pitchers!$A1:$S251,11,FALSE)</f>
        <v>118.25333333333334</v>
      </c>
      <c r="AK129" s="31">
        <f>VLOOKUP($B129,Pitchers!$A1:$S251,12,FALSE)</f>
        <v>59.465555555555561</v>
      </c>
      <c r="AL129" s="31">
        <f>VLOOKUP($B129,Pitchers!$A1:$S251,13,FALSE)</f>
        <v>17.066666666666666</v>
      </c>
      <c r="AM129" s="31">
        <f>VLOOKUP($B129,Pitchers!$A1:$S251,14,FALSE)</f>
        <v>27.45</v>
      </c>
      <c r="AN129" s="31">
        <f>VLOOKUP($B129,Pitchers!$A1:$S251,15,FALSE)</f>
        <v>27.158333333333331</v>
      </c>
      <c r="AO129" s="31">
        <f>VLOOKUP($B129,Pitchers!$A1:$S251,16,FALSE)</f>
        <v>7.7016666666666671</v>
      </c>
      <c r="AP129" s="31">
        <f>VLOOKUP($B129,Pitchers!$A1:$S251,17,FALSE)</f>
        <v>15</v>
      </c>
      <c r="AQ129" s="31">
        <f>VLOOKUP($B129,Pitchers!$A1:$S251,18,FALSE)</f>
        <v>0</v>
      </c>
      <c r="AR129" s="31">
        <f>VLOOKUP($B129,Pitchers!$A1:$S251,19,FALSE)</f>
        <v>0</v>
      </c>
    </row>
    <row r="130" spans="1:44" ht="18.600000000000001" customHeight="1">
      <c r="A130" s="25">
        <f ca="1">RANK(I130,I$2:I$651)</f>
        <v>129</v>
      </c>
      <c r="B130" s="26" t="s">
        <v>190</v>
      </c>
      <c r="C130" s="27" t="s">
        <v>158</v>
      </c>
      <c r="D130" s="27" t="s">
        <v>74</v>
      </c>
      <c r="E130" s="28" t="s">
        <v>23</v>
      </c>
      <c r="F130" s="29">
        <f ca="1">VLOOKUP(B130,OF!A1:I139,IF(Settings!$J$13="points",4,7),FALSE)</f>
        <v>32</v>
      </c>
      <c r="G130" s="30">
        <f>(M130*Settings!$B$2)+(N130*Settings!$B$3)+(O130*Settings!$B$4)+(P130*Settings!$B$5)+(Q130*Settings!$B$6)+((T130-U130-V130-O130)*Settings!$B$9)+(U130*Settings!$B$10)+(V130*Settings!$B$11)+(W130*Settings!$B$12)+(X130*Settings!$B$13)+(AA130*Settings!$B$16)</f>
        <v>382.80444444444447</v>
      </c>
      <c r="H130" s="31">
        <f>VLOOKUP(B130,'Standard Deviations'!$A1:$D651,4,FALSE)</f>
        <v>3.4019392879710217</v>
      </c>
      <c r="I130" s="32">
        <f ca="1">VLOOKUP(B130,OF!A1:I139,IF(Settings!$J$13="points",6,9),FALSE)</f>
        <v>3.5588703840928058</v>
      </c>
      <c r="J130" s="31"/>
      <c r="K130" s="31">
        <f ca="1">J130-A130</f>
        <v>-129</v>
      </c>
      <c r="L130" s="31"/>
      <c r="M130" s="31">
        <f>VLOOKUP($B130,Hitters!$A1:$R401,4,FALSE)</f>
        <v>542.32222222222219</v>
      </c>
      <c r="N130" s="31">
        <f>VLOOKUP($B130,Hitters!$A1:$R401,5,FALSE)</f>
        <v>74.648888888888891</v>
      </c>
      <c r="O130" s="31">
        <f>VLOOKUP($B130,Hitters!$A1:$R401,6,FALSE)</f>
        <v>20.554444444444446</v>
      </c>
      <c r="P130" s="31">
        <f>VLOOKUP($B130,Hitters!$A1:$R401,7,FALSE)</f>
        <v>72.513333333333335</v>
      </c>
      <c r="Q130" s="31">
        <f>VLOOKUP($B130,Hitters!$A1:$R401,8,FALSE)</f>
        <v>9.7177777777777781</v>
      </c>
      <c r="R130" s="152">
        <f>VLOOKUP($B130,Hitters!$A$1:$R$401,14,FALSE)</f>
        <v>0.24862832674301874</v>
      </c>
      <c r="S130" s="152">
        <f>VLOOKUP($B130,Hitters!$A$1:$R$401,15,FALSE)</f>
        <v>0.33532454140557322</v>
      </c>
      <c r="T130" s="154">
        <f>VLOOKUP($B130,Hitters!$A$1:$R$401,9,FALSE)</f>
        <v>134.83666666666667</v>
      </c>
      <c r="U130" s="154">
        <f>VLOOKUP($B130,Hitters!$A$1:$R$401,10,FALSE)</f>
        <v>28.801111111111112</v>
      </c>
      <c r="V130" s="154">
        <f>VLOOKUP($B130,Hitters!$A$1:$R$401,11,FALSE)</f>
        <v>1.9955555555555555</v>
      </c>
      <c r="W130" s="154">
        <f>VLOOKUP($B130,Hitters!$A$1:$R$401,12,FALSE)</f>
        <v>62.651111111111106</v>
      </c>
      <c r="X130" s="154">
        <f>VLOOKUP($B130,Hitters!$A$1:$R$401,13,FALSE)</f>
        <v>151.47333333333333</v>
      </c>
      <c r="Y130" s="152">
        <f>VLOOKUP($B130,Hitters!$A$1:$R$401,16,FALSE)</f>
        <v>0.4227970251388064</v>
      </c>
      <c r="Z130" s="152">
        <f>VLOOKUP($B130,Hitters!$A$1:$R$401,17,FALSE)</f>
        <v>0.75812156654437968</v>
      </c>
      <c r="AA130" s="31">
        <f>VLOOKUP($B130,Hitters!$A1:$R401,18,FALSE)</f>
        <v>0</v>
      </c>
      <c r="AB130" s="31"/>
      <c r="AC130" s="31"/>
      <c r="AD130" s="33"/>
      <c r="AE130" s="33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</row>
    <row r="131" spans="1:44" ht="18.600000000000001" customHeight="1">
      <c r="A131" s="25">
        <f ca="1">RANK(I131,I$2:I$651)</f>
        <v>130</v>
      </c>
      <c r="B131" s="26" t="s">
        <v>265</v>
      </c>
      <c r="C131" s="27" t="s">
        <v>156</v>
      </c>
      <c r="D131" s="27" t="s">
        <v>69</v>
      </c>
      <c r="E131" s="48" t="s">
        <v>11</v>
      </c>
      <c r="F131" s="49">
        <f ca="1">VLOOKUP(B131,'2B'!A1:I50,IF(Settings!$J$13="points",4,7),FALSE)</f>
        <v>8</v>
      </c>
      <c r="G131" s="30">
        <f>(M131*Settings!$B$2)+(N131*Settings!$B$3)+(O131*Settings!$B$4)+(P131*Settings!$B$5)+(Q131*Settings!$B$6)+((T131-U131-V131-O131)*Settings!$B$9)+(U131*Settings!$B$10)+(V131*Settings!$B$11)+(W131*Settings!$B$12)+(X131*Settings!$B$13)+(AA131*Settings!$B$16)</f>
        <v>384.51666666666659</v>
      </c>
      <c r="H131" s="31">
        <f>VLOOKUP(B131,'Standard Deviations'!$A1:$D651,4,FALSE)</f>
        <v>3.5075922132708373</v>
      </c>
      <c r="I131" s="32">
        <f ca="1">IF(Settings!$J$16="no",VLOOKUP(B131,'2B'!A1:I50,IF(Settings!$J$13="points",6,9),FALSE),VLOOKUP(B131,'2B+SS'!$A1:$I94,IF(Settings!$J$13="points",6,9),FALSE))</f>
        <v>3.5015505616314035</v>
      </c>
      <c r="J131" s="31"/>
      <c r="K131" s="31">
        <f ca="1">J131-A131</f>
        <v>-130</v>
      </c>
      <c r="L131" s="31"/>
      <c r="M131" s="31">
        <f>VLOOKUP($B131,Hitters!$A1:$R401,4,FALSE)</f>
        <v>509.95</v>
      </c>
      <c r="N131" s="31">
        <f>VLOOKUP($B131,Hitters!$A1:$R401,5,FALSE)</f>
        <v>74.05</v>
      </c>
      <c r="O131" s="31">
        <f>VLOOKUP($B131,Hitters!$A1:$R401,6,FALSE)</f>
        <v>20.815000000000001</v>
      </c>
      <c r="P131" s="31">
        <f>VLOOKUP($B131,Hitters!$A1:$R401,7,FALSE)</f>
        <v>71.651666666666657</v>
      </c>
      <c r="Q131" s="31">
        <f>VLOOKUP($B131,Hitters!$A1:$R401,8,FALSE)</f>
        <v>7.9122222222222227</v>
      </c>
      <c r="R131" s="152">
        <f>VLOOKUP($B131,Hitters!$A$1:$R$401,14,FALSE)</f>
        <v>0.25623753962806811</v>
      </c>
      <c r="S131" s="152">
        <f>VLOOKUP($B131,Hitters!$A$1:$R$401,15,FALSE)</f>
        <v>0.33890272490552309</v>
      </c>
      <c r="T131" s="154">
        <f>VLOOKUP($B131,Hitters!$A$1:$R$401,9,FALSE)</f>
        <v>130.66833333333332</v>
      </c>
      <c r="U131" s="154">
        <f>VLOOKUP($B131,Hitters!$A$1:$R$401,10,FALSE)</f>
        <v>26.439999999999998</v>
      </c>
      <c r="V131" s="154">
        <f>VLOOKUP($B131,Hitters!$A$1:$R$401,11,FALSE)</f>
        <v>1.9677777777777778</v>
      </c>
      <c r="W131" s="154">
        <f>VLOOKUP($B131,Hitters!$A$1:$R$401,12,FALSE)</f>
        <v>56.244999999999997</v>
      </c>
      <c r="X131" s="154">
        <f>VLOOKUP($B131,Hitters!$A$1:$R$401,13,FALSE)</f>
        <v>113.48666666666666</v>
      </c>
      <c r="Y131" s="152">
        <f>VLOOKUP($B131,Hitters!$A$1:$R$401,16,FALSE)</f>
        <v>0.43825647394624745</v>
      </c>
      <c r="Z131" s="152">
        <f>VLOOKUP($B131,Hitters!$A$1:$R$401,17,FALSE)</f>
        <v>0.77715919885177054</v>
      </c>
      <c r="AA131" s="31">
        <f>VLOOKUP($B131,Hitters!$A1:$R401,18,FALSE)</f>
        <v>0</v>
      </c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</row>
    <row r="132" spans="1:44" ht="18.600000000000001" customHeight="1">
      <c r="A132" s="25">
        <f ca="1">RANK(I132,I$2:I$651)</f>
        <v>131</v>
      </c>
      <c r="B132" s="26" t="s">
        <v>353</v>
      </c>
      <c r="C132" s="27" t="s">
        <v>84</v>
      </c>
      <c r="D132" s="27" t="s">
        <v>69</v>
      </c>
      <c r="E132" s="36" t="s">
        <v>31</v>
      </c>
      <c r="F132" s="37">
        <f ca="1">VLOOKUP(B132,SP!A1:I161,IF(Settings!$J$13="points",4,7),FALSE)</f>
        <v>40</v>
      </c>
      <c r="G132" s="30">
        <f>(AC132*Settings!$F$2)+(AF132*Settings!$F$5)+(AG132*Settings!$F$6)+(AH132*Settings!$F$7)+(AI132*Settings!$F$8)+(AJ132*Settings!$F$9)+(AK132*Settings!$F$10)+(AL132*Settings!$F$11)+(AM132*Settings!$F$12)+(AN132*Settings!$F$13)+(AO132*Settings!$F$14)+(AP132*Settings!$F$15)+(AQ132*Settings!$F$16)+(AR132*Settings!$F$17)</f>
        <v>392.00003333333331</v>
      </c>
      <c r="H132" s="31">
        <f>VLOOKUP(B132,'Standard Deviations'!$A1:$D651,4,FALSE)</f>
        <v>2.6095417193948207</v>
      </c>
      <c r="I132" s="32">
        <f ca="1">IF(Settings!$J$16="no",VLOOKUP(B132,SP!A1:I161,IF(Settings!$J$13="points",6,9),FALSE),VLOOKUP(B132,'SP+RP'!$A1:$I251,IF(Settings!$J$13="points",6,9),FALSE))</f>
        <v>3.4771180913136561</v>
      </c>
      <c r="J132" s="31"/>
      <c r="K132" s="31">
        <f ca="1">J132-A132</f>
        <v>-131</v>
      </c>
      <c r="L132" s="31"/>
      <c r="M132" s="31"/>
      <c r="N132" s="31"/>
      <c r="O132" s="31"/>
      <c r="P132" s="31"/>
      <c r="Q132" s="31"/>
      <c r="R132" s="152"/>
      <c r="S132" s="152"/>
      <c r="T132" s="154"/>
      <c r="U132" s="154"/>
      <c r="V132" s="154"/>
      <c r="W132" s="154"/>
      <c r="X132" s="154"/>
      <c r="Y132" s="152"/>
      <c r="Z132" s="152"/>
      <c r="AA132" s="31"/>
      <c r="AB132" s="31"/>
      <c r="AC132" s="31">
        <f>VLOOKUP($B132,Pitchers!$A1:$S251,4,FALSE)</f>
        <v>170.76666666666665</v>
      </c>
      <c r="AD132" s="33">
        <f>VLOOKUP($B132,Pitchers!$A1:$S251,5,FALSE)</f>
        <v>3.6412826468865904</v>
      </c>
      <c r="AE132" s="33">
        <f>VLOOKUP($B132,Pitchers!$A1:$S251,6,FALSE)</f>
        <v>1.1594768690220576</v>
      </c>
      <c r="AF132" s="31">
        <f>VLOOKUP($B132,Pitchers!$A1:$S251,7,FALSE)</f>
        <v>179</v>
      </c>
      <c r="AG132" s="31">
        <f>VLOOKUP($B132,Pitchers!$A1:$S251,8,FALSE)</f>
        <v>9.2200000000000006</v>
      </c>
      <c r="AH132" s="31">
        <f>VLOOKUP($B132,Pitchers!$A1:$S251,9,FALSE)</f>
        <v>0</v>
      </c>
      <c r="AI132" s="31">
        <f>VLOOKUP($B132,Pitchers!$A1:$S251,10,FALSE)</f>
        <v>69.089966666666669</v>
      </c>
      <c r="AJ132" s="31">
        <f>VLOOKUP($B132,Pitchers!$A1:$S251,11,FALSE)</f>
        <v>142.66666666666666</v>
      </c>
      <c r="AK132" s="31">
        <f>VLOOKUP($B132,Pitchers!$A1:$S251,12,FALSE)</f>
        <v>55.333333333333336</v>
      </c>
      <c r="AL132" s="31">
        <f>VLOOKUP($B132,Pitchers!$A1:$S251,13,FALSE)</f>
        <v>20.5</v>
      </c>
      <c r="AM132" s="31">
        <f>VLOOKUP($B132,Pitchers!$A1:$S251,14,FALSE)</f>
        <v>28.67</v>
      </c>
      <c r="AN132" s="31">
        <f>VLOOKUP($B132,Pitchers!$A1:$S251,15,FALSE)</f>
        <v>28.33666666666667</v>
      </c>
      <c r="AO132" s="31">
        <f>VLOOKUP($B132,Pitchers!$A1:$S251,16,FALSE)</f>
        <v>8.65</v>
      </c>
      <c r="AP132" s="31">
        <f>VLOOKUP($B132,Pitchers!$A1:$S251,17,FALSE)</f>
        <v>12</v>
      </c>
      <c r="AQ132" s="31">
        <f>VLOOKUP($B132,Pitchers!$A1:$S251,18,FALSE)</f>
        <v>0</v>
      </c>
      <c r="AR132" s="31">
        <f>VLOOKUP($B132,Pitchers!$A1:$S251,19,FALSE)</f>
        <v>0</v>
      </c>
    </row>
    <row r="133" spans="1:44" ht="18.600000000000001" customHeight="1">
      <c r="A133" s="25">
        <f ca="1">RANK(I133,I$2:I$651)</f>
        <v>132</v>
      </c>
      <c r="B133" s="26" t="s">
        <v>194</v>
      </c>
      <c r="C133" s="27" t="s">
        <v>95</v>
      </c>
      <c r="D133" s="27" t="s">
        <v>74</v>
      </c>
      <c r="E133" s="28" t="s">
        <v>23</v>
      </c>
      <c r="F133" s="29">
        <f ca="1">VLOOKUP(B133,OF!A1:I139,IF(Settings!$J$13="points",4,7),FALSE)</f>
        <v>33</v>
      </c>
      <c r="G133" s="30">
        <f>(M133*Settings!$B$2)+(N133*Settings!$B$3)+(O133*Settings!$B$4)+(P133*Settings!$B$5)+(Q133*Settings!$B$6)+((T133-U133-V133-O133)*Settings!$B$9)+(U133*Settings!$B$10)+(V133*Settings!$B$11)+(W133*Settings!$B$12)+(X133*Settings!$B$13)+(AA133*Settings!$B$16)</f>
        <v>401.55444444444447</v>
      </c>
      <c r="H133" s="31">
        <f>VLOOKUP(B133,'Standard Deviations'!$A1:$D651,4,FALSE)</f>
        <v>3.2710666063433007</v>
      </c>
      <c r="I133" s="32">
        <f ca="1">VLOOKUP(B133,OF!A1:I139,IF(Settings!$J$13="points",6,9),FALSE)</f>
        <v>3.4279996583873893</v>
      </c>
      <c r="J133" s="31"/>
      <c r="K133" s="31">
        <f ca="1">J133-A133</f>
        <v>-132</v>
      </c>
      <c r="L133" s="31"/>
      <c r="M133" s="31">
        <f>VLOOKUP($B133,Hitters!$A1:$R401,4,FALSE)</f>
        <v>529.85</v>
      </c>
      <c r="N133" s="31">
        <f>VLOOKUP($B133,Hitters!$A1:$R401,5,FALSE)</f>
        <v>87.545000000000002</v>
      </c>
      <c r="O133" s="31">
        <f>VLOOKUP($B133,Hitters!$A1:$R401,6,FALSE)</f>
        <v>14.469999999999999</v>
      </c>
      <c r="P133" s="31">
        <f>VLOOKUP($B133,Hitters!$A1:$R401,7,FALSE)</f>
        <v>60.456666666666671</v>
      </c>
      <c r="Q133" s="31">
        <f>VLOOKUP($B133,Hitters!$A1:$R401,8,FALSE)</f>
        <v>5.9644444444444451</v>
      </c>
      <c r="R133" s="152">
        <f>VLOOKUP($B133,Hitters!$A$1:$R$401,14,FALSE)</f>
        <v>0.27029347928659053</v>
      </c>
      <c r="S133" s="152">
        <f>VLOOKUP($B133,Hitters!$A$1:$R$401,15,FALSE)</f>
        <v>0.36623705244197252</v>
      </c>
      <c r="T133" s="154">
        <f>VLOOKUP($B133,Hitters!$A$1:$R$401,9,FALSE)</f>
        <v>143.215</v>
      </c>
      <c r="U133" s="154">
        <f>VLOOKUP($B133,Hitters!$A$1:$R$401,10,FALSE)</f>
        <v>27.801111111111112</v>
      </c>
      <c r="V133" s="154">
        <f>VLOOKUP($B133,Hitters!$A$1:$R$401,11,FALSE)</f>
        <v>5.0183333333333335</v>
      </c>
      <c r="W133" s="154">
        <f>VLOOKUP($B133,Hitters!$A$1:$R$401,12,FALSE)</f>
        <v>73.089999999999989</v>
      </c>
      <c r="X133" s="154">
        <f>VLOOKUP($B133,Hitters!$A$1:$R$401,13,FALSE)</f>
        <v>111.85777777777777</v>
      </c>
      <c r="Y133" s="152">
        <f>VLOOKUP($B133,Hitters!$A$1:$R$401,16,FALSE)</f>
        <v>0.42363457162928708</v>
      </c>
      <c r="Z133" s="152">
        <f>VLOOKUP($B133,Hitters!$A$1:$R$401,17,FALSE)</f>
        <v>0.78987162407125955</v>
      </c>
      <c r="AA133" s="31">
        <f>VLOOKUP($B133,Hitters!$A1:$R401,18,FALSE)</f>
        <v>0</v>
      </c>
      <c r="AB133" s="31"/>
      <c r="AC133" s="31"/>
      <c r="AD133" s="33"/>
      <c r="AE133" s="33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</row>
    <row r="134" spans="1:44" ht="18.600000000000001" customHeight="1">
      <c r="A134" s="25">
        <f ca="1">RANK(I134,I$2:I$651)</f>
        <v>133</v>
      </c>
      <c r="B134" s="26" t="s">
        <v>167</v>
      </c>
      <c r="C134" s="27" t="s">
        <v>101</v>
      </c>
      <c r="D134" s="27" t="s">
        <v>69</v>
      </c>
      <c r="E134" s="36" t="s">
        <v>31</v>
      </c>
      <c r="F134" s="37">
        <f ca="1">VLOOKUP(B134,SP!A1:I161,IF(Settings!$J$13="points",4,7),FALSE)</f>
        <v>41</v>
      </c>
      <c r="G134" s="30">
        <f>(AC134*Settings!$F$2)+(AF134*Settings!$F$5)+(AG134*Settings!$F$6)+(AH134*Settings!$F$7)+(AI134*Settings!$F$8)+(AJ134*Settings!$F$9)+(AK134*Settings!$F$10)+(AL134*Settings!$F$11)+(AM134*Settings!$F$12)+(AN134*Settings!$F$13)+(AO134*Settings!$F$14)+(AP134*Settings!$F$15)+(AQ134*Settings!$F$16)+(AR134*Settings!$F$17)</f>
        <v>328.17666666666662</v>
      </c>
      <c r="H134" s="31">
        <f>VLOOKUP(B134,'Standard Deviations'!$A1:$D651,4,FALSE)</f>
        <v>2.5528582559806328</v>
      </c>
      <c r="I134" s="32">
        <f ca="1">IF(Settings!$J$16="no",VLOOKUP(B134,SP!A1:I161,IF(Settings!$J$13="points",6,9),FALSE),VLOOKUP(B134,'SP+RP'!$A1:$I251,IF(Settings!$J$13="points",6,9),FALSE))</f>
        <v>3.4204397084278595</v>
      </c>
      <c r="J134" s="31"/>
      <c r="K134" s="31">
        <f ca="1">J134-A134</f>
        <v>-133</v>
      </c>
      <c r="L134" s="31"/>
      <c r="M134" s="31"/>
      <c r="N134" s="31"/>
      <c r="O134" s="31"/>
      <c r="P134" s="31"/>
      <c r="Q134" s="31"/>
      <c r="R134" s="152"/>
      <c r="S134" s="152"/>
      <c r="T134" s="154"/>
      <c r="U134" s="154"/>
      <c r="V134" s="154"/>
      <c r="W134" s="154"/>
      <c r="X134" s="154"/>
      <c r="Y134" s="152"/>
      <c r="Z134" s="152"/>
      <c r="AA134" s="31"/>
      <c r="AB134" s="31"/>
      <c r="AC134" s="31">
        <f>VLOOKUP($B134,Pitchers!$A1:$S251,4,FALSE)</f>
        <v>119.11444444444443</v>
      </c>
      <c r="AD134" s="33">
        <f>VLOOKUP($B134,Pitchers!$A1:$S251,5,FALSE)</f>
        <v>3.3497196906802986</v>
      </c>
      <c r="AE134" s="33">
        <f>VLOOKUP($B134,Pitchers!$A1:$S251,6,FALSE)</f>
        <v>1.1158829510368182</v>
      </c>
      <c r="AF134" s="31">
        <f>VLOOKUP($B134,Pitchers!$A1:$S251,7,FALSE)</f>
        <v>147.33333333333334</v>
      </c>
      <c r="AG134" s="31">
        <f>VLOOKUP($B134,Pitchers!$A1:$S251,8,FALSE)</f>
        <v>7.4088888888888889</v>
      </c>
      <c r="AH134" s="31">
        <f>VLOOKUP($B134,Pitchers!$A1:$S251,9,FALSE)</f>
        <v>0</v>
      </c>
      <c r="AI134" s="31">
        <f>VLOOKUP($B134,Pitchers!$A1:$S251,10,FALSE)</f>
        <v>44.333333333333336</v>
      </c>
      <c r="AJ134" s="31">
        <f>VLOOKUP($B134,Pitchers!$A1:$S251,11,FALSE)</f>
        <v>93.666666666666671</v>
      </c>
      <c r="AK134" s="31">
        <f>VLOOKUP($B134,Pitchers!$A1:$S251,12,FALSE)</f>
        <v>39.251111111111108</v>
      </c>
      <c r="AL134" s="31">
        <f>VLOOKUP($B134,Pitchers!$A1:$S251,13,FALSE)</f>
        <v>14.433333333333332</v>
      </c>
      <c r="AM134" s="31">
        <f>VLOOKUP($B134,Pitchers!$A1:$S251,14,FALSE)</f>
        <v>21.398888888888887</v>
      </c>
      <c r="AN134" s="31">
        <f>VLOOKUP($B134,Pitchers!$A1:$S251,15,FALSE)</f>
        <v>21.398888888888887</v>
      </c>
      <c r="AO134" s="31">
        <f>VLOOKUP($B134,Pitchers!$A1:$S251,16,FALSE)</f>
        <v>5.0888888888888895</v>
      </c>
      <c r="AP134" s="31">
        <f>VLOOKUP($B134,Pitchers!$A1:$S251,17,FALSE)</f>
        <v>16</v>
      </c>
      <c r="AQ134" s="31">
        <f>VLOOKUP($B134,Pitchers!$A1:$S251,18,FALSE)</f>
        <v>0</v>
      </c>
      <c r="AR134" s="31">
        <f>VLOOKUP($B134,Pitchers!$A1:$S251,19,FALSE)</f>
        <v>0</v>
      </c>
    </row>
    <row r="135" spans="1:44" ht="18.600000000000001" customHeight="1">
      <c r="A135" s="25">
        <f ca="1">RANK(I135,I$2:I$651)</f>
        <v>134</v>
      </c>
      <c r="B135" s="26" t="s">
        <v>260</v>
      </c>
      <c r="C135" s="27" t="s">
        <v>117</v>
      </c>
      <c r="D135" s="27" t="s">
        <v>69</v>
      </c>
      <c r="E135" s="40" t="s">
        <v>7</v>
      </c>
      <c r="F135" s="41">
        <f ca="1">VLOOKUP(B135,'1B'!A1:I63,IF(Settings!$J$13="points",4,7),FALSE)</f>
        <v>12</v>
      </c>
      <c r="G135" s="30">
        <f>(M135*Settings!$B$2)+(N135*Settings!$B$3)+(O135*Settings!$B$4)+(P135*Settings!$B$5)+(Q135*Settings!$B$6)+((T135-U135-V135-O135)*Settings!$B$9)+(U135*Settings!$B$10)+(V135*Settings!$B$11)+(W135*Settings!$B$12)+(X135*Settings!$B$13)+(AA135*Settings!$B$16)</f>
        <v>402.85944444444442</v>
      </c>
      <c r="H135" s="31">
        <f>VLOOKUP(B135,'Standard Deviations'!$A1:$D651,4,FALSE)</f>
        <v>3.6296413186549121</v>
      </c>
      <c r="I135" s="32">
        <f ca="1">IF(Settings!$J$15="no",VLOOKUP(B135,'1B'!A1:I63,IF(Settings!$J$13="points",6,9),FALSE),VLOOKUP(B135,'1B+3B'!$A1:$I104,IF(Settings!$J$13="points",6,9),FALSE))</f>
        <v>3.404162538963357</v>
      </c>
      <c r="J135" s="31"/>
      <c r="K135" s="31">
        <f ca="1">J135-A135</f>
        <v>-134</v>
      </c>
      <c r="L135" s="31"/>
      <c r="M135" s="31">
        <f>VLOOKUP($B135,Hitters!$A1:$R401,4,FALSE)</f>
        <v>506.40000000000003</v>
      </c>
      <c r="N135" s="31">
        <f>VLOOKUP($B135,Hitters!$A1:$R401,5,FALSE)</f>
        <v>69.317777777777778</v>
      </c>
      <c r="O135" s="31">
        <f>VLOOKUP($B135,Hitters!$A1:$R401,6,FALSE)</f>
        <v>20.099999999999998</v>
      </c>
      <c r="P135" s="31">
        <f>VLOOKUP($B135,Hitters!$A1:$R401,7,FALSE)</f>
        <v>75.682222222222222</v>
      </c>
      <c r="Q135" s="31">
        <f>VLOOKUP($B135,Hitters!$A1:$R401,8,FALSE)</f>
        <v>2.5155555555555558</v>
      </c>
      <c r="R135" s="152">
        <f>VLOOKUP($B135,Hitters!$A$1:$R$401,14,FALSE)</f>
        <v>0.27563191153238548</v>
      </c>
      <c r="S135" s="152">
        <f>VLOOKUP($B135,Hitters!$A$1:$R$401,15,FALSE)</f>
        <v>0.35889890011332781</v>
      </c>
      <c r="T135" s="154">
        <f>VLOOKUP($B135,Hitters!$A$1:$R$401,9,FALSE)</f>
        <v>139.58000000000001</v>
      </c>
      <c r="U135" s="154">
        <f>VLOOKUP($B135,Hitters!$A$1:$R$401,10,FALSE)</f>
        <v>29.703333333333333</v>
      </c>
      <c r="V135" s="154">
        <f>VLOOKUP($B135,Hitters!$A$1:$R$401,11,FALSE)</f>
        <v>1.9799999999999998</v>
      </c>
      <c r="W135" s="154">
        <f>VLOOKUP($B135,Hitters!$A$1:$R$401,12,FALSE)</f>
        <v>58.781666666666666</v>
      </c>
      <c r="X135" s="154">
        <f>VLOOKUP($B135,Hitters!$A$1:$R$401,13,FALSE)</f>
        <v>78.993333333333325</v>
      </c>
      <c r="Y135" s="152">
        <f>VLOOKUP($B135,Hitters!$A$1:$R$401,16,FALSE)</f>
        <v>0.46118351764086363</v>
      </c>
      <c r="Z135" s="152">
        <f>VLOOKUP($B135,Hitters!$A$1:$R$401,17,FALSE)</f>
        <v>0.82008241775419144</v>
      </c>
      <c r="AA135" s="31">
        <f>VLOOKUP($B135,Hitters!$A1:$R401,18,FALSE)</f>
        <v>0</v>
      </c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</row>
    <row r="136" spans="1:44" ht="18.600000000000001" customHeight="1">
      <c r="A136" s="25">
        <f ca="1">RANK(I136,I$2:I$651)</f>
        <v>135</v>
      </c>
      <c r="B136" s="26" t="s">
        <v>184</v>
      </c>
      <c r="C136" s="27" t="s">
        <v>103</v>
      </c>
      <c r="D136" s="27" t="s">
        <v>69</v>
      </c>
      <c r="E136" s="28" t="s">
        <v>23</v>
      </c>
      <c r="F136" s="29">
        <f ca="1">VLOOKUP(B136,OF!A1:I139,IF(Settings!$J$13="points",4,7),FALSE)</f>
        <v>34</v>
      </c>
      <c r="G136" s="30">
        <f>(M136*Settings!$B$2)+(N136*Settings!$B$3)+(O136*Settings!$B$4)+(P136*Settings!$B$5)+(Q136*Settings!$B$6)+((T136-U136-V136-O136)*Settings!$B$9)+(U136*Settings!$B$10)+(V136*Settings!$B$11)+(W136*Settings!$B$12)+(X136*Settings!$B$13)+(AA136*Settings!$B$16)</f>
        <v>381.00611111111107</v>
      </c>
      <c r="H136" s="31">
        <f>VLOOKUP(B136,'Standard Deviations'!$A1:$D651,4,FALSE)</f>
        <v>3.1852108600101925</v>
      </c>
      <c r="I136" s="32">
        <f ca="1">VLOOKUP(B136,OF!A1:I139,IF(Settings!$J$13="points",6,9),FALSE)</f>
        <v>3.3421457663827656</v>
      </c>
      <c r="J136" s="31"/>
      <c r="K136" s="31">
        <f ca="1">J136-A136</f>
        <v>-135</v>
      </c>
      <c r="L136" s="31"/>
      <c r="M136" s="31">
        <f>VLOOKUP($B136,Hitters!$A1:$R401,4,FALSE)</f>
        <v>543.94999999999993</v>
      </c>
      <c r="N136" s="31">
        <f>VLOOKUP($B136,Hitters!$A1:$R401,5,FALSE)</f>
        <v>72.85777777777777</v>
      </c>
      <c r="O136" s="31">
        <f>VLOOKUP($B136,Hitters!$A1:$R401,6,FALSE)</f>
        <v>12.691666666666668</v>
      </c>
      <c r="P136" s="31">
        <f>VLOOKUP($B136,Hitters!$A1:$R401,7,FALSE)</f>
        <v>67.846666666666678</v>
      </c>
      <c r="Q136" s="31">
        <f>VLOOKUP($B136,Hitters!$A1:$R401,8,FALSE)</f>
        <v>4.4122222222222218</v>
      </c>
      <c r="R136" s="152">
        <f>VLOOKUP($B136,Hitters!$A$1:$R$401,14,FALSE)</f>
        <v>0.28351564175628891</v>
      </c>
      <c r="S136" s="152">
        <f>VLOOKUP($B136,Hitters!$A$1:$R$401,15,FALSE)</f>
        <v>0.34628801370920143</v>
      </c>
      <c r="T136" s="154">
        <f>VLOOKUP($B136,Hitters!$A$1:$R$401,9,FALSE)</f>
        <v>154.21833333333333</v>
      </c>
      <c r="U136" s="154">
        <f>VLOOKUP($B136,Hitters!$A$1:$R$401,10,FALSE)</f>
        <v>33.696666666666665</v>
      </c>
      <c r="V136" s="154">
        <f>VLOOKUP($B136,Hitters!$A$1:$R$401,11,FALSE)</f>
        <v>1.9855555555555557</v>
      </c>
      <c r="W136" s="154">
        <f>VLOOKUP($B136,Hitters!$A$1:$R$401,12,FALSE)</f>
        <v>44.396666666666668</v>
      </c>
      <c r="X136" s="154">
        <f>VLOOKUP($B136,Hitters!$A$1:$R$401,13,FALSE)</f>
        <v>85.761111111111106</v>
      </c>
      <c r="Y136" s="152">
        <f>VLOOKUP($B136,Hitters!$A$1:$R$401,16,FALSE)</f>
        <v>0.42276148747331777</v>
      </c>
      <c r="Z136" s="152">
        <f>VLOOKUP($B136,Hitters!$A$1:$R$401,17,FALSE)</f>
        <v>0.76904950118251914</v>
      </c>
      <c r="AA136" s="31">
        <f>VLOOKUP($B136,Hitters!$A1:$R401,18,FALSE)</f>
        <v>0</v>
      </c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</row>
    <row r="137" spans="1:44" ht="18.600000000000001" customHeight="1">
      <c r="A137" s="25">
        <f ca="1">RANK(I137,I$2:I$651)</f>
        <v>136</v>
      </c>
      <c r="B137" s="26" t="s">
        <v>173</v>
      </c>
      <c r="C137" s="27" t="s">
        <v>68</v>
      </c>
      <c r="D137" s="27" t="s">
        <v>69</v>
      </c>
      <c r="E137" s="28" t="s">
        <v>23</v>
      </c>
      <c r="F137" s="29">
        <f ca="1">VLOOKUP(B137,OF!A1:I139,IF(Settings!$J$13="points",4,7),FALSE)</f>
        <v>35</v>
      </c>
      <c r="G137" s="30">
        <f>(M137*Settings!$B$2)+(N137*Settings!$B$3)+(O137*Settings!$B$4)+(P137*Settings!$B$5)+(Q137*Settings!$B$6)+((T137-U137-V137-O137)*Settings!$B$9)+(U137*Settings!$B$10)+(V137*Settings!$B$11)+(W137*Settings!$B$12)+(X137*Settings!$B$13)+(AA137*Settings!$B$16)</f>
        <v>353.73444444444442</v>
      </c>
      <c r="H137" s="31">
        <f>VLOOKUP(B137,'Standard Deviations'!$A1:$D651,4,FALSE)</f>
        <v>3.140166208718691</v>
      </c>
      <c r="I137" s="32">
        <f ca="1">VLOOKUP(B137,OF!A1:I139,IF(Settings!$J$13="points",6,9),FALSE)</f>
        <v>3.2970951985122121</v>
      </c>
      <c r="J137" s="31"/>
      <c r="K137" s="31">
        <f ca="1">J137-A137</f>
        <v>-136</v>
      </c>
      <c r="L137" s="31"/>
      <c r="M137" s="31">
        <f>VLOOKUP($B137,Hitters!$A1:$R401,4,FALSE)</f>
        <v>469.21111111111105</v>
      </c>
      <c r="N137" s="31">
        <f>VLOOKUP($B137,Hitters!$A1:$R401,5,FALSE)</f>
        <v>67.547777777777782</v>
      </c>
      <c r="O137" s="31">
        <f>VLOOKUP($B137,Hitters!$A1:$R401,6,FALSE)</f>
        <v>30.765555555555554</v>
      </c>
      <c r="P137" s="31">
        <f>VLOOKUP($B137,Hitters!$A1:$R401,7,FALSE)</f>
        <v>83.825000000000003</v>
      </c>
      <c r="Q137" s="31">
        <f>VLOOKUP($B137,Hitters!$A1:$R401,8,FALSE)</f>
        <v>4.5000000000000005E-2</v>
      </c>
      <c r="R137" s="152">
        <f>VLOOKUP($B137,Hitters!$A$1:$R$401,14,FALSE)</f>
        <v>0.24178171398801776</v>
      </c>
      <c r="S137" s="152">
        <f>VLOOKUP($B137,Hitters!$A$1:$R$401,15,FALSE)</f>
        <v>0.33152209233627006</v>
      </c>
      <c r="T137" s="154">
        <f>VLOOKUP($B137,Hitters!$A$1:$R$401,9,FALSE)</f>
        <v>113.44666666666667</v>
      </c>
      <c r="U137" s="154">
        <f>VLOOKUP($B137,Hitters!$A$1:$R$401,10,FALSE)</f>
        <v>16.988888888888891</v>
      </c>
      <c r="V137" s="154">
        <f>VLOOKUP($B137,Hitters!$A$1:$R$401,11,FALSE)</f>
        <v>0.03</v>
      </c>
      <c r="W137" s="154">
        <f>VLOOKUP($B137,Hitters!$A$1:$R$401,12,FALSE)</f>
        <v>55.913333333333334</v>
      </c>
      <c r="X137" s="154">
        <f>VLOOKUP($B137,Hitters!$A$1:$R$401,13,FALSE)</f>
        <v>152.86777777777777</v>
      </c>
      <c r="Y137" s="152">
        <f>VLOOKUP($B137,Hitters!$A$1:$R$401,16,FALSE)</f>
        <v>0.47482298894124897</v>
      </c>
      <c r="Z137" s="152">
        <f>VLOOKUP($B137,Hitters!$A$1:$R$401,17,FALSE)</f>
        <v>0.80634508127751903</v>
      </c>
      <c r="AA137" s="31">
        <f>VLOOKUP($B137,Hitters!$A1:$R401,18,FALSE)</f>
        <v>0</v>
      </c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</row>
    <row r="138" spans="1:44" ht="18.600000000000001" customHeight="1">
      <c r="A138" s="25">
        <f ca="1">RANK(I138,I$2:I$651)</f>
        <v>137</v>
      </c>
      <c r="B138" s="26" t="s">
        <v>277</v>
      </c>
      <c r="C138" s="27" t="s">
        <v>114</v>
      </c>
      <c r="D138" s="27" t="s">
        <v>69</v>
      </c>
      <c r="E138" s="36" t="s">
        <v>31</v>
      </c>
      <c r="F138" s="37">
        <f ca="1">VLOOKUP(B138,SP!A1:I161,IF(Settings!$J$13="points",4,7),FALSE)</f>
        <v>42</v>
      </c>
      <c r="G138" s="30">
        <f>(AC138*Settings!$F$2)+(AF138*Settings!$F$5)+(AG138*Settings!$F$6)+(AH138*Settings!$F$7)+(AI138*Settings!$F$8)+(AJ138*Settings!$F$9)+(AK138*Settings!$F$10)+(AL138*Settings!$F$11)+(AM138*Settings!$F$12)+(AN138*Settings!$F$13)+(AO138*Settings!$F$14)+(AP138*Settings!$F$15)+(AQ138*Settings!$F$16)+(AR138*Settings!$F$17)</f>
        <v>412.66888888888889</v>
      </c>
      <c r="H138" s="31">
        <f>VLOOKUP(B138,'Standard Deviations'!$A1:$D651,4,FALSE)</f>
        <v>2.4072043712329414</v>
      </c>
      <c r="I138" s="32">
        <f ca="1">IF(Settings!$J$16="no",VLOOKUP(B138,SP!A1:I161,IF(Settings!$J$13="points",6,9),FALSE),VLOOKUP(B138,'SP+RP'!$A1:$I251,IF(Settings!$J$13="points",6,9),FALSE))</f>
        <v>3.2747867980123693</v>
      </c>
      <c r="J138" s="31"/>
      <c r="K138" s="31">
        <f ca="1">J138-A138</f>
        <v>-137</v>
      </c>
      <c r="L138" s="31"/>
      <c r="M138" s="31"/>
      <c r="N138" s="31"/>
      <c r="O138" s="31"/>
      <c r="P138" s="31"/>
      <c r="Q138" s="31"/>
      <c r="R138" s="152"/>
      <c r="S138" s="152"/>
      <c r="T138" s="154"/>
      <c r="U138" s="154"/>
      <c r="V138" s="154"/>
      <c r="W138" s="154"/>
      <c r="X138" s="154"/>
      <c r="Y138" s="152"/>
      <c r="Z138" s="152"/>
      <c r="AA138" s="31"/>
      <c r="AB138" s="31"/>
      <c r="AC138" s="31">
        <f>VLOOKUP($B138,Pitchers!$A1:$S251,4,FALSE)</f>
        <v>177.70000000000002</v>
      </c>
      <c r="AD138" s="33">
        <f>VLOOKUP($B138,Pitchers!$A1:$S251,5,FALSE)</f>
        <v>3.8819358469330325</v>
      </c>
      <c r="AE138" s="33">
        <f>VLOOKUP($B138,Pitchers!$A1:$S251,6,FALSE)</f>
        <v>1.1963859188394921</v>
      </c>
      <c r="AF138" s="31">
        <f>VLOOKUP($B138,Pitchers!$A1:$S251,7,FALSE)</f>
        <v>190</v>
      </c>
      <c r="AG138" s="31">
        <f>VLOOKUP($B138,Pitchers!$A1:$S251,8,FALSE)</f>
        <v>10.995555555555555</v>
      </c>
      <c r="AH138" s="31">
        <f>VLOOKUP($B138,Pitchers!$A1:$S251,9,FALSE)</f>
        <v>0</v>
      </c>
      <c r="AI138" s="31">
        <f>VLOOKUP($B138,Pitchers!$A1:$S251,10,FALSE)</f>
        <v>76.646666666666661</v>
      </c>
      <c r="AJ138" s="31">
        <f>VLOOKUP($B138,Pitchers!$A1:$S251,11,FALSE)</f>
        <v>155.36444444444444</v>
      </c>
      <c r="AK138" s="31">
        <f>VLOOKUP($B138,Pitchers!$A1:$S251,12,FALSE)</f>
        <v>57.233333333333327</v>
      </c>
      <c r="AL138" s="31">
        <f>VLOOKUP($B138,Pitchers!$A1:$S251,13,FALSE)</f>
        <v>23.666666666666668</v>
      </c>
      <c r="AM138" s="31">
        <f>VLOOKUP($B138,Pitchers!$A1:$S251,14,FALSE)</f>
        <v>30.331111111111113</v>
      </c>
      <c r="AN138" s="31">
        <f>VLOOKUP($B138,Pitchers!$A1:$S251,15,FALSE)</f>
        <v>30.02</v>
      </c>
      <c r="AO138" s="31">
        <f>VLOOKUP($B138,Pitchers!$A1:$S251,16,FALSE)</f>
        <v>9.6311111111111121</v>
      </c>
      <c r="AP138" s="31">
        <f>VLOOKUP($B138,Pitchers!$A1:$S251,17,FALSE)</f>
        <v>15</v>
      </c>
      <c r="AQ138" s="31">
        <f>VLOOKUP($B138,Pitchers!$A1:$S251,18,FALSE)</f>
        <v>0</v>
      </c>
      <c r="AR138" s="31">
        <f>VLOOKUP($B138,Pitchers!$A1:$S251,19,FALSE)</f>
        <v>0</v>
      </c>
    </row>
    <row r="139" spans="1:44" ht="18.600000000000001" customHeight="1">
      <c r="A139" s="25">
        <f ca="1">RANK(I139,I$2:I$651)</f>
        <v>138</v>
      </c>
      <c r="B139" s="26" t="s">
        <v>283</v>
      </c>
      <c r="C139" s="27" t="s">
        <v>68</v>
      </c>
      <c r="D139" s="27" t="s">
        <v>69</v>
      </c>
      <c r="E139" s="40" t="s">
        <v>7</v>
      </c>
      <c r="F139" s="41">
        <f ca="1">VLOOKUP(B139,'1B'!A1:I63,IF(Settings!$J$13="points",4,7),FALSE)</f>
        <v>13</v>
      </c>
      <c r="G139" s="30">
        <f>(M139*Settings!$B$2)+(N139*Settings!$B$3)+(O139*Settings!$B$4)+(P139*Settings!$B$5)+(Q139*Settings!$B$6)+((T139-U139-V139-O139)*Settings!$B$9)+(U139*Settings!$B$10)+(V139*Settings!$B$11)+(W139*Settings!$B$12)+(X139*Settings!$B$13)+(AA139*Settings!$B$16)</f>
        <v>388.79111111111115</v>
      </c>
      <c r="H139" s="31">
        <f>VLOOKUP(B139,'Standard Deviations'!$A1:$D651,4,FALSE)</f>
        <v>3.477282080995117</v>
      </c>
      <c r="I139" s="32">
        <f ca="1">IF(Settings!$J$15="no",VLOOKUP(B139,'1B'!A1:I63,IF(Settings!$J$13="points",6,9),FALSE),VLOOKUP(B139,'1B+3B'!$A1:$I104,IF(Settings!$J$13="points",6,9),FALSE))</f>
        <v>3.2518031664852911</v>
      </c>
      <c r="J139" s="31"/>
      <c r="K139" s="31">
        <f ca="1">J139-A139</f>
        <v>-138</v>
      </c>
      <c r="L139" s="31"/>
      <c r="M139" s="31">
        <f>VLOOKUP($B139,Hitters!$A1:$R401,4,FALSE)</f>
        <v>486.43333333333334</v>
      </c>
      <c r="N139" s="31">
        <f>VLOOKUP($B139,Hitters!$A1:$R401,5,FALSE)</f>
        <v>74.064999999999998</v>
      </c>
      <c r="O139" s="31">
        <f>VLOOKUP($B139,Hitters!$A1:$R401,6,FALSE)</f>
        <v>25.423333333333336</v>
      </c>
      <c r="P139" s="31">
        <f>VLOOKUP($B139,Hitters!$A1:$R401,7,FALSE)</f>
        <v>74.865000000000009</v>
      </c>
      <c r="Q139" s="31">
        <f>VLOOKUP($B139,Hitters!$A1:$R401,8,FALSE)</f>
        <v>7.4866666666666672</v>
      </c>
      <c r="R139" s="152">
        <f>VLOOKUP($B139,Hitters!$A$1:$R$401,14,FALSE)</f>
        <v>0.24291555311907537</v>
      </c>
      <c r="S139" s="152">
        <f>VLOOKUP($B139,Hitters!$A$1:$R$401,15,FALSE)</f>
        <v>0.3307580684077</v>
      </c>
      <c r="T139" s="154">
        <f>VLOOKUP($B139,Hitters!$A$1:$R$401,9,FALSE)</f>
        <v>118.16222222222223</v>
      </c>
      <c r="U139" s="154">
        <f>VLOOKUP($B139,Hitters!$A$1:$R$401,10,FALSE)</f>
        <v>21.178333333333335</v>
      </c>
      <c r="V139" s="154">
        <f>VLOOKUP($B139,Hitters!$A$1:$R$401,11,FALSE)</f>
        <v>1.0216666666666667</v>
      </c>
      <c r="W139" s="154">
        <f>VLOOKUP($B139,Hitters!$A$1:$R$401,12,FALSE)</f>
        <v>56.495000000000005</v>
      </c>
      <c r="X139" s="154">
        <f>VLOOKUP($B139,Hitters!$A$1:$R$401,13,FALSE)</f>
        <v>98.522222222222226</v>
      </c>
      <c r="Y139" s="152">
        <f>VLOOKUP($B139,Hitters!$A$1:$R$401,16,FALSE)</f>
        <v>0.44744854839078096</v>
      </c>
      <c r="Z139" s="152">
        <f>VLOOKUP($B139,Hitters!$A$1:$R$401,17,FALSE)</f>
        <v>0.77820661679848091</v>
      </c>
      <c r="AA139" s="31">
        <f>VLOOKUP($B139,Hitters!$A1:$R401,18,FALSE)</f>
        <v>0</v>
      </c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</row>
    <row r="140" spans="1:44" ht="18.600000000000001" customHeight="1">
      <c r="A140" s="25">
        <f ca="1">RANK(I140,I$2:I$651)</f>
        <v>139</v>
      </c>
      <c r="B140" s="26" t="s">
        <v>207</v>
      </c>
      <c r="C140" s="27" t="s">
        <v>94</v>
      </c>
      <c r="D140" s="27" t="s">
        <v>69</v>
      </c>
      <c r="E140" s="36" t="s">
        <v>31</v>
      </c>
      <c r="F140" s="37">
        <f ca="1">VLOOKUP(B140,SP!A1:I161,IF(Settings!$J$13="points",4,7),FALSE)</f>
        <v>43</v>
      </c>
      <c r="G140" s="30">
        <f>(AC140*Settings!$F$2)+(AF140*Settings!$F$5)+(AG140*Settings!$F$6)+(AH140*Settings!$F$7)+(AI140*Settings!$F$8)+(AJ140*Settings!$F$9)+(AK140*Settings!$F$10)+(AL140*Settings!$F$11)+(AM140*Settings!$F$12)+(AN140*Settings!$F$13)+(AO140*Settings!$F$14)+(AP140*Settings!$F$15)+(AQ140*Settings!$F$16)+(AR140*Settings!$F$17)</f>
        <v>412.29596666666663</v>
      </c>
      <c r="H140" s="31">
        <f>VLOOKUP(B140,'Standard Deviations'!$A1:$D651,4,FALSE)</f>
        <v>2.3776485132590657</v>
      </c>
      <c r="I140" s="32">
        <f ca="1">IF(Settings!$J$16="no",VLOOKUP(B140,SP!A1:I161,IF(Settings!$J$13="points",6,9),FALSE),VLOOKUP(B140,'SP+RP'!$A1:$I251,IF(Settings!$J$13="points",6,9),FALSE))</f>
        <v>3.2452275666599322</v>
      </c>
      <c r="J140" s="31"/>
      <c r="K140" s="31">
        <f ca="1">J140-A140</f>
        <v>-139</v>
      </c>
      <c r="L140" s="31"/>
      <c r="M140" s="31"/>
      <c r="N140" s="31"/>
      <c r="O140" s="31"/>
      <c r="P140" s="31"/>
      <c r="Q140" s="31"/>
      <c r="R140" s="152"/>
      <c r="S140" s="152"/>
      <c r="T140" s="154"/>
      <c r="U140" s="154"/>
      <c r="V140" s="154"/>
      <c r="W140" s="154"/>
      <c r="X140" s="154"/>
      <c r="Y140" s="152"/>
      <c r="Z140" s="152"/>
      <c r="AA140" s="31"/>
      <c r="AB140" s="31"/>
      <c r="AC140" s="31">
        <f>VLOOKUP($B140,Pitchers!$A1:$S251,4,FALSE)</f>
        <v>178.70000000000002</v>
      </c>
      <c r="AD140" s="33">
        <f>VLOOKUP($B140,Pitchers!$A1:$S251,5,FALSE)</f>
        <v>3.8044420817011746</v>
      </c>
      <c r="AE140" s="33">
        <f>VLOOKUP($B140,Pitchers!$A1:$S251,6,FALSE)</f>
        <v>1.1923770440838151</v>
      </c>
      <c r="AF140" s="31">
        <f>VLOOKUP($B140,Pitchers!$A1:$S251,7,FALSE)</f>
        <v>158.26500000000001</v>
      </c>
      <c r="AG140" s="31">
        <f>VLOOKUP($B140,Pitchers!$A1:$S251,8,FALSE)</f>
        <v>12.455555555555556</v>
      </c>
      <c r="AH140" s="31">
        <f>VLOOKUP($B140,Pitchers!$A1:$S251,9,FALSE)</f>
        <v>0</v>
      </c>
      <c r="AI140" s="31">
        <f>VLOOKUP($B140,Pitchers!$A1:$S251,10,FALSE)</f>
        <v>75.539311111111104</v>
      </c>
      <c r="AJ140" s="31">
        <f>VLOOKUP($B140,Pitchers!$A1:$S251,11,FALSE)</f>
        <v>164.45333333333335</v>
      </c>
      <c r="AK140" s="31">
        <f>VLOOKUP($B140,Pitchers!$A1:$S251,12,FALSE)</f>
        <v>48.624444444444443</v>
      </c>
      <c r="AL140" s="31">
        <f>VLOOKUP($B140,Pitchers!$A1:$S251,13,FALSE)</f>
        <v>22.3</v>
      </c>
      <c r="AM140" s="31">
        <f>VLOOKUP($B140,Pitchers!$A1:$S251,14,FALSE)</f>
        <v>29.997777777777781</v>
      </c>
      <c r="AN140" s="31">
        <f>VLOOKUP($B140,Pitchers!$A1:$S251,15,FALSE)</f>
        <v>29.997777777777781</v>
      </c>
      <c r="AO140" s="31">
        <f>VLOOKUP($B140,Pitchers!$A1:$S251,16,FALSE)</f>
        <v>9.3016666666666676</v>
      </c>
      <c r="AP140" s="31">
        <f>VLOOKUP($B140,Pitchers!$A1:$S251,17,FALSE)</f>
        <v>15</v>
      </c>
      <c r="AQ140" s="31">
        <f>VLOOKUP($B140,Pitchers!$A1:$S251,18,FALSE)</f>
        <v>0</v>
      </c>
      <c r="AR140" s="31">
        <f>VLOOKUP($B140,Pitchers!$A1:$S251,19,FALSE)</f>
        <v>0</v>
      </c>
    </row>
    <row r="141" spans="1:44" ht="18.600000000000001" customHeight="1">
      <c r="A141" s="25">
        <f ca="1">RANK(I141,I$2:I$651)</f>
        <v>140</v>
      </c>
      <c r="B141" s="26" t="s">
        <v>249</v>
      </c>
      <c r="C141" s="27" t="s">
        <v>91</v>
      </c>
      <c r="D141" s="27" t="s">
        <v>74</v>
      </c>
      <c r="E141" s="34" t="s">
        <v>15</v>
      </c>
      <c r="F141" s="35">
        <f ca="1">VLOOKUP(B141,'3B'!A1:I55,IF(Settings!$J$13="points",4,7),FALSE)</f>
        <v>7</v>
      </c>
      <c r="G141" s="30">
        <f>(M141*Settings!$B$2)+(N141*Settings!$B$3)+(O141*Settings!$B$4)+(P141*Settings!$B$5)+(Q141*Settings!$B$6)+((T141-U141-V141-O141)*Settings!$B$9)+(U141*Settings!$B$10)+(V141*Settings!$B$11)+(W141*Settings!$B$12)+(X141*Settings!$B$13)+(AA141*Settings!$B$16)</f>
        <v>371.81048611111117</v>
      </c>
      <c r="H141" s="31">
        <f>VLOOKUP(B141,'Standard Deviations'!$A1:$D651,4,FALSE)</f>
        <v>3.4160483705612088</v>
      </c>
      <c r="I141" s="32">
        <f ca="1">IF(Settings!$J$15="no",VLOOKUP(B141,'3B'!A1:I55,IF(Settings!$J$13="points",6,9),FALSE),VLOOKUP(B141,'1B+3B'!$A1:$I104,IF(Settings!$J$13="points",6,9),FALSE))</f>
        <v>3.190573034516027</v>
      </c>
      <c r="J141" s="31"/>
      <c r="K141" s="31">
        <f ca="1">J141-A141</f>
        <v>-140</v>
      </c>
      <c r="L141" s="31"/>
      <c r="M141" s="31">
        <f>VLOOKUP($B141,Hitters!$A1:$R401,4,FALSE)</f>
        <v>563.55208333333337</v>
      </c>
      <c r="N141" s="31">
        <f>VLOOKUP($B141,Hitters!$A1:$R401,5,FALSE)</f>
        <v>72.416666666666671</v>
      </c>
      <c r="O141" s="31">
        <f>VLOOKUP($B141,Hitters!$A1:$R401,6,FALSE)</f>
        <v>17.333333333333332</v>
      </c>
      <c r="P141" s="31">
        <f>VLOOKUP($B141,Hitters!$A1:$R401,7,FALSE)</f>
        <v>72.5</v>
      </c>
      <c r="Q141" s="31">
        <f>VLOOKUP($B141,Hitters!$A1:$R401,8,FALSE)</f>
        <v>4.6445833333333333</v>
      </c>
      <c r="R141" s="152">
        <f>VLOOKUP($B141,Hitters!$A$1:$R$401,14,FALSE)</f>
        <v>0.27245485296020405</v>
      </c>
      <c r="S141" s="152">
        <f>VLOOKUP($B141,Hitters!$A$1:$R$401,15,FALSE)</f>
        <v>0.32913631667374005</v>
      </c>
      <c r="T141" s="154">
        <f>VLOOKUP($B141,Hitters!$A$1:$R$401,9,FALSE)</f>
        <v>153.54250000000002</v>
      </c>
      <c r="U141" s="154">
        <f>VLOOKUP($B141,Hitters!$A$1:$R$401,10,FALSE)</f>
        <v>27.228750000000002</v>
      </c>
      <c r="V141" s="154">
        <f>VLOOKUP($B141,Hitters!$A$1:$R$401,11,FALSE)</f>
        <v>2.0522916666666666</v>
      </c>
      <c r="W141" s="154">
        <f>VLOOKUP($B141,Hitters!$A$1:$R$401,12,FALSE)</f>
        <v>39.055624999999999</v>
      </c>
      <c r="X141" s="154">
        <f>VLOOKUP($B141,Hitters!$A$1:$R$401,13,FALSE)</f>
        <v>116.6536111111111</v>
      </c>
      <c r="Y141" s="152">
        <f>VLOOKUP($B141,Hitters!$A$1:$R$401,16,FALSE)</f>
        <v>0.42032642649858593</v>
      </c>
      <c r="Z141" s="152">
        <f>VLOOKUP($B141,Hitters!$A$1:$R$401,17,FALSE)</f>
        <v>0.74946274317232597</v>
      </c>
      <c r="AA141" s="31">
        <f>VLOOKUP($B141,Hitters!$A1:$R401,18,FALSE)</f>
        <v>0</v>
      </c>
      <c r="AB141" s="31"/>
      <c r="AC141" s="31"/>
      <c r="AD141" s="33"/>
      <c r="AE141" s="33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</row>
    <row r="142" spans="1:44" ht="18.600000000000001" customHeight="1">
      <c r="A142" s="25">
        <f ca="1">RANK(I142,I$2:I$651)</f>
        <v>141</v>
      </c>
      <c r="B142" s="26" t="s">
        <v>225</v>
      </c>
      <c r="C142" s="27" t="s">
        <v>71</v>
      </c>
      <c r="D142" s="27" t="s">
        <v>69</v>
      </c>
      <c r="E142" s="36" t="s">
        <v>31</v>
      </c>
      <c r="F142" s="37">
        <f ca="1">VLOOKUP(B142,SP!A1:I161,IF(Settings!$J$13="points",4,7),FALSE)</f>
        <v>44</v>
      </c>
      <c r="G142" s="30">
        <f>(AC142*Settings!$F$2)+(AF142*Settings!$F$5)+(AG142*Settings!$F$6)+(AH142*Settings!$F$7)+(AI142*Settings!$F$8)+(AJ142*Settings!$F$9)+(AK142*Settings!$F$10)+(AL142*Settings!$F$11)+(AM142*Settings!$F$12)+(AN142*Settings!$F$13)+(AO142*Settings!$F$14)+(AP142*Settings!$F$15)+(AQ142*Settings!$F$16)+(AR142*Settings!$F$17)</f>
        <v>412.44922222222226</v>
      </c>
      <c r="H142" s="31">
        <f>VLOOKUP(B142,'Standard Deviations'!$A1:$D651,4,FALSE)</f>
        <v>2.2884453648058445</v>
      </c>
      <c r="I142" s="32">
        <f ca="1">IF(Settings!$J$16="no",VLOOKUP(B142,SP!A1:I161,IF(Settings!$J$13="points",6,9),FALSE),VLOOKUP(B142,'SP+RP'!$A1:$I251,IF(Settings!$J$13="points",6,9),FALSE))</f>
        <v>3.1560260831126996</v>
      </c>
      <c r="J142" s="31"/>
      <c r="K142" s="31">
        <f ca="1">J142-A142</f>
        <v>-141</v>
      </c>
      <c r="L142" s="31"/>
      <c r="M142" s="31"/>
      <c r="N142" s="31"/>
      <c r="O142" s="31"/>
      <c r="P142" s="31"/>
      <c r="Q142" s="31"/>
      <c r="R142" s="152"/>
      <c r="S142" s="152"/>
      <c r="T142" s="154"/>
      <c r="U142" s="154"/>
      <c r="V142" s="154"/>
      <c r="W142" s="154"/>
      <c r="X142" s="154"/>
      <c r="Y142" s="152"/>
      <c r="Z142" s="152"/>
      <c r="AA142" s="31"/>
      <c r="AB142" s="31"/>
      <c r="AC142" s="31">
        <f>VLOOKUP($B142,Pitchers!$A1:$S251,4,FALSE)</f>
        <v>177.7488888888889</v>
      </c>
      <c r="AD142" s="33">
        <f>VLOOKUP($B142,Pitchers!$A1:$S251,5,FALSE)</f>
        <v>3.7851544626001723</v>
      </c>
      <c r="AE142" s="33">
        <f>VLOOKUP($B142,Pitchers!$A1:$S251,6,FALSE)</f>
        <v>1.1900246290022127</v>
      </c>
      <c r="AF142" s="31">
        <f>VLOOKUP($B142,Pitchers!$A1:$S251,7,FALSE)</f>
        <v>170.67999999999998</v>
      </c>
      <c r="AG142" s="31">
        <f>VLOOKUP($B142,Pitchers!$A1:$S251,8,FALSE)</f>
        <v>11</v>
      </c>
      <c r="AH142" s="31">
        <f>VLOOKUP($B142,Pitchers!$A1:$S251,9,FALSE)</f>
        <v>0</v>
      </c>
      <c r="AI142" s="31">
        <f>VLOOKUP($B142,Pitchers!$A1:$S251,10,FALSE)</f>
        <v>74.75633333333333</v>
      </c>
      <c r="AJ142" s="31">
        <f>VLOOKUP($B142,Pitchers!$A1:$S251,11,FALSE)</f>
        <v>163.50444444444443</v>
      </c>
      <c r="AK142" s="31">
        <f>VLOOKUP($B142,Pitchers!$A1:$S251,12,FALSE)</f>
        <v>48.021111111111111</v>
      </c>
      <c r="AL142" s="31">
        <f>VLOOKUP($B142,Pitchers!$A1:$S251,13,FALSE)</f>
        <v>22.599999999999998</v>
      </c>
      <c r="AM142" s="31">
        <f>VLOOKUP($B142,Pitchers!$A1:$S251,14,FALSE)</f>
        <v>30.986666666666668</v>
      </c>
      <c r="AN142" s="31">
        <f>VLOOKUP($B142,Pitchers!$A1:$S251,15,FALSE)</f>
        <v>30.986666666666668</v>
      </c>
      <c r="AO142" s="31">
        <f>VLOOKUP($B142,Pitchers!$A1:$S251,16,FALSE)</f>
        <v>8.9711111111111119</v>
      </c>
      <c r="AP142" s="31">
        <f>VLOOKUP($B142,Pitchers!$A1:$S251,17,FALSE)</f>
        <v>16</v>
      </c>
      <c r="AQ142" s="31">
        <f>VLOOKUP($B142,Pitchers!$A1:$S251,18,FALSE)</f>
        <v>0</v>
      </c>
      <c r="AR142" s="31">
        <f>VLOOKUP($B142,Pitchers!$A1:$S251,19,FALSE)</f>
        <v>0</v>
      </c>
    </row>
    <row r="143" spans="1:44" ht="18.600000000000001" customHeight="1">
      <c r="A143" s="25">
        <f ca="1">RANK(I143,I$2:I$651)</f>
        <v>142</v>
      </c>
      <c r="B143" s="26" t="s">
        <v>340</v>
      </c>
      <c r="C143" s="27" t="s">
        <v>97</v>
      </c>
      <c r="D143" s="27" t="s">
        <v>74</v>
      </c>
      <c r="E143" s="40" t="s">
        <v>7</v>
      </c>
      <c r="F143" s="41">
        <f ca="1">VLOOKUP(B143,'1B'!A1:I63,IF(Settings!$J$13="points",4,7),FALSE)</f>
        <v>14</v>
      </c>
      <c r="G143" s="30">
        <f>(M143*Settings!$B$2)+(N143*Settings!$B$3)+(O143*Settings!$B$4)+(P143*Settings!$B$5)+(Q143*Settings!$B$6)+((T143-U143-V143-O143)*Settings!$B$9)+(U143*Settings!$B$10)+(V143*Settings!$B$11)+(W143*Settings!$B$12)+(X143*Settings!$B$13)+(AA143*Settings!$B$16)</f>
        <v>382.38277777777785</v>
      </c>
      <c r="H143" s="31">
        <f>VLOOKUP(B143,'Standard Deviations'!$A1:$D651,4,FALSE)</f>
        <v>3.3445306264920776</v>
      </c>
      <c r="I143" s="32">
        <f ca="1">IF(Settings!$J$15="no",VLOOKUP(B143,'1B'!A1:I63,IF(Settings!$J$13="points",6,9),FALSE),VLOOKUP(B143,'1B+3B'!$A1:$I104,IF(Settings!$J$13="points",6,9),FALSE))</f>
        <v>3.1190520307938163</v>
      </c>
      <c r="J143" s="31"/>
      <c r="K143" s="31">
        <f ca="1">J143-A143</f>
        <v>-142</v>
      </c>
      <c r="L143" s="31"/>
      <c r="M143" s="31">
        <f>VLOOKUP($B143,Hitters!$A1:$R401,4,FALSE)</f>
        <v>485.4111111111111</v>
      </c>
      <c r="N143" s="31">
        <f>VLOOKUP($B143,Hitters!$A1:$R401,5,FALSE)</f>
        <v>68.010000000000005</v>
      </c>
      <c r="O143" s="31">
        <f>VLOOKUP($B143,Hitters!$A1:$R401,6,FALSE)</f>
        <v>28.866666666666664</v>
      </c>
      <c r="P143" s="31">
        <f>VLOOKUP($B143,Hitters!$A1:$R401,7,FALSE)</f>
        <v>81.714999999999989</v>
      </c>
      <c r="Q143" s="31">
        <f>VLOOKUP($B143,Hitters!$A1:$R401,8,FALSE)</f>
        <v>1.9911111111111113</v>
      </c>
      <c r="R143" s="152">
        <f>VLOOKUP($B143,Hitters!$A$1:$R$401,14,FALSE)</f>
        <v>0.2463913750085838</v>
      </c>
      <c r="S143" s="152">
        <f>VLOOKUP($B143,Hitters!$A$1:$R$401,15,FALSE)</f>
        <v>0.32859602125780968</v>
      </c>
      <c r="T143" s="154">
        <f>VLOOKUP($B143,Hitters!$A$1:$R$401,9,FALSE)</f>
        <v>119.60111111111111</v>
      </c>
      <c r="U143" s="154">
        <f>VLOOKUP($B143,Hitters!$A$1:$R$401,10,FALSE)</f>
        <v>23.595555555555553</v>
      </c>
      <c r="V143" s="154">
        <f>VLOOKUP($B143,Hitters!$A$1:$R$401,11,FALSE)</f>
        <v>1</v>
      </c>
      <c r="W143" s="154">
        <f>VLOOKUP($B143,Hitters!$A$1:$R$401,12,FALSE)</f>
        <v>52.048333333333339</v>
      </c>
      <c r="X143" s="154">
        <f>VLOOKUP($B143,Hitters!$A$1:$R$401,13,FALSE)</f>
        <v>110.33888888888889</v>
      </c>
      <c r="Y143" s="152">
        <f>VLOOKUP($B143,Hitters!$A$1:$R$401,16,FALSE)</f>
        <v>0.47752649529608354</v>
      </c>
      <c r="Z143" s="152">
        <f>VLOOKUP($B143,Hitters!$A$1:$R$401,17,FALSE)</f>
        <v>0.80612251655389322</v>
      </c>
      <c r="AA143" s="31">
        <f>VLOOKUP($B143,Hitters!$A1:$R401,18,FALSE)</f>
        <v>0</v>
      </c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</row>
    <row r="144" spans="1:44" ht="20.100000000000001" customHeight="1">
      <c r="A144" s="25">
        <f ca="1">RANK(I144,I$2:I$651)</f>
        <v>143</v>
      </c>
      <c r="B144" s="26" t="s">
        <v>322</v>
      </c>
      <c r="C144" s="27" t="s">
        <v>120</v>
      </c>
      <c r="D144" s="27" t="s">
        <v>74</v>
      </c>
      <c r="E144" s="48" t="s">
        <v>11</v>
      </c>
      <c r="F144" s="49">
        <f ca="1">VLOOKUP(B144,'2B'!A1:I50,IF(Settings!$J$13="points",4,7),FALSE)</f>
        <v>9</v>
      </c>
      <c r="G144" s="30">
        <f>(M144*Settings!$B$2)+(N144*Settings!$B$3)+(O144*Settings!$B$4)+(P144*Settings!$B$5)+(Q144*Settings!$B$6)+((T144-U144-V144-O144)*Settings!$B$9)+(U144*Settings!$B$10)+(V144*Settings!$B$11)+(W144*Settings!$B$12)+(X144*Settings!$B$13)+(AA144*Settings!$B$16)</f>
        <v>387.06944444444446</v>
      </c>
      <c r="H144" s="31">
        <f>VLOOKUP(B144,'Standard Deviations'!$A1:$D651,4,FALSE)</f>
        <v>3.1071190177129555</v>
      </c>
      <c r="I144" s="32">
        <f ca="1">IF(Settings!$J$16="no",VLOOKUP(B144,'2B'!A1:I50,IF(Settings!$J$13="points",6,9),FALSE),VLOOKUP(B144,'2B+SS'!$A1:$I94,IF(Settings!$J$13="points",6,9),FALSE))</f>
        <v>3.1010750429917557</v>
      </c>
      <c r="J144" s="31"/>
      <c r="K144" s="31">
        <f ca="1">J144-A144</f>
        <v>-143</v>
      </c>
      <c r="L144" s="31"/>
      <c r="M144" s="31">
        <f>VLOOKUP($B144,Hitters!$A1:$R401,4,FALSE)</f>
        <v>531.18888888888887</v>
      </c>
      <c r="N144" s="31">
        <f>VLOOKUP($B144,Hitters!$A1:$R401,5,FALSE)</f>
        <v>74.801111111111112</v>
      </c>
      <c r="O144" s="31">
        <f>VLOOKUP($B144,Hitters!$A1:$R401,6,FALSE)</f>
        <v>15.966666666666667</v>
      </c>
      <c r="P144" s="31">
        <f>VLOOKUP($B144,Hitters!$A1:$R401,7,FALSE)</f>
        <v>67.767777777777781</v>
      </c>
      <c r="Q144" s="31">
        <f>VLOOKUP($B144,Hitters!$A1:$R401,8,FALSE)</f>
        <v>5.3855555555555554</v>
      </c>
      <c r="R144" s="152">
        <f>VLOOKUP($B144,Hitters!$A$1:$R$401,14,FALSE)</f>
        <v>0.26986424582174162</v>
      </c>
      <c r="S144" s="152">
        <f>VLOOKUP($B144,Hitters!$A$1:$R$401,15,FALSE)</f>
        <v>0.34339799584983954</v>
      </c>
      <c r="T144" s="154">
        <f>VLOOKUP($B144,Hitters!$A$1:$R$401,9,FALSE)</f>
        <v>143.34888888888889</v>
      </c>
      <c r="U144" s="154">
        <f>VLOOKUP($B144,Hitters!$A$1:$R$401,10,FALSE)</f>
        <v>35.56666666666667</v>
      </c>
      <c r="V144" s="154">
        <f>VLOOKUP($B144,Hitters!$A$1:$R$401,11,FALSE)</f>
        <v>2.9111111111111114</v>
      </c>
      <c r="W144" s="154">
        <f>VLOOKUP($B144,Hitters!$A$1:$R$401,12,FALSE)</f>
        <v>51.764999999999993</v>
      </c>
      <c r="X144" s="154">
        <f>VLOOKUP($B144,Hitters!$A$1:$R$401,13,FALSE)</f>
        <v>101.34666666666665</v>
      </c>
      <c r="Y144" s="152">
        <f>VLOOKUP($B144,Hitters!$A$1:$R$401,16,FALSE)</f>
        <v>0.43795678457129711</v>
      </c>
      <c r="Z144" s="152">
        <f>VLOOKUP($B144,Hitters!$A$1:$R$401,17,FALSE)</f>
        <v>0.78135478042113671</v>
      </c>
      <c r="AA144" s="31">
        <f>VLOOKUP($B144,Hitters!$A1:$R401,18,FALSE)</f>
        <v>0</v>
      </c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</row>
    <row r="145" spans="1:44" ht="18.600000000000001" customHeight="1">
      <c r="A145" s="25">
        <f ca="1">RANK(I145,I$2:I$651)</f>
        <v>144</v>
      </c>
      <c r="B145" s="26" t="s">
        <v>354</v>
      </c>
      <c r="C145" s="27" t="s">
        <v>176</v>
      </c>
      <c r="D145" s="27" t="s">
        <v>74</v>
      </c>
      <c r="E145" s="38" t="s">
        <v>27</v>
      </c>
      <c r="F145" s="39">
        <f ca="1">VLOOKUP(B145,SS!A1:I45,IF(Settings!$J$13="points",4,7),FALSE)</f>
        <v>18</v>
      </c>
      <c r="G145" s="30">
        <f>(M145*Settings!$B$2)+(N145*Settings!$B$3)+(O145*Settings!$B$4)+(P145*Settings!$B$5)+(Q145*Settings!$B$6)+((T145-U145-V145-O145)*Settings!$B$9)+(U145*Settings!$B$10)+(V145*Settings!$B$11)+(W145*Settings!$B$12)+(X145*Settings!$B$13)+(AA145*Settings!$B$16)</f>
        <v>325.55611111111108</v>
      </c>
      <c r="H145" s="31">
        <f>VLOOKUP(B145,'Standard Deviations'!$A1:$D651,4,FALSE)</f>
        <v>3.063746390806783</v>
      </c>
      <c r="I145" s="32">
        <f ca="1">IF(Settings!$J$16="no",VLOOKUP(B145,SS!A1:I45,IF(Settings!$J$13="points",6,9),FALSE),VLOOKUP(B145,'2B+SS'!$A1:$I94,IF(Settings!$J$13="points",6,9),FALSE))</f>
        <v>3.0576998638764983</v>
      </c>
      <c r="J145" s="31"/>
      <c r="K145" s="31">
        <f ca="1">J145-A145</f>
        <v>-144</v>
      </c>
      <c r="L145" s="31"/>
      <c r="M145" s="31">
        <f>VLOOKUP($B145,Hitters!$A1:$R401,4,FALSE)</f>
        <v>466.01111111111112</v>
      </c>
      <c r="N145" s="31">
        <f>VLOOKUP($B145,Hitters!$A1:$R401,5,FALSE)</f>
        <v>61.785555555555554</v>
      </c>
      <c r="O145" s="31">
        <f>VLOOKUP($B145,Hitters!$A1:$R401,6,FALSE)</f>
        <v>13.746666666666668</v>
      </c>
      <c r="P145" s="31">
        <f>VLOOKUP($B145,Hitters!$A1:$R401,7,FALSE)</f>
        <v>58.169999999999995</v>
      </c>
      <c r="Q145" s="31">
        <f>VLOOKUP($B145,Hitters!$A1:$R401,8,FALSE)</f>
        <v>13.364444444444445</v>
      </c>
      <c r="R145" s="152">
        <f>VLOOKUP($B145,Hitters!$A$1:$R$401,14,FALSE)</f>
        <v>0.27238024844424308</v>
      </c>
      <c r="S145" s="152">
        <f>VLOOKUP($B145,Hitters!$A$1:$R$401,15,FALSE)</f>
        <v>0.32180606904657338</v>
      </c>
      <c r="T145" s="154">
        <f>VLOOKUP($B145,Hitters!$A$1:$R$401,9,FALSE)</f>
        <v>126.93222222222222</v>
      </c>
      <c r="U145" s="154">
        <f>VLOOKUP($B145,Hitters!$A$1:$R$401,10,FALSE)</f>
        <v>25.146666666666665</v>
      </c>
      <c r="V145" s="154">
        <f>VLOOKUP($B145,Hitters!$A$1:$R$401,11,FALSE)</f>
        <v>2.9855555555555555</v>
      </c>
      <c r="W145" s="154">
        <f>VLOOKUP($B145,Hitters!$A$1:$R$401,12,FALSE)</f>
        <v>26.734444444444446</v>
      </c>
      <c r="X145" s="154">
        <f>VLOOKUP($B145,Hitters!$A$1:$R$401,13,FALSE)</f>
        <v>94.305555555555557</v>
      </c>
      <c r="Y145" s="152">
        <f>VLOOKUP($B145,Hitters!$A$1:$R$401,16,FALSE)</f>
        <v>0.42765074747860093</v>
      </c>
      <c r="Z145" s="152">
        <f>VLOOKUP($B145,Hitters!$A$1:$R$401,17,FALSE)</f>
        <v>0.74945681652517426</v>
      </c>
      <c r="AA145" s="31">
        <f>VLOOKUP($B145,Hitters!$A1:$R401,18,FALSE)</f>
        <v>0</v>
      </c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</row>
    <row r="146" spans="1:44" ht="18.600000000000001" customHeight="1">
      <c r="A146" s="25">
        <f ca="1">RANK(I146,I$2:I$651)</f>
        <v>145</v>
      </c>
      <c r="B146" s="26" t="s">
        <v>240</v>
      </c>
      <c r="C146" s="27" t="s">
        <v>73</v>
      </c>
      <c r="D146" s="27" t="s">
        <v>74</v>
      </c>
      <c r="E146" s="36" t="s">
        <v>31</v>
      </c>
      <c r="F146" s="37">
        <f ca="1">VLOOKUP(B146,SP!A1:I161,IF(Settings!$J$13="points",4,7),FALSE)</f>
        <v>45</v>
      </c>
      <c r="G146" s="30">
        <f>(AC146*Settings!$F$2)+(AF146*Settings!$F$5)+(AG146*Settings!$F$6)+(AH146*Settings!$F$7)+(AI146*Settings!$F$8)+(AJ146*Settings!$F$9)+(AK146*Settings!$F$10)+(AL146*Settings!$F$11)+(AM146*Settings!$F$12)+(AN146*Settings!$F$13)+(AO146*Settings!$F$14)+(AP146*Settings!$F$15)+(AQ146*Settings!$F$16)+(AR146*Settings!$F$17)</f>
        <v>401.68305555555565</v>
      </c>
      <c r="H146" s="31">
        <f>VLOOKUP(B146,'Standard Deviations'!$A1:$D651,4,FALSE)</f>
        <v>2.1840950671248889</v>
      </c>
      <c r="I146" s="32">
        <f ca="1">IF(Settings!$J$16="no",VLOOKUP(B146,SP!A1:I161,IF(Settings!$J$13="points",6,9),FALSE),VLOOKUP(B146,'SP+RP'!$A1:$I251,IF(Settings!$J$13="points",6,9),FALSE))</f>
        <v>3.0516792312794512</v>
      </c>
      <c r="J146" s="31"/>
      <c r="K146" s="31">
        <f ca="1">J146-A146</f>
        <v>-145</v>
      </c>
      <c r="L146" s="31"/>
      <c r="M146" s="31"/>
      <c r="N146" s="31"/>
      <c r="O146" s="31"/>
      <c r="P146" s="31"/>
      <c r="Q146" s="31"/>
      <c r="R146" s="152"/>
      <c r="S146" s="152"/>
      <c r="T146" s="154"/>
      <c r="U146" s="154"/>
      <c r="V146" s="154"/>
      <c r="W146" s="154"/>
      <c r="X146" s="154"/>
      <c r="Y146" s="152"/>
      <c r="Z146" s="152"/>
      <c r="AA146" s="31"/>
      <c r="AB146" s="31"/>
      <c r="AC146" s="31">
        <f>VLOOKUP($B146,Pitchers!$A1:$S251,4,FALSE)</f>
        <v>166.535</v>
      </c>
      <c r="AD146" s="33">
        <f>VLOOKUP($B146,Pitchers!$A1:$S251,5,FALSE)</f>
        <v>3.8014831717056472</v>
      </c>
      <c r="AE146" s="33">
        <f>VLOOKUP($B146,Pitchers!$A1:$S251,6,FALSE)</f>
        <v>1.2172216050680036</v>
      </c>
      <c r="AF146" s="31">
        <f>VLOOKUP($B146,Pitchers!$A1:$S251,7,FALSE)</f>
        <v>184.07833333333335</v>
      </c>
      <c r="AG146" s="31">
        <f>VLOOKUP($B146,Pitchers!$A1:$S251,8,FALSE)</f>
        <v>10.817777777777778</v>
      </c>
      <c r="AH146" s="31">
        <f>VLOOKUP($B146,Pitchers!$A1:$S251,9,FALSE)</f>
        <v>0</v>
      </c>
      <c r="AI146" s="31">
        <f>VLOOKUP($B146,Pitchers!$A1:$S251,10,FALSE)</f>
        <v>70.342222222222219</v>
      </c>
      <c r="AJ146" s="31">
        <f>VLOOKUP($B146,Pitchers!$A1:$S251,11,FALSE)</f>
        <v>145.42555555555555</v>
      </c>
      <c r="AK146" s="31">
        <f>VLOOKUP($B146,Pitchers!$A1:$S251,12,FALSE)</f>
        <v>57.284444444444439</v>
      </c>
      <c r="AL146" s="31">
        <f>VLOOKUP($B146,Pitchers!$A1:$S251,13,FALSE)</f>
        <v>20.033333333333335</v>
      </c>
      <c r="AM146" s="31">
        <f>VLOOKUP($B146,Pitchers!$A1:$S251,14,FALSE)</f>
        <v>29.808888888888887</v>
      </c>
      <c r="AN146" s="31">
        <f>VLOOKUP($B146,Pitchers!$A1:$S251,15,FALSE)</f>
        <v>29.463333333333335</v>
      </c>
      <c r="AO146" s="31">
        <f>VLOOKUP($B146,Pitchers!$A1:$S251,16,FALSE)</f>
        <v>7.5266666666666664</v>
      </c>
      <c r="AP146" s="31">
        <f>VLOOKUP($B146,Pitchers!$A1:$S251,17,FALSE)</f>
        <v>15</v>
      </c>
      <c r="AQ146" s="31">
        <f>VLOOKUP($B146,Pitchers!$A1:$S251,18,FALSE)</f>
        <v>0</v>
      </c>
      <c r="AR146" s="31">
        <f>VLOOKUP($B146,Pitchers!$A1:$S251,19,FALSE)</f>
        <v>0</v>
      </c>
    </row>
    <row r="147" spans="1:44" ht="18.600000000000001" customHeight="1">
      <c r="A147" s="25">
        <f ca="1">RANK(I147,I$2:I$651)</f>
        <v>146</v>
      </c>
      <c r="B147" s="26" t="s">
        <v>244</v>
      </c>
      <c r="C147" s="27" t="s">
        <v>156</v>
      </c>
      <c r="D147" s="27" t="s">
        <v>69</v>
      </c>
      <c r="E147" s="36" t="s">
        <v>31</v>
      </c>
      <c r="F147" s="37">
        <f ca="1">VLOOKUP(B147,SP!A1:I161,IF(Settings!$J$13="points",4,7),FALSE)</f>
        <v>46</v>
      </c>
      <c r="G147" s="30">
        <f>(AC147*Settings!$F$2)+(AF147*Settings!$F$5)+(AG147*Settings!$F$6)+(AH147*Settings!$F$7)+(AI147*Settings!$F$8)+(AJ147*Settings!$F$9)+(AK147*Settings!$F$10)+(AL147*Settings!$F$11)+(AM147*Settings!$F$12)+(AN147*Settings!$F$13)+(AO147*Settings!$F$14)+(AP147*Settings!$F$15)+(AQ147*Settings!$F$16)+(AR147*Settings!$F$17)</f>
        <v>391.73946666666654</v>
      </c>
      <c r="H147" s="31">
        <f>VLOOKUP(B147,'Standard Deviations'!$A1:$D651,4,FALSE)</f>
        <v>2.1720839431190662</v>
      </c>
      <c r="I147" s="32">
        <f ca="1">IF(Settings!$J$16="no",VLOOKUP(B147,SP!A1:I161,IF(Settings!$J$13="points",6,9),FALSE),VLOOKUP(B147,'SP+RP'!$A1:$I251,IF(Settings!$J$13="points",6,9),FALSE))</f>
        <v>3.0396647405128987</v>
      </c>
      <c r="J147" s="31"/>
      <c r="K147" s="31">
        <f ca="1">J147-A147</f>
        <v>-146</v>
      </c>
      <c r="L147" s="31"/>
      <c r="M147" s="31"/>
      <c r="N147" s="31"/>
      <c r="O147" s="31"/>
      <c r="P147" s="31"/>
      <c r="Q147" s="31"/>
      <c r="R147" s="152"/>
      <c r="S147" s="152"/>
      <c r="T147" s="154"/>
      <c r="U147" s="154"/>
      <c r="V147" s="154"/>
      <c r="W147" s="154"/>
      <c r="X147" s="154"/>
      <c r="Y147" s="152"/>
      <c r="Z147" s="152"/>
      <c r="AA147" s="31"/>
      <c r="AB147" s="31"/>
      <c r="AC147" s="31">
        <f>VLOOKUP($B147,Pitchers!$A1:$S251,4,FALSE)</f>
        <v>167.70666666666662</v>
      </c>
      <c r="AD147" s="33">
        <f>VLOOKUP($B147,Pitchers!$A1:$S251,5,FALSE)</f>
        <v>3.6854515821275258</v>
      </c>
      <c r="AE147" s="33">
        <f>VLOOKUP($B147,Pitchers!$A1:$S251,6,FALSE)</f>
        <v>1.1870262892881756</v>
      </c>
      <c r="AF147" s="31">
        <f>VLOOKUP($B147,Pitchers!$A1:$S251,7,FALSE)</f>
        <v>165.73333333333332</v>
      </c>
      <c r="AG147" s="31">
        <f>VLOOKUP($B147,Pitchers!$A1:$S251,8,FALSE)</f>
        <v>10.066666666666666</v>
      </c>
      <c r="AH147" s="31">
        <f>VLOOKUP($B147,Pitchers!$A1:$S251,9,FALSE)</f>
        <v>0</v>
      </c>
      <c r="AI147" s="31">
        <f>VLOOKUP($B147,Pitchers!$A1:$S251,10,FALSE)</f>
        <v>68.674977777777784</v>
      </c>
      <c r="AJ147" s="31">
        <f>VLOOKUP($B147,Pitchers!$A1:$S251,11,FALSE)</f>
        <v>151.94777777777779</v>
      </c>
      <c r="AK147" s="31">
        <f>VLOOKUP($B147,Pitchers!$A1:$S251,12,FALSE)</f>
        <v>47.124444444444443</v>
      </c>
      <c r="AL147" s="31">
        <f>VLOOKUP($B147,Pitchers!$A1:$S251,13,FALSE)</f>
        <v>20.033333333333335</v>
      </c>
      <c r="AM147" s="31">
        <f>VLOOKUP($B147,Pitchers!$A1:$S251,14,FALSE)</f>
        <v>29.124444444444446</v>
      </c>
      <c r="AN147" s="31">
        <f>VLOOKUP($B147,Pitchers!$A1:$S251,15,FALSE)</f>
        <v>29.124444444444446</v>
      </c>
      <c r="AO147" s="31">
        <f>VLOOKUP($B147,Pitchers!$A1:$S251,16,FALSE)</f>
        <v>8.9933333333333341</v>
      </c>
      <c r="AP147" s="31">
        <f>VLOOKUP($B147,Pitchers!$A1:$S251,17,FALSE)</f>
        <v>16</v>
      </c>
      <c r="AQ147" s="31">
        <f>VLOOKUP($B147,Pitchers!$A1:$S251,18,FALSE)</f>
        <v>0</v>
      </c>
      <c r="AR147" s="31">
        <f>VLOOKUP($B147,Pitchers!$A1:$S251,19,FALSE)</f>
        <v>0</v>
      </c>
    </row>
    <row r="148" spans="1:44" ht="20.100000000000001" customHeight="1">
      <c r="A148" s="25">
        <f ca="1">RANK(I148,I$2:I$651)</f>
        <v>147</v>
      </c>
      <c r="B148" s="26" t="s">
        <v>286</v>
      </c>
      <c r="C148" s="27" t="s">
        <v>217</v>
      </c>
      <c r="D148" s="27" t="s">
        <v>74</v>
      </c>
      <c r="E148" s="42" t="s">
        <v>34</v>
      </c>
      <c r="F148" s="43">
        <f ca="1">VLOOKUP(B148,RP!A1:I91,IF(Settings!$J$13="points",4,7),FALSE)</f>
        <v>14</v>
      </c>
      <c r="G148" s="30">
        <f>(AC148*Settings!$F$2)+(AF148*Settings!$F$5)+(AG148*Settings!$F$6)+(AH148*Settings!$F$7)+(AI148*Settings!$F$8)+(AJ148*Settings!$F$9)+(AK148*Settings!$F$10)+(AL148*Settings!$F$11)+(AM148*Settings!$F$12)+(AN148*Settings!$F$13)+(AO148*Settings!$F$14)+(AP148*Settings!$F$15)+(AQ148*Settings!$F$16)+(AR148*Settings!$F$17)</f>
        <v>340.38333333333344</v>
      </c>
      <c r="H148" s="31">
        <f>VLOOKUP(B148,'Standard Deviations'!$A1:$D651,4,FALSE)</f>
        <v>2.1640794733213555</v>
      </c>
      <c r="I148" s="32">
        <f ca="1">IF(Settings!$J$16="no",VLOOKUP(B148,RP!A1:I91,IF(Settings!$J$13="points",6,9),FALSE),VLOOKUP(B148,'SP+RP'!$A1:$I251,IF(Settings!$J$13="points",6,9),FALSE))</f>
        <v>3.0316609608545164</v>
      </c>
      <c r="J148" s="31"/>
      <c r="K148" s="31">
        <f ca="1">J148-A148</f>
        <v>-147</v>
      </c>
      <c r="L148" s="31"/>
      <c r="M148" s="31"/>
      <c r="N148" s="31"/>
      <c r="O148" s="31"/>
      <c r="P148" s="31"/>
      <c r="Q148" s="31"/>
      <c r="R148" s="152"/>
      <c r="S148" s="152"/>
      <c r="T148" s="154"/>
      <c r="U148" s="154"/>
      <c r="V148" s="154"/>
      <c r="W148" s="154"/>
      <c r="X148" s="154"/>
      <c r="Y148" s="152"/>
      <c r="Z148" s="152"/>
      <c r="AA148" s="31"/>
      <c r="AB148" s="31"/>
      <c r="AC148" s="31">
        <f>VLOOKUP($B148,Pitchers!$A1:$S251,4,FALSE)</f>
        <v>64.846666666666678</v>
      </c>
      <c r="AD148" s="33">
        <f>VLOOKUP($B148,Pitchers!$A1:$S251,5,FALSE)</f>
        <v>3.3515215379870456</v>
      </c>
      <c r="AE148" s="33">
        <f>VLOOKUP($B148,Pitchers!$A1:$S251,6,FALSE)</f>
        <v>1.271546554264761</v>
      </c>
      <c r="AF148" s="31">
        <f>VLOOKUP($B148,Pitchers!$A1:$S251,7,FALSE)</f>
        <v>75.556666666666672</v>
      </c>
      <c r="AG148" s="31">
        <f>VLOOKUP($B148,Pitchers!$A1:$S251,8,FALSE)</f>
        <v>4.04</v>
      </c>
      <c r="AH148" s="31">
        <f>VLOOKUP($B148,Pitchers!$A1:$S251,9,FALSE)</f>
        <v>28.777777777777775</v>
      </c>
      <c r="AI148" s="31">
        <f>VLOOKUP($B148,Pitchers!$A1:$S251,10,FALSE)</f>
        <v>24.14833333333333</v>
      </c>
      <c r="AJ148" s="31">
        <f>VLOOKUP($B148,Pitchers!$A1:$S251,11,FALSE)</f>
        <v>52.883333333333333</v>
      </c>
      <c r="AK148" s="31">
        <f>VLOOKUP($B148,Pitchers!$A1:$S251,12,FALSE)</f>
        <v>29.572222222222223</v>
      </c>
      <c r="AL148" s="31">
        <f>VLOOKUP($B148,Pitchers!$A1:$S251,13,FALSE)</f>
        <v>5</v>
      </c>
      <c r="AM148" s="31">
        <f>VLOOKUP($B148,Pitchers!$A1:$S251,14,FALSE)</f>
        <v>65.180000000000007</v>
      </c>
      <c r="AN148" s="31">
        <f>VLOOKUP($B148,Pitchers!$A1:$S251,15,FALSE)</f>
        <v>0</v>
      </c>
      <c r="AO148" s="31">
        <f>VLOOKUP($B148,Pitchers!$A1:$S251,16,FALSE)</f>
        <v>3.0111111111111111</v>
      </c>
      <c r="AP148" s="31">
        <f>VLOOKUP($B148,Pitchers!$A1:$S251,17,FALSE)</f>
        <v>0</v>
      </c>
      <c r="AQ148" s="31">
        <f>VLOOKUP($B148,Pitchers!$A1:$S251,18,FALSE)</f>
        <v>2</v>
      </c>
      <c r="AR148" s="31">
        <f>VLOOKUP($B148,Pitchers!$A1:$S251,19,FALSE)</f>
        <v>5</v>
      </c>
    </row>
    <row r="149" spans="1:44" ht="18.600000000000001" customHeight="1">
      <c r="A149" s="25">
        <f ca="1">RANK(I149,I$2:I$651)</f>
        <v>148</v>
      </c>
      <c r="B149" s="26" t="s">
        <v>195</v>
      </c>
      <c r="C149" s="27" t="s">
        <v>84</v>
      </c>
      <c r="D149" s="27" t="s">
        <v>69</v>
      </c>
      <c r="E149" s="28" t="s">
        <v>23</v>
      </c>
      <c r="F149" s="29">
        <f ca="1">VLOOKUP(B149,OF!A1:I139,IF(Settings!$J$13="points",4,7),FALSE)</f>
        <v>36</v>
      </c>
      <c r="G149" s="30">
        <f>(M149*Settings!$B$2)+(N149*Settings!$B$3)+(O149*Settings!$B$4)+(P149*Settings!$B$5)+(Q149*Settings!$B$6)+((T149-U149-V149-O149)*Settings!$B$9)+(U149*Settings!$B$10)+(V149*Settings!$B$11)+(W149*Settings!$B$12)+(X149*Settings!$B$13)+(AA149*Settings!$B$16)</f>
        <v>357.45833333333331</v>
      </c>
      <c r="H149" s="31">
        <f>VLOOKUP(B149,'Standard Deviations'!$A1:$D651,4,FALSE)</f>
        <v>2.8677611888541397</v>
      </c>
      <c r="I149" s="32">
        <f ca="1">VLOOKUP(B149,OF!A1:I139,IF(Settings!$J$13="points",6,9),FALSE)</f>
        <v>3.0246877492492228</v>
      </c>
      <c r="J149" s="31"/>
      <c r="K149" s="31">
        <f ca="1">J149-A149</f>
        <v>-148</v>
      </c>
      <c r="L149" s="31"/>
      <c r="M149" s="31">
        <f>VLOOKUP($B149,Hitters!$A1:$R401,4,FALSE)</f>
        <v>488.14444444444445</v>
      </c>
      <c r="N149" s="31">
        <f>VLOOKUP($B149,Hitters!$A1:$R401,5,FALSE)</f>
        <v>68.523333333333341</v>
      </c>
      <c r="O149" s="31">
        <f>VLOOKUP($B149,Hitters!$A1:$R401,6,FALSE)</f>
        <v>28.201666666666668</v>
      </c>
      <c r="P149" s="31">
        <f>VLOOKUP($B149,Hitters!$A1:$R401,7,FALSE)</f>
        <v>78.043333333333337</v>
      </c>
      <c r="Q149" s="31">
        <f>VLOOKUP($B149,Hitters!$A1:$R401,8,FALSE)</f>
        <v>2</v>
      </c>
      <c r="R149" s="152">
        <f>VLOOKUP($B149,Hitters!$A$1:$R$401,14,FALSE)</f>
        <v>0.241604261033847</v>
      </c>
      <c r="S149" s="152">
        <f>VLOOKUP($B149,Hitters!$A$1:$R$401,15,FALSE)</f>
        <v>0.31190815209698208</v>
      </c>
      <c r="T149" s="154">
        <f>VLOOKUP($B149,Hitters!$A$1:$R$401,9,FALSE)</f>
        <v>117.93777777777778</v>
      </c>
      <c r="U149" s="154">
        <f>VLOOKUP($B149,Hitters!$A$1:$R$401,10,FALSE)</f>
        <v>24.45888888888889</v>
      </c>
      <c r="V149" s="154">
        <f>VLOOKUP($B149,Hitters!$A$1:$R$401,11,FALSE)</f>
        <v>0.99888888888888883</v>
      </c>
      <c r="W149" s="154">
        <f>VLOOKUP($B149,Hitters!$A$1:$R$401,12,FALSE)</f>
        <v>42.096666666666671</v>
      </c>
      <c r="X149" s="154">
        <f>VLOOKUP($B149,Hitters!$A$1:$R$401,13,FALSE)</f>
        <v>128.4088888888889</v>
      </c>
      <c r="Y149" s="152">
        <f>VLOOKUP($B149,Hitters!$A$1:$R$401,16,FALSE)</f>
        <v>0.46912229986570464</v>
      </c>
      <c r="Z149" s="152">
        <f>VLOOKUP($B149,Hitters!$A$1:$R$401,17,FALSE)</f>
        <v>0.78103045196268672</v>
      </c>
      <c r="AA149" s="31">
        <f>VLOOKUP($B149,Hitters!$A1:$R401,18,FALSE)</f>
        <v>0</v>
      </c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 spans="1:44" ht="18.600000000000001" customHeight="1">
      <c r="A150" s="25">
        <f ca="1">RANK(I150,I$2:I$651)</f>
        <v>149</v>
      </c>
      <c r="B150" s="26" t="s">
        <v>310</v>
      </c>
      <c r="C150" s="27" t="s">
        <v>134</v>
      </c>
      <c r="D150" s="27" t="s">
        <v>74</v>
      </c>
      <c r="E150" s="48" t="s">
        <v>11</v>
      </c>
      <c r="F150" s="49">
        <f ca="1">VLOOKUP(B150,'2B'!A1:I50,IF(Settings!$J$13="points",4,7),FALSE)</f>
        <v>10</v>
      </c>
      <c r="G150" s="30">
        <f>(M150*Settings!$B$2)+(N150*Settings!$B$3)+(O150*Settings!$B$4)+(P150*Settings!$B$5)+(Q150*Settings!$B$6)+((T150-U150-V150-O150)*Settings!$B$9)+(U150*Settings!$B$10)+(V150*Settings!$B$11)+(W150*Settings!$B$12)+(X150*Settings!$B$13)+(AA150*Settings!$B$16)</f>
        <v>376.63055555555559</v>
      </c>
      <c r="H150" s="31">
        <f>VLOOKUP(B150,'Standard Deviations'!$A1:$D651,4,FALSE)</f>
        <v>2.9663182443754246</v>
      </c>
      <c r="I150" s="32">
        <f ca="1">IF(Settings!$J$16="no",VLOOKUP(B150,'2B'!A1:I50,IF(Settings!$J$13="points",6,9),FALSE),VLOOKUP(B150,'2B+SS'!$A1:$I94,IF(Settings!$J$13="points",6,9),FALSE))</f>
        <v>2.9602736559662004</v>
      </c>
      <c r="J150" s="31"/>
      <c r="K150" s="31">
        <f ca="1">J150-A150</f>
        <v>-149</v>
      </c>
      <c r="L150" s="31"/>
      <c r="M150" s="31">
        <f>VLOOKUP($B150,Hitters!$A1:$R401,4,FALSE)</f>
        <v>522.5</v>
      </c>
      <c r="N150" s="31">
        <f>VLOOKUP($B150,Hitters!$A1:$R401,5,FALSE)</f>
        <v>72.09</v>
      </c>
      <c r="O150" s="31">
        <f>VLOOKUP($B150,Hitters!$A1:$R401,6,FALSE)</f>
        <v>6.6455555555555561</v>
      </c>
      <c r="P150" s="31">
        <f>VLOOKUP($B150,Hitters!$A1:$R401,7,FALSE)</f>
        <v>56.566666666666663</v>
      </c>
      <c r="Q150" s="31">
        <f>VLOOKUP($B150,Hitters!$A1:$R401,8,FALSE)</f>
        <v>5.09</v>
      </c>
      <c r="R150" s="152">
        <f>VLOOKUP($B150,Hitters!$A$1:$R$401,14,FALSE)</f>
        <v>0.30256671982987771</v>
      </c>
      <c r="S150" s="152">
        <f>VLOOKUP($B150,Hitters!$A$1:$R$401,15,FALSE)</f>
        <v>0.37064820121841735</v>
      </c>
      <c r="T150" s="154">
        <f>VLOOKUP($B150,Hitters!$A$1:$R$401,9,FALSE)</f>
        <v>158.0911111111111</v>
      </c>
      <c r="U150" s="154">
        <f>VLOOKUP($B150,Hitters!$A$1:$R$401,10,FALSE)</f>
        <v>28.305555555555557</v>
      </c>
      <c r="V150" s="154">
        <f>VLOOKUP($B150,Hitters!$A$1:$R$401,11,FALSE)</f>
        <v>2.9955555555555553</v>
      </c>
      <c r="W150" s="154">
        <f>VLOOKUP($B150,Hitters!$A$1:$R$401,12,FALSE)</f>
        <v>49.614444444444445</v>
      </c>
      <c r="X150" s="154">
        <f>VLOOKUP($B150,Hitters!$A$1:$R$401,13,FALSE)</f>
        <v>48.29</v>
      </c>
      <c r="Y150" s="152">
        <f>VLOOKUP($B150,Hitters!$A$1:$R$401,16,FALSE)</f>
        <v>0.4063625730994152</v>
      </c>
      <c r="Z150" s="152">
        <f>VLOOKUP($B150,Hitters!$A$1:$R$401,17,FALSE)</f>
        <v>0.7770107743178325</v>
      </c>
      <c r="AA150" s="31">
        <f>VLOOKUP($B150,Hitters!$A1:$R401,18,FALSE)</f>
        <v>0</v>
      </c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 spans="1:44" ht="18.600000000000001" customHeight="1">
      <c r="A151" s="25">
        <f ca="1">RANK(I151,I$2:I$651)</f>
        <v>150</v>
      </c>
      <c r="B151" s="26" t="s">
        <v>247</v>
      </c>
      <c r="C151" s="27" t="s">
        <v>123</v>
      </c>
      <c r="D151" s="27" t="s">
        <v>74</v>
      </c>
      <c r="E151" s="46" t="s">
        <v>19</v>
      </c>
      <c r="F151" s="47">
        <f ca="1">VLOOKUP(B151,'C'!A1:I54,IF(Settings!$J$13="points",4,7),FALSE)</f>
        <v>5</v>
      </c>
      <c r="G151" s="30">
        <f>(M151*Settings!$B$2)+(N151*Settings!$B$3)+(O151*Settings!$B$4)+(P151*Settings!$B$5)+(Q151*Settings!$B$6)+((T151-U151-V151-O151)*Settings!$B$9)+(U151*Settings!$B$10)+(V151*Settings!$B$11)+(W151*Settings!$B$12)+(X151*Settings!$B$13)+(AA151*Settings!$B$16)</f>
        <v>331.96333333333337</v>
      </c>
      <c r="H151" s="31">
        <f>VLOOKUP(B151,'Standard Deviations'!$A1:$D651,4,FALSE)</f>
        <v>2.1597334532985166</v>
      </c>
      <c r="I151" s="32">
        <f ca="1">VLOOKUP(B151,'C'!A1:I54,IF(Settings!$J$13="points",6,9),FALSE)</f>
        <v>2.9462608045577703</v>
      </c>
      <c r="J151" s="31"/>
      <c r="K151" s="31">
        <f ca="1">J151-A151</f>
        <v>-150</v>
      </c>
      <c r="L151" s="31"/>
      <c r="M151" s="31">
        <f>VLOOKUP($B151,Hitters!$A1:$R401,4,FALSE)</f>
        <v>443.97777777777782</v>
      </c>
      <c r="N151" s="31">
        <f>VLOOKUP($B151,Hitters!$A1:$R401,5,FALSE)</f>
        <v>68.321666666666658</v>
      </c>
      <c r="O151" s="31">
        <f>VLOOKUP($B151,Hitters!$A1:$R401,6,FALSE)</f>
        <v>20.95</v>
      </c>
      <c r="P151" s="31">
        <f>VLOOKUP($B151,Hitters!$A1:$R401,7,FALSE)</f>
        <v>65.174444444444447</v>
      </c>
      <c r="Q151" s="31">
        <f>VLOOKUP($B151,Hitters!$A1:$R401,8,FALSE)</f>
        <v>5.4844444444444447</v>
      </c>
      <c r="R151" s="152">
        <f>VLOOKUP($B151,Hitters!$A$1:$R$401,14,FALSE)</f>
        <v>0.24741478552480103</v>
      </c>
      <c r="S151" s="152">
        <f>VLOOKUP($B151,Hitters!$A$1:$R$401,15,FALSE)</f>
        <v>0.33130905557435242</v>
      </c>
      <c r="T151" s="154">
        <f>VLOOKUP($B151,Hitters!$A$1:$R$401,9,FALSE)</f>
        <v>109.84666666666668</v>
      </c>
      <c r="U151" s="154">
        <f>VLOOKUP($B151,Hitters!$A$1:$R$401,10,FALSE)</f>
        <v>21.956666666666667</v>
      </c>
      <c r="V151" s="154">
        <f>VLOOKUP($B151,Hitters!$A$1:$R$401,11,FALSE)</f>
        <v>1.8144444444444445</v>
      </c>
      <c r="W151" s="154">
        <f>VLOOKUP($B151,Hitters!$A$1:$R$401,12,FALSE)</f>
        <v>49.001666666666665</v>
      </c>
      <c r="X151" s="154">
        <f>VLOOKUP($B151,Hitters!$A$1:$R$401,13,FALSE)</f>
        <v>119.57111111111111</v>
      </c>
      <c r="Y151" s="152">
        <f>VLOOKUP($B151,Hitters!$A$1:$R$401,16,FALSE)</f>
        <v>0.44660393413083738</v>
      </c>
      <c r="Z151" s="152">
        <f>VLOOKUP($B151,Hitters!$A$1:$R$401,17,FALSE)</f>
        <v>0.77791298970518974</v>
      </c>
      <c r="AA151" s="31">
        <f>VLOOKUP($B151,Hitters!$A1:$R401,18,FALSE)</f>
        <v>0</v>
      </c>
      <c r="AB151" s="31"/>
      <c r="AC151" s="31"/>
      <c r="AD151" s="33"/>
      <c r="AE151" s="33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</row>
    <row r="152" spans="1:44" ht="18.600000000000001" customHeight="1">
      <c r="A152" s="25">
        <f ca="1">RANK(I152,I$2:I$651)</f>
        <v>151</v>
      </c>
      <c r="B152" s="26" t="s">
        <v>262</v>
      </c>
      <c r="C152" s="27" t="s">
        <v>223</v>
      </c>
      <c r="D152" s="27" t="s">
        <v>74</v>
      </c>
      <c r="E152" s="48" t="s">
        <v>11</v>
      </c>
      <c r="F152" s="49">
        <f ca="1">VLOOKUP(B152,'2B'!A1:I50,IF(Settings!$J$13="points",4,7),FALSE)</f>
        <v>11</v>
      </c>
      <c r="G152" s="30">
        <f>(M152*Settings!$B$2)+(N152*Settings!$B$3)+(O152*Settings!$B$4)+(P152*Settings!$B$5)+(Q152*Settings!$B$6)+((T152-U152-V152-O152)*Settings!$B$9)+(U152*Settings!$B$10)+(V152*Settings!$B$11)+(W152*Settings!$B$12)+(X152*Settings!$B$13)+(AA152*Settings!$B$16)</f>
        <v>368.62244444444445</v>
      </c>
      <c r="H152" s="31">
        <f>VLOOKUP(B152,'Standard Deviations'!$A1:$D651,4,FALSE)</f>
        <v>2.9489555525928361</v>
      </c>
      <c r="I152" s="32">
        <f ca="1">IF(Settings!$J$16="no",VLOOKUP(B152,'2B'!A1:I50,IF(Settings!$J$13="points",6,9),FALSE),VLOOKUP(B152,'2B+SS'!$A1:$I94,IF(Settings!$J$13="points",6,9),FALSE))</f>
        <v>2.9429129032386787</v>
      </c>
      <c r="J152" s="31"/>
      <c r="K152" s="31">
        <f ca="1">J152-A152</f>
        <v>-151</v>
      </c>
      <c r="L152" s="31"/>
      <c r="M152" s="31">
        <f>VLOOKUP($B152,Hitters!$A1:$R401,4,FALSE)</f>
        <v>532.65333333333342</v>
      </c>
      <c r="N152" s="31">
        <f>VLOOKUP($B152,Hitters!$A1:$R401,5,FALSE)</f>
        <v>78.678999999999988</v>
      </c>
      <c r="O152" s="31">
        <f>VLOOKUP($B152,Hitters!$A1:$R401,6,FALSE)</f>
        <v>16.935833333333331</v>
      </c>
      <c r="P152" s="31">
        <f>VLOOKUP($B152,Hitters!$A1:$R401,7,FALSE)</f>
        <v>62.912166666666678</v>
      </c>
      <c r="Q152" s="31">
        <f>VLOOKUP($B152,Hitters!$A1:$R401,8,FALSE)</f>
        <v>9.6163333333333334</v>
      </c>
      <c r="R152" s="152">
        <f>VLOOKUP($B152,Hitters!$A$1:$R$401,14,FALSE)</f>
        <v>0.25382268642519207</v>
      </c>
      <c r="S152" s="152">
        <f>VLOOKUP($B152,Hitters!$A$1:$R$401,15,FALSE)</f>
        <v>0.33312222884507248</v>
      </c>
      <c r="T152" s="154">
        <f>VLOOKUP($B152,Hitters!$A$1:$R$401,9,FALSE)</f>
        <v>135.1995</v>
      </c>
      <c r="U152" s="154">
        <f>VLOOKUP($B152,Hitters!$A$1:$R$401,10,FALSE)</f>
        <v>29.045500000000001</v>
      </c>
      <c r="V152" s="154">
        <f>VLOOKUP($B152,Hitters!$A$1:$R$401,11,FALSE)</f>
        <v>2.0656666666666665</v>
      </c>
      <c r="W152" s="154">
        <f>VLOOKUP($B152,Hitters!$A$1:$R$401,12,FALSE)</f>
        <v>55.343833333333329</v>
      </c>
      <c r="X152" s="154">
        <f>VLOOKUP($B152,Hitters!$A$1:$R$401,13,FALSE)</f>
        <v>133.45811111111109</v>
      </c>
      <c r="Y152" s="152">
        <f>VLOOKUP($B152,Hitters!$A$1:$R$401,16,FALSE)</f>
        <v>0.41149434278705344</v>
      </c>
      <c r="Z152" s="152">
        <f>VLOOKUP($B152,Hitters!$A$1:$R$401,17,FALSE)</f>
        <v>0.74461657163212591</v>
      </c>
      <c r="AA152" s="31">
        <f>VLOOKUP($B152,Hitters!$A1:$R401,18,FALSE)</f>
        <v>0</v>
      </c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</row>
    <row r="153" spans="1:44" ht="18.600000000000001" customHeight="1">
      <c r="A153" s="25">
        <f ca="1">RANK(I153,I$2:I$651)</f>
        <v>152</v>
      </c>
      <c r="B153" s="26" t="s">
        <v>203</v>
      </c>
      <c r="C153" s="27" t="s">
        <v>176</v>
      </c>
      <c r="D153" s="27" t="s">
        <v>74</v>
      </c>
      <c r="E153" s="34" t="s">
        <v>15</v>
      </c>
      <c r="F153" s="35">
        <f ca="1">VLOOKUP(B153,'3B'!A1:I55,IF(Settings!$J$13="points",4,7),FALSE)</f>
        <v>8</v>
      </c>
      <c r="G153" s="30">
        <f>(M153*Settings!$B$2)+(N153*Settings!$B$3)+(O153*Settings!$B$4)+(P153*Settings!$B$5)+(Q153*Settings!$B$6)+((T153-U153-V153-O153)*Settings!$B$9)+(U153*Settings!$B$10)+(V153*Settings!$B$11)+(W153*Settings!$B$12)+(X153*Settings!$B$13)+(AA153*Settings!$B$16)</f>
        <v>364.93833333333328</v>
      </c>
      <c r="H153" s="31">
        <f>VLOOKUP(B153,'Standard Deviations'!$A1:$D651,4,FALSE)</f>
        <v>3.1300276330083943</v>
      </c>
      <c r="I153" s="32">
        <f ca="1">IF(Settings!$J$15="no",VLOOKUP(B153,'3B'!A1:I55,IF(Settings!$J$13="points",6,9),FALSE),VLOOKUP(B153,'1B+3B'!$A1:$I104,IF(Settings!$J$13="points",6,9),FALSE))</f>
        <v>2.9045486709534796</v>
      </c>
      <c r="J153" s="31"/>
      <c r="K153" s="31">
        <f ca="1">J153-A153</f>
        <v>-152</v>
      </c>
      <c r="L153" s="31"/>
      <c r="M153" s="31">
        <f>VLOOKUP($B153,Hitters!$A1:$R401,4,FALSE)</f>
        <v>517.56666666666672</v>
      </c>
      <c r="N153" s="31">
        <f>VLOOKUP($B153,Hitters!$A1:$R401,5,FALSE)</f>
        <v>72.21833333333332</v>
      </c>
      <c r="O153" s="31">
        <f>VLOOKUP($B153,Hitters!$A1:$R401,6,FALSE)</f>
        <v>21.043333333333333</v>
      </c>
      <c r="P153" s="31">
        <f>VLOOKUP($B153,Hitters!$A1:$R401,7,FALSE)</f>
        <v>72.956666666666663</v>
      </c>
      <c r="Q153" s="31">
        <f>VLOOKUP($B153,Hitters!$A1:$R401,8,FALSE)</f>
        <v>6.9866666666666672</v>
      </c>
      <c r="R153" s="152">
        <f>VLOOKUP($B153,Hitters!$A$1:$R$401,14,FALSE)</f>
        <v>0.2514394280929993</v>
      </c>
      <c r="S153" s="152">
        <f>VLOOKUP($B153,Hitters!$A$1:$R$401,15,FALSE)</f>
        <v>0.33473465208930936</v>
      </c>
      <c r="T153" s="154">
        <f>VLOOKUP($B153,Hitters!$A$1:$R$401,9,FALSE)</f>
        <v>130.13666666666668</v>
      </c>
      <c r="U153" s="154">
        <f>VLOOKUP($B153,Hitters!$A$1:$R$401,10,FALSE)</f>
        <v>25.63</v>
      </c>
      <c r="V153" s="154">
        <f>VLOOKUP($B153,Hitters!$A$1:$R$401,11,FALSE)</f>
        <v>2.0066666666666668</v>
      </c>
      <c r="W153" s="154">
        <f>VLOOKUP($B153,Hitters!$A$1:$R$401,12,FALSE)</f>
        <v>57.071666666666665</v>
      </c>
      <c r="X153" s="154">
        <f>VLOOKUP($B153,Hitters!$A$1:$R$401,13,FALSE)</f>
        <v>148.38333333333333</v>
      </c>
      <c r="Y153" s="152">
        <f>VLOOKUP($B153,Hitters!$A$1:$R$401,16,FALSE)</f>
        <v>0.43068847813486189</v>
      </c>
      <c r="Z153" s="152">
        <f>VLOOKUP($B153,Hitters!$A$1:$R$401,17,FALSE)</f>
        <v>0.76542313022417119</v>
      </c>
      <c r="AA153" s="31">
        <f>VLOOKUP($B153,Hitters!$A1:$R401,18,FALSE)</f>
        <v>0</v>
      </c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</row>
    <row r="154" spans="1:44" ht="18.600000000000001" customHeight="1">
      <c r="A154" s="25">
        <f ca="1">RANK(I154,I$2:I$651)</f>
        <v>153</v>
      </c>
      <c r="B154" s="26" t="s">
        <v>208</v>
      </c>
      <c r="C154" s="27" t="s">
        <v>99</v>
      </c>
      <c r="D154" s="27" t="s">
        <v>69</v>
      </c>
      <c r="E154" s="46" t="s">
        <v>19</v>
      </c>
      <c r="F154" s="47">
        <f ca="1">VLOOKUP(B154,'C'!A1:I54,IF(Settings!$J$13="points",4,7),FALSE)</f>
        <v>6</v>
      </c>
      <c r="G154" s="30">
        <f>(M154*Settings!$B$2)+(N154*Settings!$B$3)+(O154*Settings!$B$4)+(P154*Settings!$B$5)+(Q154*Settings!$B$6)+((T154-U154-V154-O154)*Settings!$B$9)+(U154*Settings!$B$10)+(V154*Settings!$B$11)+(W154*Settings!$B$12)+(X154*Settings!$B$13)+(AA154*Settings!$B$16)</f>
        <v>371.45944444444439</v>
      </c>
      <c r="H154" s="31">
        <f>VLOOKUP(B154,'Standard Deviations'!$A1:$D651,4,FALSE)</f>
        <v>2.1138941904153112</v>
      </c>
      <c r="I154" s="32">
        <f ca="1">VLOOKUP(B154,'C'!A1:I54,IF(Settings!$J$13="points",6,9),FALSE)</f>
        <v>2.9004148908724043</v>
      </c>
      <c r="J154" s="31"/>
      <c r="K154" s="31">
        <f ca="1">J154-A154</f>
        <v>-153</v>
      </c>
      <c r="L154" s="31"/>
      <c r="M154" s="31">
        <f>VLOOKUP($B154,Hitters!$A1:$R401,4,FALSE)</f>
        <v>479.79999999999995</v>
      </c>
      <c r="N154" s="31">
        <f>VLOOKUP($B154,Hitters!$A1:$R401,5,FALSE)</f>
        <v>74.666666666666671</v>
      </c>
      <c r="O154" s="31">
        <f>VLOOKUP($B154,Hitters!$A1:$R401,6,FALSE)</f>
        <v>17.066666666666666</v>
      </c>
      <c r="P154" s="31">
        <f>VLOOKUP($B154,Hitters!$A1:$R401,7,FALSE)</f>
        <v>61.900000000000006</v>
      </c>
      <c r="Q154" s="31">
        <f>VLOOKUP($B154,Hitters!$A1:$R401,8,FALSE)</f>
        <v>4.0199999999999996</v>
      </c>
      <c r="R154" s="152">
        <f>VLOOKUP($B154,Hitters!$A$1:$R$401,14,FALSE)</f>
        <v>0.2571904960400167</v>
      </c>
      <c r="S154" s="152">
        <f>VLOOKUP($B154,Hitters!$A$1:$R$401,15,FALSE)</f>
        <v>0.35644264803885772</v>
      </c>
      <c r="T154" s="154">
        <f>VLOOKUP($B154,Hitters!$A$1:$R$401,9,FALSE)</f>
        <v>123.39999999999999</v>
      </c>
      <c r="U154" s="154">
        <f>VLOOKUP($B154,Hitters!$A$1:$R$401,10,FALSE)</f>
        <v>30.866666666666671</v>
      </c>
      <c r="V154" s="154">
        <f>VLOOKUP($B154,Hitters!$A$1:$R$401,11,FALSE)</f>
        <v>1.7155555555555555</v>
      </c>
      <c r="W154" s="154">
        <f>VLOOKUP($B154,Hitters!$A$1:$R$401,12,FALSE)</f>
        <v>67.316666666666663</v>
      </c>
      <c r="X154" s="154">
        <f>VLOOKUP($B154,Hitters!$A$1:$R$401,13,FALSE)</f>
        <v>98.723333333333343</v>
      </c>
      <c r="Y154" s="152">
        <f>VLOOKUP($B154,Hitters!$A$1:$R$401,16,FALSE)</f>
        <v>0.4353851141679404</v>
      </c>
      <c r="Z154" s="152">
        <f>VLOOKUP($B154,Hitters!$A$1:$R$401,17,FALSE)</f>
        <v>0.79182776220679818</v>
      </c>
      <c r="AA154" s="31">
        <f>VLOOKUP($B154,Hitters!$A1:$R401,18,FALSE)</f>
        <v>0</v>
      </c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</row>
    <row r="155" spans="1:44" ht="18.600000000000001" customHeight="1">
      <c r="A155" s="25">
        <f ca="1">RANK(I155,I$2:I$651)</f>
        <v>154</v>
      </c>
      <c r="B155" s="26" t="s">
        <v>232</v>
      </c>
      <c r="C155" s="27" t="s">
        <v>123</v>
      </c>
      <c r="D155" s="27" t="s">
        <v>74</v>
      </c>
      <c r="E155" s="36" t="s">
        <v>31</v>
      </c>
      <c r="F155" s="37">
        <f ca="1">VLOOKUP(B155,SP!A1:I161,IF(Settings!$J$13="points",4,7),FALSE)</f>
        <v>47</v>
      </c>
      <c r="G155" s="30">
        <f>(AC155*Settings!$F$2)+(AF155*Settings!$F$5)+(AG155*Settings!$F$6)+(AH155*Settings!$F$7)+(AI155*Settings!$F$8)+(AJ155*Settings!$F$9)+(AK155*Settings!$F$10)+(AL155*Settings!$F$11)+(AM155*Settings!$F$12)+(AN155*Settings!$F$13)+(AO155*Settings!$F$14)+(AP155*Settings!$F$15)+(AQ155*Settings!$F$16)+(AR155*Settings!$F$17)</f>
        <v>399.81513333333322</v>
      </c>
      <c r="H155" s="31">
        <f>VLOOKUP(B155,'Standard Deviations'!$A1:$D651,4,FALSE)</f>
        <v>2.0175908834114318</v>
      </c>
      <c r="I155" s="32">
        <f ca="1">IF(Settings!$J$16="no",VLOOKUP(B155,SP!A1:I161,IF(Settings!$J$13="points",6,9),FALSE),VLOOKUP(B155,'SP+RP'!$A1:$I251,IF(Settings!$J$13="points",6,9),FALSE))</f>
        <v>2.8851741460559617</v>
      </c>
      <c r="J155" s="31"/>
      <c r="K155" s="31">
        <f ca="1">J155-A155</f>
        <v>-154</v>
      </c>
      <c r="L155" s="31"/>
      <c r="M155" s="31"/>
      <c r="N155" s="31"/>
      <c r="O155" s="31"/>
      <c r="P155" s="31"/>
      <c r="Q155" s="31"/>
      <c r="R155" s="152"/>
      <c r="S155" s="152"/>
      <c r="T155" s="154"/>
      <c r="U155" s="154"/>
      <c r="V155" s="154"/>
      <c r="W155" s="154"/>
      <c r="X155" s="154"/>
      <c r="Y155" s="152"/>
      <c r="Z155" s="152"/>
      <c r="AA155" s="31"/>
      <c r="AB155" s="31"/>
      <c r="AC155" s="31">
        <f>VLOOKUP($B155,Pitchers!$A1:$S251,4,FALSE)</f>
        <v>172.24833333333333</v>
      </c>
      <c r="AD155" s="33">
        <f>VLOOKUP($B155,Pitchers!$A1:$S251,5,FALSE)</f>
        <v>3.6539035694588242</v>
      </c>
      <c r="AE155" s="33">
        <f>VLOOKUP($B155,Pitchers!$A1:$S251,6,FALSE)</f>
        <v>1.2018177889158741</v>
      </c>
      <c r="AF155" s="31">
        <f>VLOOKUP($B155,Pitchers!$A1:$S251,7,FALSE)</f>
        <v>153.97999999999999</v>
      </c>
      <c r="AG155" s="31">
        <f>VLOOKUP($B155,Pitchers!$A1:$S251,8,FALSE)</f>
        <v>10.705555555555556</v>
      </c>
      <c r="AH155" s="31">
        <f>VLOOKUP($B155,Pitchers!$A1:$S251,9,FALSE)</f>
        <v>0</v>
      </c>
      <c r="AI155" s="31">
        <f>VLOOKUP($B155,Pitchers!$A1:$S251,10,FALSE)</f>
        <v>69.930977777777784</v>
      </c>
      <c r="AJ155" s="31">
        <f>VLOOKUP($B155,Pitchers!$A1:$S251,11,FALSE)</f>
        <v>162.2488888888889</v>
      </c>
      <c r="AK155" s="31">
        <f>VLOOKUP($B155,Pitchers!$A1:$S251,12,FALSE)</f>
        <v>44.762222222222221</v>
      </c>
      <c r="AL155" s="31">
        <f>VLOOKUP($B155,Pitchers!$A1:$S251,13,FALSE)</f>
        <v>20</v>
      </c>
      <c r="AM155" s="31">
        <f>VLOOKUP($B155,Pitchers!$A1:$S251,14,FALSE)</f>
        <v>30.997777777777781</v>
      </c>
      <c r="AN155" s="31">
        <f>VLOOKUP($B155,Pitchers!$A1:$S251,15,FALSE)</f>
        <v>30.997777777777781</v>
      </c>
      <c r="AO155" s="31">
        <f>VLOOKUP($B155,Pitchers!$A1:$S251,16,FALSE)</f>
        <v>7.9833333333333343</v>
      </c>
      <c r="AP155" s="31">
        <f>VLOOKUP($B155,Pitchers!$A1:$S251,17,FALSE)</f>
        <v>16</v>
      </c>
      <c r="AQ155" s="31">
        <f>VLOOKUP($B155,Pitchers!$A1:$S251,18,FALSE)</f>
        <v>0</v>
      </c>
      <c r="AR155" s="31">
        <f>VLOOKUP($B155,Pitchers!$A1:$S251,19,FALSE)</f>
        <v>0</v>
      </c>
    </row>
    <row r="156" spans="1:44" ht="18.600000000000001" customHeight="1">
      <c r="A156" s="25">
        <f ca="1">RANK(I156,I$2:I$651)</f>
        <v>155</v>
      </c>
      <c r="B156" s="26" t="s">
        <v>145</v>
      </c>
      <c r="C156" s="27" t="s">
        <v>78</v>
      </c>
      <c r="D156" s="27" t="s">
        <v>69</v>
      </c>
      <c r="E156" s="48" t="s">
        <v>11</v>
      </c>
      <c r="F156" s="49">
        <f ca="1">VLOOKUP(B156,'2B'!A1:I50,IF(Settings!$J$13="points",4,7),FALSE)</f>
        <v>12</v>
      </c>
      <c r="G156" s="30">
        <f>(M156*Settings!$B$2)+(N156*Settings!$B$3)+(O156*Settings!$B$4)+(P156*Settings!$B$5)+(Q156*Settings!$B$6)+((T156-U156-V156-O156)*Settings!$B$9)+(U156*Settings!$B$10)+(V156*Settings!$B$11)+(W156*Settings!$B$12)+(X156*Settings!$B$13)+(AA156*Settings!$B$16)</f>
        <v>329.69500000000005</v>
      </c>
      <c r="H156" s="31">
        <f>VLOOKUP(B156,'Standard Deviations'!$A1:$D651,4,FALSE)</f>
        <v>2.8839645918671164</v>
      </c>
      <c r="I156" s="32">
        <f ca="1">IF(Settings!$J$16="no",VLOOKUP(B156,'2B'!A1:I50,IF(Settings!$J$13="points",6,9),FALSE),VLOOKUP(B156,'2B+SS'!$A1:$I94,IF(Settings!$J$13="points",6,9),FALSE))</f>
        <v>2.877919052417826</v>
      </c>
      <c r="J156" s="31"/>
      <c r="K156" s="31">
        <f ca="1">J156-A156</f>
        <v>-155</v>
      </c>
      <c r="L156" s="31"/>
      <c r="M156" s="31">
        <f>VLOOKUP($B156,Hitters!$A1:$R401,4,FALSE)</f>
        <v>394.50055555555559</v>
      </c>
      <c r="N156" s="31">
        <f>VLOOKUP($B156,Hitters!$A1:$R401,5,FALSE)</f>
        <v>66.861111111111114</v>
      </c>
      <c r="O156" s="31">
        <f>VLOOKUP($B156,Hitters!$A1:$R401,6,FALSE)</f>
        <v>16.83388888888889</v>
      </c>
      <c r="P156" s="31">
        <f>VLOOKUP($B156,Hitters!$A1:$R401,7,FALSE)</f>
        <v>51.44777777777778</v>
      </c>
      <c r="Q156" s="31">
        <f>VLOOKUP($B156,Hitters!$A1:$R401,8,FALSE)</f>
        <v>8.9916666666666671</v>
      </c>
      <c r="R156" s="152">
        <f>VLOOKUP($B156,Hitters!$A$1:$R$401,14,FALSE)</f>
        <v>0.27492427133604935</v>
      </c>
      <c r="S156" s="152">
        <f>VLOOKUP($B156,Hitters!$A$1:$R$401,15,FALSE)</f>
        <v>0.35384834444001667</v>
      </c>
      <c r="T156" s="154">
        <f>VLOOKUP($B156,Hitters!$A$1:$R$401,9,FALSE)</f>
        <v>108.45777777777778</v>
      </c>
      <c r="U156" s="154">
        <f>VLOOKUP($B156,Hitters!$A$1:$R$401,10,FALSE)</f>
        <v>21.71166666666667</v>
      </c>
      <c r="V156" s="154">
        <f>VLOOKUP($B156,Hitters!$A$1:$R$401,11,FALSE)</f>
        <v>0.7877777777777778</v>
      </c>
      <c r="W156" s="154">
        <f>VLOOKUP($B156,Hitters!$A$1:$R$401,12,FALSE)</f>
        <v>42.644444444444446</v>
      </c>
      <c r="X156" s="154">
        <f>VLOOKUP($B156,Hitters!$A$1:$R$401,13,FALSE)</f>
        <v>62.976666666666667</v>
      </c>
      <c r="Y156" s="152">
        <f>VLOOKUP($B156,Hitters!$A$1:$R$401,16,FALSE)</f>
        <v>0.46196808622998697</v>
      </c>
      <c r="Z156" s="152">
        <f>VLOOKUP($B156,Hitters!$A$1:$R$401,17,FALSE)</f>
        <v>0.81581643067000364</v>
      </c>
      <c r="AA156" s="31">
        <f>VLOOKUP($B156,Hitters!$A1:$R401,18,FALSE)</f>
        <v>0</v>
      </c>
      <c r="AB156" s="31"/>
      <c r="AC156" s="31"/>
      <c r="AD156" s="33"/>
      <c r="AE156" s="33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</row>
    <row r="157" spans="1:44" ht="18.600000000000001" customHeight="1">
      <c r="A157" s="25">
        <f ca="1">RANK(I157,I$2:I$651)</f>
        <v>156</v>
      </c>
      <c r="B157" s="26" t="s">
        <v>218</v>
      </c>
      <c r="C157" s="27" t="s">
        <v>114</v>
      </c>
      <c r="D157" s="27" t="s">
        <v>69</v>
      </c>
      <c r="E157" s="28" t="s">
        <v>23</v>
      </c>
      <c r="F157" s="29">
        <f ca="1">VLOOKUP(B157,OF!A1:I139,IF(Settings!$J$13="points",4,7),FALSE)</f>
        <v>37</v>
      </c>
      <c r="G157" s="30">
        <f>(M157*Settings!$B$2)+(N157*Settings!$B$3)+(O157*Settings!$B$4)+(P157*Settings!$B$5)+(Q157*Settings!$B$6)+((T157-U157-V157-O157)*Settings!$B$9)+(U157*Settings!$B$10)+(V157*Settings!$B$11)+(W157*Settings!$B$12)+(X157*Settings!$B$13)+(AA157*Settings!$B$16)</f>
        <v>349.4466666666666</v>
      </c>
      <c r="H157" s="31">
        <f>VLOOKUP(B157,'Standard Deviations'!$A1:$D651,4,FALSE)</f>
        <v>2.715473904178066</v>
      </c>
      <c r="I157" s="32">
        <f ca="1">VLOOKUP(B157,OF!A1:I139,IF(Settings!$J$13="points",6,9),FALSE)</f>
        <v>2.8724055387492826</v>
      </c>
      <c r="J157" s="31"/>
      <c r="K157" s="31">
        <f ca="1">J157-A157</f>
        <v>-156</v>
      </c>
      <c r="L157" s="31"/>
      <c r="M157" s="31">
        <f>VLOOKUP($B157,Hitters!$A1:$R401,4,FALSE)</f>
        <v>479.81111111111113</v>
      </c>
      <c r="N157" s="31">
        <f>VLOOKUP($B157,Hitters!$A1:$R401,5,FALSE)</f>
        <v>66.004999999999995</v>
      </c>
      <c r="O157" s="31">
        <f>VLOOKUP($B157,Hitters!$A1:$R401,6,FALSE)</f>
        <v>12.964444444444444</v>
      </c>
      <c r="P157" s="31">
        <f>VLOOKUP($B157,Hitters!$A1:$R401,7,FALSE)</f>
        <v>59.964444444444446</v>
      </c>
      <c r="Q157" s="31">
        <f>VLOOKUP($B157,Hitters!$A1:$R401,8,FALSE)</f>
        <v>10.456666666666667</v>
      </c>
      <c r="R157" s="152">
        <f>VLOOKUP($B157,Hitters!$A$1:$R$401,14,FALSE)</f>
        <v>0.27026376120232498</v>
      </c>
      <c r="S157" s="152">
        <f>VLOOKUP($B157,Hitters!$A$1:$R$401,15,FALSE)</f>
        <v>0.34849474085720922</v>
      </c>
      <c r="T157" s="154">
        <f>VLOOKUP($B157,Hitters!$A$1:$R$401,9,FALSE)</f>
        <v>129.67555555555555</v>
      </c>
      <c r="U157" s="154">
        <f>VLOOKUP($B157,Hitters!$A$1:$R$401,10,FALSE)</f>
        <v>24.455555555555559</v>
      </c>
      <c r="V157" s="154">
        <f>VLOOKUP($B157,Hitters!$A$1:$R$401,11,FALSE)</f>
        <v>2.0016666666666665</v>
      </c>
      <c r="W157" s="154">
        <f>VLOOKUP($B157,Hitters!$A$1:$R$401,12,FALSE)</f>
        <v>50.752222222222223</v>
      </c>
      <c r="X157" s="154">
        <f>VLOOKUP($B157,Hitters!$A$1:$R$401,13,FALSE)</f>
        <v>90.432222222222222</v>
      </c>
      <c r="Y157" s="152">
        <f>VLOOKUP($B157,Hitters!$A$1:$R$401,16,FALSE)</f>
        <v>0.41063612995854848</v>
      </c>
      <c r="Z157" s="152">
        <f>VLOOKUP($B157,Hitters!$A$1:$R$401,17,FALSE)</f>
        <v>0.7591308708157577</v>
      </c>
      <c r="AA157" s="31">
        <f>VLOOKUP($B157,Hitters!$A1:$R401,18,FALSE)</f>
        <v>0</v>
      </c>
      <c r="AB157" s="31"/>
      <c r="AC157" s="31"/>
      <c r="AD157" s="33"/>
      <c r="AE157" s="33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</row>
    <row r="158" spans="1:44" ht="18.600000000000001" customHeight="1">
      <c r="A158" s="25">
        <f ca="1">RANK(I158,I$2:I$651)</f>
        <v>157</v>
      </c>
      <c r="B158" s="26" t="s">
        <v>256</v>
      </c>
      <c r="C158" s="27" t="s">
        <v>103</v>
      </c>
      <c r="D158" s="27" t="s">
        <v>69</v>
      </c>
      <c r="E158" s="42" t="s">
        <v>34</v>
      </c>
      <c r="F158" s="43">
        <f ca="1">VLOOKUP(B158,RP!A1:I91,IF(Settings!$J$13="points",4,7),FALSE)</f>
        <v>15</v>
      </c>
      <c r="G158" s="30">
        <f>(AC158*Settings!$F$2)+(AF158*Settings!$F$5)+(AG158*Settings!$F$6)+(AH158*Settings!$F$7)+(AI158*Settings!$F$8)+(AJ158*Settings!$F$9)+(AK158*Settings!$F$10)+(AL158*Settings!$F$11)+(AM158*Settings!$F$12)+(AN158*Settings!$F$13)+(AO158*Settings!$F$14)+(AP158*Settings!$F$15)+(AQ158*Settings!$F$16)+(AR158*Settings!$F$17)</f>
        <v>333.7144444444445</v>
      </c>
      <c r="H158" s="31">
        <f>VLOOKUP(B158,'Standard Deviations'!$A1:$D651,4,FALSE)</f>
        <v>1.997043206947557</v>
      </c>
      <c r="I158" s="32">
        <f ca="1">IF(Settings!$J$16="no",VLOOKUP(B158,RP!A1:I91,IF(Settings!$J$13="points",6,9),FALSE),VLOOKUP(B158,'SP+RP'!$A1:$I251,IF(Settings!$J$13="points",6,9),FALSE))</f>
        <v>2.8646194887468104</v>
      </c>
      <c r="J158" s="31"/>
      <c r="K158" s="31">
        <f ca="1">J158-A158</f>
        <v>-157</v>
      </c>
      <c r="L158" s="31"/>
      <c r="M158" s="31"/>
      <c r="N158" s="31"/>
      <c r="O158" s="31"/>
      <c r="P158" s="31"/>
      <c r="Q158" s="31"/>
      <c r="R158" s="152"/>
      <c r="S158" s="152"/>
      <c r="T158" s="154"/>
      <c r="U158" s="154"/>
      <c r="V158" s="154"/>
      <c r="W158" s="154"/>
      <c r="X158" s="154"/>
      <c r="Y158" s="152"/>
      <c r="Z158" s="152"/>
      <c r="AA158" s="31"/>
      <c r="AB158" s="31"/>
      <c r="AC158" s="31">
        <f>VLOOKUP($B158,Pitchers!$A1:$S251,4,FALSE)</f>
        <v>62.452222222222225</v>
      </c>
      <c r="AD158" s="33">
        <f>VLOOKUP($B158,Pitchers!$A1:$S251,5,FALSE)</f>
        <v>3.6956251000765028</v>
      </c>
      <c r="AE158" s="33">
        <f>VLOOKUP($B158,Pitchers!$A1:$S251,6,FALSE)</f>
        <v>1.1885708185813155</v>
      </c>
      <c r="AF158" s="31">
        <f>VLOOKUP($B158,Pitchers!$A1:$S251,7,FALSE)</f>
        <v>73.804444444444442</v>
      </c>
      <c r="AG158" s="31">
        <f>VLOOKUP($B158,Pitchers!$A1:$S251,8,FALSE)</f>
        <v>3.0255555555555556</v>
      </c>
      <c r="AH158" s="31">
        <f>VLOOKUP($B158,Pitchers!$A1:$S251,9,FALSE)</f>
        <v>29.022222222222222</v>
      </c>
      <c r="AI158" s="31">
        <f>VLOOKUP($B158,Pitchers!$A1:$S251,10,FALSE)</f>
        <v>25.644444444444446</v>
      </c>
      <c r="AJ158" s="31">
        <f>VLOOKUP($B158,Pitchers!$A1:$S251,11,FALSE)</f>
        <v>50.725555555555559</v>
      </c>
      <c r="AK158" s="31">
        <f>VLOOKUP($B158,Pitchers!$A1:$S251,12,FALSE)</f>
        <v>23.50333333333333</v>
      </c>
      <c r="AL158" s="31">
        <f>VLOOKUP($B158,Pitchers!$A1:$S251,13,FALSE)</f>
        <v>7.666666666666667</v>
      </c>
      <c r="AM158" s="31">
        <f>VLOOKUP($B158,Pitchers!$A1:$S251,14,FALSE)</f>
        <v>63.664444444444449</v>
      </c>
      <c r="AN158" s="31">
        <f>VLOOKUP($B158,Pitchers!$A1:$S251,15,FALSE)</f>
        <v>0</v>
      </c>
      <c r="AO158" s="31">
        <f>VLOOKUP($B158,Pitchers!$A1:$S251,16,FALSE)</f>
        <v>3.0011111111111113</v>
      </c>
      <c r="AP158" s="31">
        <f>VLOOKUP($B158,Pitchers!$A1:$S251,17,FALSE)</f>
        <v>0</v>
      </c>
      <c r="AQ158" s="31">
        <f>VLOOKUP($B158,Pitchers!$A1:$S251,18,FALSE)</f>
        <v>1.5</v>
      </c>
      <c r="AR158" s="31">
        <f>VLOOKUP($B158,Pitchers!$A1:$S251,19,FALSE)</f>
        <v>4</v>
      </c>
    </row>
    <row r="159" spans="1:44" ht="18.600000000000001" customHeight="1">
      <c r="A159" s="25">
        <f ca="1">RANK(I159,I$2:I$651)</f>
        <v>158</v>
      </c>
      <c r="B159" s="26" t="s">
        <v>241</v>
      </c>
      <c r="C159" s="27" t="s">
        <v>114</v>
      </c>
      <c r="D159" s="27" t="s">
        <v>69</v>
      </c>
      <c r="E159" s="42" t="s">
        <v>34</v>
      </c>
      <c r="F159" s="43">
        <f ca="1">VLOOKUP(B159,RP!A1:I91,IF(Settings!$J$13="points",4,7),FALSE)</f>
        <v>16</v>
      </c>
      <c r="G159" s="30">
        <f>(AC159*Settings!$F$2)+(AF159*Settings!$F$5)+(AG159*Settings!$F$6)+(AH159*Settings!$F$7)+(AI159*Settings!$F$8)+(AJ159*Settings!$F$9)+(AK159*Settings!$F$10)+(AL159*Settings!$F$11)+(AM159*Settings!$F$12)+(AN159*Settings!$F$13)+(AO159*Settings!$F$14)+(AP159*Settings!$F$15)+(AQ159*Settings!$F$16)+(AR159*Settings!$F$17)</f>
        <v>133.76055555555556</v>
      </c>
      <c r="H159" s="31">
        <f>VLOOKUP(B159,'Standard Deviations'!$A1:$D651,4,FALSE)</f>
        <v>1.9927337799907143</v>
      </c>
      <c r="I159" s="32">
        <f ca="1">IF(Settings!$J$16="no",VLOOKUP(B159,RP!A1:I91,IF(Settings!$J$13="points",6,9),FALSE),VLOOKUP(B159,'SP+RP'!$A1:$I251,IF(Settings!$J$13="points",6,9),FALSE))</f>
        <v>2.8603181922512686</v>
      </c>
      <c r="J159" s="31"/>
      <c r="K159" s="31">
        <f ca="1">J159-A159</f>
        <v>-158</v>
      </c>
      <c r="L159" s="31"/>
      <c r="M159" s="31"/>
      <c r="N159" s="31"/>
      <c r="O159" s="31"/>
      <c r="P159" s="31"/>
      <c r="Q159" s="31"/>
      <c r="R159" s="152"/>
      <c r="S159" s="152"/>
      <c r="T159" s="154"/>
      <c r="U159" s="154"/>
      <c r="V159" s="154"/>
      <c r="W159" s="154"/>
      <c r="X159" s="154"/>
      <c r="Y159" s="152"/>
      <c r="Z159" s="152"/>
      <c r="AA159" s="31"/>
      <c r="AB159" s="31"/>
      <c r="AC159" s="31">
        <f>VLOOKUP($B159,Pitchers!$A1:$S251,4,FALSE)</f>
        <v>25.902222222222221</v>
      </c>
      <c r="AD159" s="33">
        <f>VLOOKUP($B159,Pitchers!$A1:$S251,5,FALSE)</f>
        <v>2.9267759094028829</v>
      </c>
      <c r="AE159" s="33">
        <f>VLOOKUP($B159,Pitchers!$A1:$S251,6,FALSE)</f>
        <v>1.0072494852436513</v>
      </c>
      <c r="AF159" s="31">
        <f>VLOOKUP($B159,Pitchers!$A1:$S251,7,FALSE)</f>
        <v>36.147777777777776</v>
      </c>
      <c r="AG159" s="31">
        <f>VLOOKUP($B159,Pitchers!$A1:$S251,8,FALSE)</f>
        <v>1.9966666666666668</v>
      </c>
      <c r="AH159" s="31">
        <f>VLOOKUP($B159,Pitchers!$A1:$S251,9,FALSE)</f>
        <v>9.1333333333333329</v>
      </c>
      <c r="AI159" s="31">
        <f>VLOOKUP($B159,Pitchers!$A1:$S251,10,FALSE)</f>
        <v>8.4233333333333338</v>
      </c>
      <c r="AJ159" s="31">
        <f>VLOOKUP($B159,Pitchers!$A1:$S251,11,FALSE)</f>
        <v>19.943333333333332</v>
      </c>
      <c r="AK159" s="31">
        <f>VLOOKUP($B159,Pitchers!$A1:$S251,12,FALSE)</f>
        <v>6.1466666666666674</v>
      </c>
      <c r="AL159" s="31">
        <f>VLOOKUP($B159,Pitchers!$A1:$S251,13,FALSE)</f>
        <v>3.4666666666666668</v>
      </c>
      <c r="AM159" s="31">
        <f>VLOOKUP($B159,Pitchers!$A1:$S251,14,FALSE)</f>
        <v>26.351111111111109</v>
      </c>
      <c r="AN159" s="31">
        <f>VLOOKUP($B159,Pitchers!$A1:$S251,15,FALSE)</f>
        <v>0</v>
      </c>
      <c r="AO159" s="31">
        <f>VLOOKUP($B159,Pitchers!$A1:$S251,16,FALSE)</f>
        <v>1.0833333333333333</v>
      </c>
      <c r="AP159" s="31">
        <f>VLOOKUP($B159,Pitchers!$A1:$S251,17,FALSE)</f>
        <v>0</v>
      </c>
      <c r="AQ159" s="31">
        <f>VLOOKUP($B159,Pitchers!$A1:$S251,18,FALSE)</f>
        <v>0</v>
      </c>
      <c r="AR159" s="31">
        <f>VLOOKUP($B159,Pitchers!$A1:$S251,19,FALSE)</f>
        <v>3</v>
      </c>
    </row>
    <row r="160" spans="1:44" ht="18.600000000000001" customHeight="1">
      <c r="A160" s="25">
        <f ca="1">RANK(I160,I$2:I$651)</f>
        <v>159</v>
      </c>
      <c r="B160" s="26" t="s">
        <v>328</v>
      </c>
      <c r="C160" s="27" t="s">
        <v>114</v>
      </c>
      <c r="D160" s="27" t="s">
        <v>69</v>
      </c>
      <c r="E160" s="40" t="s">
        <v>7</v>
      </c>
      <c r="F160" s="41">
        <f ca="1">VLOOKUP(B160,'1B'!A1:I63,IF(Settings!$J$13="points",4,7),FALSE)</f>
        <v>15</v>
      </c>
      <c r="G160" s="30">
        <f>(M160*Settings!$B$2)+(N160*Settings!$B$3)+(O160*Settings!$B$4)+(P160*Settings!$B$5)+(Q160*Settings!$B$6)+((T160-U160-V160-O160)*Settings!$B$9)+(U160*Settings!$B$10)+(V160*Settings!$B$11)+(W160*Settings!$B$12)+(X160*Settings!$B$13)+(AA160*Settings!$B$16)</f>
        <v>376.58166666666671</v>
      </c>
      <c r="H160" s="31">
        <f>VLOOKUP(B160,'Standard Deviations'!$A1:$D651,4,FALSE)</f>
        <v>3.0608173675499879</v>
      </c>
      <c r="I160" s="32">
        <f ca="1">IF(Settings!$J$15="no",VLOOKUP(B160,'1B'!A1:I63,IF(Settings!$J$13="points",6,9),FALSE),VLOOKUP(B160,'1B+3B'!$A1:$I104,IF(Settings!$J$13="points",6,9),FALSE))</f>
        <v>2.8353377860767202</v>
      </c>
      <c r="J160" s="31"/>
      <c r="K160" s="31">
        <f ca="1">J160-A160</f>
        <v>-159</v>
      </c>
      <c r="L160" s="31"/>
      <c r="M160" s="31">
        <f>VLOOKUP($B160,Hitters!$A1:$R401,4,FALSE)</f>
        <v>532.6444444444445</v>
      </c>
      <c r="N160" s="31">
        <f>VLOOKUP($B160,Hitters!$A1:$R401,5,FALSE)</f>
        <v>69.847777777777779</v>
      </c>
      <c r="O160" s="31">
        <f>VLOOKUP($B160,Hitters!$A1:$R401,6,FALSE)</f>
        <v>21.724444444444444</v>
      </c>
      <c r="P160" s="31">
        <f>VLOOKUP($B160,Hitters!$A1:$R401,7,FALSE)</f>
        <v>75.254444444444445</v>
      </c>
      <c r="Q160" s="31">
        <f>VLOOKUP($B160,Hitters!$A1:$R401,8,FALSE)</f>
        <v>1.125</v>
      </c>
      <c r="R160" s="152">
        <f>VLOOKUP($B160,Hitters!$A$1:$R$401,14,FALSE)</f>
        <v>0.26454169969543989</v>
      </c>
      <c r="S160" s="152">
        <f>VLOOKUP($B160,Hitters!$A$1:$R$401,15,FALSE)</f>
        <v>0.33018813834369742</v>
      </c>
      <c r="T160" s="154">
        <f>VLOOKUP($B160,Hitters!$A$1:$R$401,9,FALSE)</f>
        <v>140.90666666666667</v>
      </c>
      <c r="U160" s="154">
        <f>VLOOKUP($B160,Hitters!$A$1:$R$401,10,FALSE)</f>
        <v>29.67</v>
      </c>
      <c r="V160" s="154">
        <f>VLOOKUP($B160,Hitters!$A$1:$R$401,11,FALSE)</f>
        <v>1.0016666666666667</v>
      </c>
      <c r="W160" s="154">
        <f>VLOOKUP($B160,Hitters!$A$1:$R$401,12,FALSE)</f>
        <v>44.138333333333328</v>
      </c>
      <c r="X160" s="154">
        <f>VLOOKUP($B160,Hitters!$A$1:$R$401,13,FALSE)</f>
        <v>105.32444444444445</v>
      </c>
      <c r="Y160" s="152">
        <f>VLOOKUP($B160,Hitters!$A$1:$R$401,16,FALSE)</f>
        <v>0.44636405356919351</v>
      </c>
      <c r="Z160" s="152">
        <f>VLOOKUP($B160,Hitters!$A$1:$R$401,17,FALSE)</f>
        <v>0.77655219191289093</v>
      </c>
      <c r="AA160" s="31">
        <f>VLOOKUP($B160,Hitters!$A1:$R401,18,FALSE)</f>
        <v>0</v>
      </c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</row>
    <row r="161" spans="1:44" ht="18.600000000000001" customHeight="1">
      <c r="A161" s="25">
        <f ca="1">RANK(I161,I$2:I$651)</f>
        <v>160</v>
      </c>
      <c r="B161" s="26" t="s">
        <v>750</v>
      </c>
      <c r="C161" s="27" t="s">
        <v>78</v>
      </c>
      <c r="D161" s="27" t="s">
        <v>69</v>
      </c>
      <c r="E161" s="36" t="s">
        <v>31</v>
      </c>
      <c r="F161" s="37">
        <f ca="1">VLOOKUP(B161,SP!A1:I161,IF(Settings!$J$13="points",4,7),FALSE)</f>
        <v>48</v>
      </c>
      <c r="G161" s="30">
        <f>(AC161*Settings!$F$2)+(AF161*Settings!$F$5)+(AG161*Settings!$F$6)+(AH161*Settings!$F$7)+(AI161*Settings!$F$8)+(AJ161*Settings!$F$9)+(AK161*Settings!$F$10)+(AL161*Settings!$F$11)+(AM161*Settings!$F$12)+(AN161*Settings!$F$13)+(AO161*Settings!$F$14)+(AP161*Settings!$F$15)+(AQ161*Settings!$F$16)+(AR161*Settings!$F$17)</f>
        <v>377.54388888888894</v>
      </c>
      <c r="H161" s="31">
        <f>VLOOKUP(B161,'Standard Deviations'!$A1:$D651,4,FALSE)</f>
        <v>1.9520224213290769</v>
      </c>
      <c r="I161" s="32">
        <f ca="1">IF(Settings!$J$16="no",VLOOKUP(B161,SP!A1:I161,IF(Settings!$J$13="points",6,9),FALSE),VLOOKUP(B161,'SP+RP'!$A1:$I251,IF(Settings!$J$13="points",6,9),FALSE))</f>
        <v>2.819598960861267</v>
      </c>
      <c r="J161" s="31"/>
      <c r="K161" s="31">
        <f ca="1">J161-A161</f>
        <v>-160</v>
      </c>
      <c r="L161" s="31"/>
      <c r="M161" s="31"/>
      <c r="N161" s="31"/>
      <c r="O161" s="31"/>
      <c r="P161" s="31"/>
      <c r="Q161" s="31"/>
      <c r="R161" s="152"/>
      <c r="S161" s="152"/>
      <c r="T161" s="154"/>
      <c r="U161" s="154"/>
      <c r="V161" s="154"/>
      <c r="W161" s="154"/>
      <c r="X161" s="154"/>
      <c r="Y161" s="152"/>
      <c r="Z161" s="152"/>
      <c r="AA161" s="31"/>
      <c r="AB161" s="31"/>
      <c r="AC161" s="31">
        <f>VLOOKUP($B161,Pitchers!$A1:$S251,4,FALSE)</f>
        <v>159.70666666666668</v>
      </c>
      <c r="AD161" s="33">
        <f>VLOOKUP($B161,Pitchers!$A1:$S251,5,FALSE)</f>
        <v>3.8606278176657201</v>
      </c>
      <c r="AE161" s="33">
        <f>VLOOKUP($B161,Pitchers!$A1:$S251,6,FALSE)</f>
        <v>1.199412812378249</v>
      </c>
      <c r="AF161" s="31">
        <f>VLOOKUP($B161,Pitchers!$A1:$S251,7,FALSE)</f>
        <v>160.06666666666666</v>
      </c>
      <c r="AG161" s="31">
        <f>VLOOKUP($B161,Pitchers!$A1:$S251,8,FALSE)</f>
        <v>11.558666666666667</v>
      </c>
      <c r="AH161" s="31">
        <f>VLOOKUP($B161,Pitchers!$A1:$S251,9,FALSE)</f>
        <v>0</v>
      </c>
      <c r="AI161" s="31">
        <f>VLOOKUP($B161,Pitchers!$A1:$S251,10,FALSE)</f>
        <v>68.507555555555555</v>
      </c>
      <c r="AJ161" s="31">
        <f>VLOOKUP($B161,Pitchers!$A1:$S251,11,FALSE)</f>
        <v>141.80488888888888</v>
      </c>
      <c r="AK161" s="31">
        <f>VLOOKUP($B161,Pitchers!$A1:$S251,12,FALSE)</f>
        <v>49.749333333333333</v>
      </c>
      <c r="AL161" s="31">
        <f>VLOOKUP($B161,Pitchers!$A1:$S251,13,FALSE)</f>
        <v>22.8</v>
      </c>
      <c r="AM161" s="31">
        <f>VLOOKUP($B161,Pitchers!$A1:$S251,14,FALSE)</f>
        <v>28.294222222222221</v>
      </c>
      <c r="AN161" s="31">
        <f>VLOOKUP($B161,Pitchers!$A1:$S251,15,FALSE)</f>
        <v>27.99422222222222</v>
      </c>
      <c r="AO161" s="31">
        <f>VLOOKUP($B161,Pitchers!$A1:$S251,16,FALSE)</f>
        <v>8.2916666666666661</v>
      </c>
      <c r="AP161" s="31">
        <f>VLOOKUP($B161,Pitchers!$A1:$S251,17,FALSE)</f>
        <v>13</v>
      </c>
      <c r="AQ161" s="31">
        <f>VLOOKUP($B161,Pitchers!$A1:$S251,18,FALSE)</f>
        <v>0</v>
      </c>
      <c r="AR161" s="31">
        <f>VLOOKUP($B161,Pitchers!$A1:$S251,19,FALSE)</f>
        <v>0</v>
      </c>
    </row>
    <row r="162" spans="1:44" ht="20.100000000000001" customHeight="1">
      <c r="A162" s="25">
        <f ca="1">RANK(I162,I$2:I$651)</f>
        <v>161</v>
      </c>
      <c r="B162" s="26" t="s">
        <v>198</v>
      </c>
      <c r="C162" s="27" t="s">
        <v>94</v>
      </c>
      <c r="D162" s="27" t="s">
        <v>69</v>
      </c>
      <c r="E162" s="46" t="s">
        <v>19</v>
      </c>
      <c r="F162" s="47">
        <f ca="1">VLOOKUP(B162,'C'!A1:I54,IF(Settings!$J$13="points",4,7),FALSE)</f>
        <v>7</v>
      </c>
      <c r="G162" s="30">
        <f>(M162*Settings!$B$2)+(N162*Settings!$B$3)+(O162*Settings!$B$4)+(P162*Settings!$B$5)+(Q162*Settings!$B$6)+((T162-U162-V162-O162)*Settings!$B$9)+(U162*Settings!$B$10)+(V162*Settings!$B$11)+(W162*Settings!$B$12)+(X162*Settings!$B$13)+(AA162*Settings!$B$16)</f>
        <v>338.40416666666664</v>
      </c>
      <c r="H162" s="31">
        <f>VLOOKUP(B162,'Standard Deviations'!$A1:$D651,4,FALSE)</f>
        <v>2.0141560020283644</v>
      </c>
      <c r="I162" s="32">
        <f ca="1">VLOOKUP(B162,'C'!A1:I54,IF(Settings!$J$13="points",6,9),FALSE)</f>
        <v>2.8006822781974705</v>
      </c>
      <c r="J162" s="31"/>
      <c r="K162" s="31">
        <f ca="1">J162-A162</f>
        <v>-161</v>
      </c>
      <c r="L162" s="31"/>
      <c r="M162" s="31">
        <f>VLOOKUP($B162,Hitters!$A1:$R401,4,FALSE)</f>
        <v>426.125</v>
      </c>
      <c r="N162" s="31">
        <f>VLOOKUP($B162,Hitters!$A1:$R401,5,FALSE)</f>
        <v>60.153333333333336</v>
      </c>
      <c r="O162" s="31">
        <f>VLOOKUP($B162,Hitters!$A1:$R401,6,FALSE)</f>
        <v>15.771666666666667</v>
      </c>
      <c r="P162" s="31">
        <f>VLOOKUP($B162,Hitters!$A1:$R401,7,FALSE)</f>
        <v>64.090833333333322</v>
      </c>
      <c r="Q162" s="31">
        <f>VLOOKUP($B162,Hitters!$A1:$R401,8,FALSE)</f>
        <v>0.52833333333333332</v>
      </c>
      <c r="R162" s="152">
        <f>VLOOKUP($B162,Hitters!$A$1:$R$401,14,FALSE)</f>
        <v>0.27869365405299695</v>
      </c>
      <c r="S162" s="152">
        <f>VLOOKUP($B162,Hitters!$A$1:$R$401,15,FALSE)</f>
        <v>0.36575100255118792</v>
      </c>
      <c r="T162" s="154">
        <f>VLOOKUP($B162,Hitters!$A$1:$R$401,9,FALSE)</f>
        <v>118.75833333333333</v>
      </c>
      <c r="U162" s="154">
        <f>VLOOKUP($B162,Hitters!$A$1:$R$401,10,FALSE)</f>
        <v>22.651666666666667</v>
      </c>
      <c r="V162" s="154">
        <f>VLOOKUP($B162,Hitters!$A$1:$R$401,11,FALSE)</f>
        <v>4.2500000000000003E-2</v>
      </c>
      <c r="W162" s="154">
        <f>VLOOKUP($B162,Hitters!$A$1:$R$401,12,FALSE)</f>
        <v>52.751666666666672</v>
      </c>
      <c r="X162" s="154">
        <f>VLOOKUP($B162,Hitters!$A$1:$R$401,13,FALSE)</f>
        <v>56.916666666666664</v>
      </c>
      <c r="Y162" s="152">
        <f>VLOOKUP($B162,Hitters!$A$1:$R$401,16,FALSE)</f>
        <v>0.4430859489586389</v>
      </c>
      <c r="Z162" s="152">
        <f>VLOOKUP($B162,Hitters!$A$1:$R$401,17,FALSE)</f>
        <v>0.80883695150982682</v>
      </c>
      <c r="AA162" s="31">
        <f>VLOOKUP($B162,Hitters!$A1:$R401,18,FALSE)</f>
        <v>0</v>
      </c>
      <c r="AB162" s="31"/>
      <c r="AC162" s="31"/>
      <c r="AD162" s="33"/>
      <c r="AE162" s="33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</row>
    <row r="163" spans="1:44" ht="20.100000000000001" customHeight="1">
      <c r="A163" s="25">
        <f ca="1">RANK(I163,I$2:I$651)</f>
        <v>162</v>
      </c>
      <c r="B163" s="26" t="s">
        <v>284</v>
      </c>
      <c r="C163" s="27" t="s">
        <v>71</v>
      </c>
      <c r="D163" s="27" t="s">
        <v>69</v>
      </c>
      <c r="E163" s="40" t="s">
        <v>7</v>
      </c>
      <c r="F163" s="41">
        <f ca="1">VLOOKUP(B163,'1B'!A1:I63,IF(Settings!$J$13="points",4,7),FALSE)</f>
        <v>16</v>
      </c>
      <c r="G163" s="30">
        <f>(M163*Settings!$B$2)+(N163*Settings!$B$3)+(O163*Settings!$B$4)+(P163*Settings!$B$5)+(Q163*Settings!$B$6)+((T163-U163-V163-O163)*Settings!$B$9)+(U163*Settings!$B$10)+(V163*Settings!$B$11)+(W163*Settings!$B$12)+(X163*Settings!$B$13)+(AA163*Settings!$B$16)</f>
        <v>374.00222222222226</v>
      </c>
      <c r="H163" s="31">
        <f>VLOOKUP(B163,'Standard Deviations'!$A1:$D651,4,FALSE)</f>
        <v>3.0069350437781788</v>
      </c>
      <c r="I163" s="32">
        <f ca="1">IF(Settings!$J$15="no",VLOOKUP(B163,'1B'!A1:I63,IF(Settings!$J$13="points",6,9),FALSE),VLOOKUP(B163,'1B+3B'!$A1:$I104,IF(Settings!$J$13="points",6,9),FALSE))</f>
        <v>2.7814527263104356</v>
      </c>
      <c r="J163" s="31"/>
      <c r="K163" s="31">
        <f ca="1">J163-A163</f>
        <v>-162</v>
      </c>
      <c r="L163" s="31"/>
      <c r="M163" s="31">
        <f>VLOOKUP($B163,Hitters!$A1:$R401,4,FALSE)</f>
        <v>545.84444444444443</v>
      </c>
      <c r="N163" s="31">
        <f>VLOOKUP($B163,Hitters!$A1:$R401,5,FALSE)</f>
        <v>73.596666666666664</v>
      </c>
      <c r="O163" s="31">
        <f>VLOOKUP($B163,Hitters!$A1:$R401,6,FALSE)</f>
        <v>18.952222222222222</v>
      </c>
      <c r="P163" s="31">
        <f>VLOOKUP($B163,Hitters!$A1:$R401,7,FALSE)</f>
        <v>74.538888888888891</v>
      </c>
      <c r="Q163" s="31">
        <f>VLOOKUP($B163,Hitters!$A1:$R401,8,FALSE)</f>
        <v>1.1666666666666665E-2</v>
      </c>
      <c r="R163" s="152">
        <f>VLOOKUP($B163,Hitters!$A$1:$R$401,14,FALSE)</f>
        <v>0.27055937792614909</v>
      </c>
      <c r="S163" s="152">
        <f>VLOOKUP($B163,Hitters!$A$1:$R$401,15,FALSE)</f>
        <v>0.32989749077078401</v>
      </c>
      <c r="T163" s="154">
        <f>VLOOKUP($B163,Hitters!$A$1:$R$401,9,FALSE)</f>
        <v>147.68333333333334</v>
      </c>
      <c r="U163" s="154">
        <f>VLOOKUP($B163,Hitters!$A$1:$R$401,10,FALSE)</f>
        <v>28.968888888888888</v>
      </c>
      <c r="V163" s="154">
        <f>VLOOKUP($B163,Hitters!$A$1:$R$401,11,FALSE)</f>
        <v>1.0049999999999999</v>
      </c>
      <c r="W163" s="154">
        <f>VLOOKUP($B163,Hitters!$A$1:$R$401,12,FALSE)</f>
        <v>40.06333333333334</v>
      </c>
      <c r="X163" s="154">
        <f>VLOOKUP($B163,Hitters!$A$1:$R$401,13,FALSE)</f>
        <v>99.477777777777774</v>
      </c>
      <c r="Y163" s="152">
        <f>VLOOKUP($B163,Hitters!$A$1:$R$401,16,FALSE)</f>
        <v>0.43147620404673703</v>
      </c>
      <c r="Z163" s="152">
        <f>VLOOKUP($B163,Hitters!$A$1:$R$401,17,FALSE)</f>
        <v>0.76137369481752104</v>
      </c>
      <c r="AA163" s="31">
        <f>VLOOKUP($B163,Hitters!$A1:$R401,18,FALSE)</f>
        <v>0</v>
      </c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</row>
    <row r="164" spans="1:44" ht="18.600000000000001" customHeight="1">
      <c r="A164" s="25">
        <f ca="1">RANK(I164,I$2:I$651)</f>
        <v>163</v>
      </c>
      <c r="B164" s="26" t="s">
        <v>364</v>
      </c>
      <c r="C164" s="27" t="s">
        <v>73</v>
      </c>
      <c r="D164" s="27" t="s">
        <v>74</v>
      </c>
      <c r="E164" s="42" t="s">
        <v>34</v>
      </c>
      <c r="F164" s="43">
        <f ca="1">VLOOKUP(B164,RP!A1:I91,IF(Settings!$J$13="points",4,7),FALSE)</f>
        <v>17</v>
      </c>
      <c r="G164" s="30">
        <f>(AC164*Settings!$F$2)+(AF164*Settings!$F$5)+(AG164*Settings!$F$6)+(AH164*Settings!$F$7)+(AI164*Settings!$F$8)+(AJ164*Settings!$F$9)+(AK164*Settings!$F$10)+(AL164*Settings!$F$11)+(AM164*Settings!$F$12)+(AN164*Settings!$F$13)+(AO164*Settings!$F$14)+(AP164*Settings!$F$15)+(AQ164*Settings!$F$16)+(AR164*Settings!$F$17)</f>
        <v>213.32805555555552</v>
      </c>
      <c r="H164" s="31">
        <f>VLOOKUP(B164,'Standard Deviations'!$A1:$D651,4,FALSE)</f>
        <v>1.8651999718485666</v>
      </c>
      <c r="I164" s="32">
        <f ca="1">IF(Settings!$J$16="no",VLOOKUP(B164,RP!A1:I91,IF(Settings!$J$13="points",6,9),FALSE),VLOOKUP(B164,'SP+RP'!$A1:$I251,IF(Settings!$J$13="points",6,9),FALSE))</f>
        <v>2.7327789467838191</v>
      </c>
      <c r="J164" s="31"/>
      <c r="K164" s="31">
        <f ca="1">J164-A164</f>
        <v>-163</v>
      </c>
      <c r="L164" s="31"/>
      <c r="M164" s="31"/>
      <c r="N164" s="31"/>
      <c r="O164" s="31"/>
      <c r="P164" s="31"/>
      <c r="Q164" s="31"/>
      <c r="R164" s="152"/>
      <c r="S164" s="152"/>
      <c r="T164" s="154"/>
      <c r="U164" s="154"/>
      <c r="V164" s="154"/>
      <c r="W164" s="154"/>
      <c r="X164" s="154"/>
      <c r="Y164" s="152"/>
      <c r="Z164" s="152"/>
      <c r="AA164" s="31"/>
      <c r="AB164" s="31"/>
      <c r="AC164" s="31">
        <f>VLOOKUP($B164,Pitchers!$A1:$S251,4,FALSE)</f>
        <v>63.184444444444438</v>
      </c>
      <c r="AD164" s="33">
        <f>VLOOKUP($B164,Pitchers!$A1:$S251,5,FALSE)</f>
        <v>3.0935620581718428</v>
      </c>
      <c r="AE164" s="33">
        <f>VLOOKUP($B164,Pitchers!$A1:$S251,6,FALSE)</f>
        <v>1.1182956423873671</v>
      </c>
      <c r="AF164" s="31">
        <f>VLOOKUP($B164,Pitchers!$A1:$S251,7,FALSE)</f>
        <v>78.135000000000005</v>
      </c>
      <c r="AG164" s="31">
        <f>VLOOKUP($B164,Pitchers!$A1:$S251,8,FALSE)</f>
        <v>3.9811111111111113</v>
      </c>
      <c r="AH164" s="31">
        <f>VLOOKUP($B164,Pitchers!$A1:$S251,9,FALSE)</f>
        <v>9.1666666666666661</v>
      </c>
      <c r="AI164" s="31">
        <f>VLOOKUP($B164,Pitchers!$A1:$S251,10,FALSE)</f>
        <v>21.718333333333334</v>
      </c>
      <c r="AJ164" s="31">
        <f>VLOOKUP($B164,Pitchers!$A1:$S251,11,FALSE)</f>
        <v>50.247777777777777</v>
      </c>
      <c r="AK164" s="31">
        <f>VLOOKUP($B164,Pitchers!$A1:$S251,12,FALSE)</f>
        <v>20.411111111111111</v>
      </c>
      <c r="AL164" s="31">
        <f>VLOOKUP($B164,Pitchers!$A1:$S251,13,FALSE)</f>
        <v>5.6000000000000005</v>
      </c>
      <c r="AM164" s="31">
        <f>VLOOKUP($B164,Pitchers!$A1:$S251,14,FALSE)</f>
        <v>66.680000000000007</v>
      </c>
      <c r="AN164" s="31">
        <f>VLOOKUP($B164,Pitchers!$A1:$S251,15,FALSE)</f>
        <v>0</v>
      </c>
      <c r="AO164" s="31">
        <f>VLOOKUP($B164,Pitchers!$A1:$S251,16,FALSE)</f>
        <v>2.99</v>
      </c>
      <c r="AP164" s="31">
        <f>VLOOKUP($B164,Pitchers!$A1:$S251,17,FALSE)</f>
        <v>0</v>
      </c>
      <c r="AQ164" s="31">
        <f>VLOOKUP($B164,Pitchers!$A1:$S251,18,FALSE)</f>
        <v>22.5</v>
      </c>
      <c r="AR164" s="31">
        <f>VLOOKUP($B164,Pitchers!$A1:$S251,19,FALSE)</f>
        <v>0</v>
      </c>
    </row>
    <row r="165" spans="1:44" ht="18.600000000000001" customHeight="1">
      <c r="A165" s="25">
        <f ca="1">RANK(I165,I$2:I$651)</f>
        <v>164</v>
      </c>
      <c r="B165" s="26" t="s">
        <v>228</v>
      </c>
      <c r="C165" s="27" t="s">
        <v>137</v>
      </c>
      <c r="D165" s="27" t="s">
        <v>74</v>
      </c>
      <c r="E165" s="34" t="s">
        <v>15</v>
      </c>
      <c r="F165" s="35">
        <f ca="1">VLOOKUP(B165,'3B'!A1:I55,IF(Settings!$J$13="points",4,7),FALSE)</f>
        <v>9</v>
      </c>
      <c r="G165" s="30">
        <f>(M165*Settings!$B$2)+(N165*Settings!$B$3)+(O165*Settings!$B$4)+(P165*Settings!$B$5)+(Q165*Settings!$B$6)+((T165-U165-V165-O165)*Settings!$B$9)+(U165*Settings!$B$10)+(V165*Settings!$B$11)+(W165*Settings!$B$12)+(X165*Settings!$B$13)+(AA165*Settings!$B$16)</f>
        <v>355.87611111111107</v>
      </c>
      <c r="H165" s="31">
        <f>VLOOKUP(B165,'Standard Deviations'!$A1:$D651,4,FALSE)</f>
        <v>2.9466442921597897</v>
      </c>
      <c r="I165" s="32">
        <f ca="1">IF(Settings!$J$15="no",VLOOKUP(B165,'3B'!A1:I55,IF(Settings!$J$13="points",6,9),FALSE),VLOOKUP(B165,'1B+3B'!$A1:$I104,IF(Settings!$J$13="points",6,9),FALSE))</f>
        <v>2.7211675008908625</v>
      </c>
      <c r="J165" s="31"/>
      <c r="K165" s="31">
        <f ca="1">J165-A165</f>
        <v>-164</v>
      </c>
      <c r="L165" s="31"/>
      <c r="M165" s="31">
        <f>VLOOKUP($B165,Hitters!$A1:$R401,4,FALSE)</f>
        <v>527.66666666666663</v>
      </c>
      <c r="N165" s="31">
        <f>VLOOKUP($B165,Hitters!$A1:$R401,5,FALSE)</f>
        <v>67.404444444444451</v>
      </c>
      <c r="O165" s="31">
        <f>VLOOKUP($B165,Hitters!$A1:$R401,6,FALSE)</f>
        <v>11.533333333333333</v>
      </c>
      <c r="P165" s="31">
        <f>VLOOKUP($B165,Hitters!$A1:$R401,7,FALSE)</f>
        <v>56.205555555555556</v>
      </c>
      <c r="Q165" s="31">
        <f>VLOOKUP($B165,Hitters!$A1:$R401,8,FALSE)</f>
        <v>19.2</v>
      </c>
      <c r="R165" s="152">
        <f>VLOOKUP($B165,Hitters!$A$1:$R$401,14,FALSE)</f>
        <v>0.25632764792587914</v>
      </c>
      <c r="S165" s="152">
        <f>VLOOKUP($B165,Hitters!$A$1:$R$401,15,FALSE)</f>
        <v>0.3296693242592581</v>
      </c>
      <c r="T165" s="154">
        <f>VLOOKUP($B165,Hitters!$A$1:$R$401,9,FALSE)</f>
        <v>135.25555555555556</v>
      </c>
      <c r="U165" s="154">
        <f>VLOOKUP($B165,Hitters!$A$1:$R$401,10,FALSE)</f>
        <v>28.96777777777778</v>
      </c>
      <c r="V165" s="154">
        <f>VLOOKUP($B165,Hitters!$A$1:$R$401,11,FALSE)</f>
        <v>3.0216666666666665</v>
      </c>
      <c r="W165" s="154">
        <f>VLOOKUP($B165,Hitters!$A$1:$R$401,12,FALSE)</f>
        <v>49.731111111111112</v>
      </c>
      <c r="X165" s="154">
        <f>VLOOKUP($B165,Hitters!$A$1:$R$401,13,FALSE)</f>
        <v>121.46333333333332</v>
      </c>
      <c r="Y165" s="152">
        <f>VLOOKUP($B165,Hitters!$A$1:$R$401,16,FALSE)</f>
        <v>0.3882501579279849</v>
      </c>
      <c r="Z165" s="152">
        <f>VLOOKUP($B165,Hitters!$A$1:$R$401,17,FALSE)</f>
        <v>0.717919482187243</v>
      </c>
      <c r="AA165" s="31">
        <f>VLOOKUP($B165,Hitters!$A1:$R401,18,FALSE)</f>
        <v>0</v>
      </c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 spans="1:44" ht="18.600000000000001" customHeight="1">
      <c r="A166" s="25">
        <f ca="1">RANK(I166,I$2:I$651)</f>
        <v>165</v>
      </c>
      <c r="B166" s="26" t="s">
        <v>278</v>
      </c>
      <c r="C166" s="27" t="s">
        <v>101</v>
      </c>
      <c r="D166" s="27" t="s">
        <v>69</v>
      </c>
      <c r="E166" s="36" t="s">
        <v>31</v>
      </c>
      <c r="F166" s="37">
        <f ca="1">VLOOKUP(B166,SP!A1:I161,IF(Settings!$J$13="points",4,7),FALSE)</f>
        <v>49</v>
      </c>
      <c r="G166" s="30">
        <f>(AC166*Settings!$F$2)+(AF166*Settings!$F$5)+(AG166*Settings!$F$6)+(AH166*Settings!$F$7)+(AI166*Settings!$F$8)+(AJ166*Settings!$F$9)+(AK166*Settings!$F$10)+(AL166*Settings!$F$11)+(AM166*Settings!$F$12)+(AN166*Settings!$F$13)+(AO166*Settings!$F$14)+(AP166*Settings!$F$15)+(AQ166*Settings!$F$16)+(AR166*Settings!$F$17)</f>
        <v>368.65913333333327</v>
      </c>
      <c r="H166" s="31">
        <f>VLOOKUP(B166,'Standard Deviations'!$A1:$D651,4,FALSE)</f>
        <v>1.8515048599229551</v>
      </c>
      <c r="I166" s="32">
        <f ca="1">IF(Settings!$J$16="no",VLOOKUP(B166,SP!A1:I161,IF(Settings!$J$13="points",6,9),FALSE),VLOOKUP(B166,'SP+RP'!$A1:$I251,IF(Settings!$J$13="points",6,9),FALSE))</f>
        <v>2.7190871894586754</v>
      </c>
      <c r="J166" s="31"/>
      <c r="K166" s="31">
        <f ca="1">J166-A166</f>
        <v>-165</v>
      </c>
      <c r="L166" s="31"/>
      <c r="M166" s="31"/>
      <c r="N166" s="31"/>
      <c r="O166" s="31"/>
      <c r="P166" s="31"/>
      <c r="Q166" s="31"/>
      <c r="R166" s="152"/>
      <c r="S166" s="152"/>
      <c r="T166" s="154"/>
      <c r="U166" s="154"/>
      <c r="V166" s="154"/>
      <c r="W166" s="154"/>
      <c r="X166" s="154"/>
      <c r="Y166" s="152"/>
      <c r="Z166" s="152"/>
      <c r="AA166" s="31"/>
      <c r="AB166" s="31"/>
      <c r="AC166" s="31">
        <f>VLOOKUP($B166,Pitchers!$A1:$S251,4,FALSE)</f>
        <v>158.45666666666668</v>
      </c>
      <c r="AD166" s="33">
        <f>VLOOKUP($B166,Pitchers!$A1:$S251,5,FALSE)</f>
        <v>3.5994717798767275</v>
      </c>
      <c r="AE166" s="33">
        <f>VLOOKUP($B166,Pitchers!$A1:$S251,6,FALSE)</f>
        <v>1.183804194627343</v>
      </c>
      <c r="AF166" s="31">
        <f>VLOOKUP($B166,Pitchers!$A1:$S251,7,FALSE)</f>
        <v>140.83166666666668</v>
      </c>
      <c r="AG166" s="31">
        <f>VLOOKUP($B166,Pitchers!$A1:$S251,8,FALSE)</f>
        <v>9.9849999999999994</v>
      </c>
      <c r="AH166" s="31">
        <f>VLOOKUP($B166,Pitchers!$A1:$S251,9,FALSE)</f>
        <v>0</v>
      </c>
      <c r="AI166" s="31">
        <f>VLOOKUP($B166,Pitchers!$A1:$S251,10,FALSE)</f>
        <v>63.373366666666669</v>
      </c>
      <c r="AJ166" s="31">
        <f>VLOOKUP($B166,Pitchers!$A1:$S251,11,FALSE)</f>
        <v>143.57666666666668</v>
      </c>
      <c r="AK166" s="31">
        <f>VLOOKUP($B166,Pitchers!$A1:$S251,12,FALSE)</f>
        <v>44.004999999999995</v>
      </c>
      <c r="AL166" s="31">
        <f>VLOOKUP($B166,Pitchers!$A1:$S251,13,FALSE)</f>
        <v>17.666666666666668</v>
      </c>
      <c r="AM166" s="31">
        <f>VLOOKUP($B166,Pitchers!$A1:$S251,14,FALSE)</f>
        <v>30.305000000000003</v>
      </c>
      <c r="AN166" s="31">
        <f>VLOOKUP($B166,Pitchers!$A1:$S251,15,FALSE)</f>
        <v>29.986666666666668</v>
      </c>
      <c r="AO166" s="31">
        <f>VLOOKUP($B166,Pitchers!$A1:$S251,16,FALSE)</f>
        <v>8.2133333333333329</v>
      </c>
      <c r="AP166" s="31">
        <f>VLOOKUP($B166,Pitchers!$A1:$S251,17,FALSE)</f>
        <v>15</v>
      </c>
      <c r="AQ166" s="31">
        <f>VLOOKUP($B166,Pitchers!$A1:$S251,18,FALSE)</f>
        <v>0</v>
      </c>
      <c r="AR166" s="31">
        <f>VLOOKUP($B166,Pitchers!$A1:$S251,19,FALSE)</f>
        <v>0</v>
      </c>
    </row>
    <row r="167" spans="1:44" ht="18.600000000000001" customHeight="1">
      <c r="A167" s="25">
        <f ca="1">RANK(I167,I$2:I$651)</f>
        <v>166</v>
      </c>
      <c r="B167" s="26" t="s">
        <v>213</v>
      </c>
      <c r="C167" s="27" t="s">
        <v>99</v>
      </c>
      <c r="D167" s="27" t="s">
        <v>69</v>
      </c>
      <c r="E167" s="34" t="s">
        <v>15</v>
      </c>
      <c r="F167" s="35">
        <f ca="1">VLOOKUP(B167,'3B'!A1:I55,IF(Settings!$J$13="points",4,7),FALSE)</f>
        <v>10</v>
      </c>
      <c r="G167" s="30">
        <f>(M167*Settings!$B$2)+(N167*Settings!$B$3)+(O167*Settings!$B$4)+(P167*Settings!$B$5)+(Q167*Settings!$B$6)+((T167-U167-V167-O167)*Settings!$B$9)+(U167*Settings!$B$10)+(V167*Settings!$B$11)+(W167*Settings!$B$12)+(X167*Settings!$B$13)+(AA167*Settings!$B$16)</f>
        <v>362.86611111111108</v>
      </c>
      <c r="H167" s="31">
        <f>VLOOKUP(B167,'Standard Deviations'!$A1:$D651,4,FALSE)</f>
        <v>2.9319185870167415</v>
      </c>
      <c r="I167" s="32">
        <f ca="1">IF(Settings!$J$15="no",VLOOKUP(B167,'3B'!A1:I55,IF(Settings!$J$13="points",6,9),FALSE),VLOOKUP(B167,'1B+3B'!$A1:$I104,IF(Settings!$J$13="points",6,9),FALSE))</f>
        <v>2.7064357442315643</v>
      </c>
      <c r="J167" s="31"/>
      <c r="K167" s="31">
        <f ca="1">J167-A167</f>
        <v>-166</v>
      </c>
      <c r="L167" s="31"/>
      <c r="M167" s="31">
        <f>VLOOKUP($B167,Hitters!$A1:$R401,4,FALSE)</f>
        <v>512.21666666666658</v>
      </c>
      <c r="N167" s="31">
        <f>VLOOKUP($B167,Hitters!$A1:$R401,5,FALSE)</f>
        <v>72.088333333333324</v>
      </c>
      <c r="O167" s="31">
        <f>VLOOKUP($B167,Hitters!$A1:$R401,6,FALSE)</f>
        <v>17.436666666666667</v>
      </c>
      <c r="P167" s="31">
        <f>VLOOKUP($B167,Hitters!$A1:$R401,7,FALSE)</f>
        <v>69.504999999999995</v>
      </c>
      <c r="Q167" s="31">
        <f>VLOOKUP($B167,Hitters!$A1:$R401,8,FALSE)</f>
        <v>11.105555555555554</v>
      </c>
      <c r="R167" s="152">
        <f>VLOOKUP($B167,Hitters!$A$1:$R$401,14,FALSE)</f>
        <v>0.24820225815898223</v>
      </c>
      <c r="S167" s="152">
        <f>VLOOKUP($B167,Hitters!$A$1:$R$401,15,FALSE)</f>
        <v>0.33745234204317603</v>
      </c>
      <c r="T167" s="154">
        <f>VLOOKUP($B167,Hitters!$A$1:$R$401,9,FALSE)</f>
        <v>127.13333333333333</v>
      </c>
      <c r="U167" s="154">
        <f>VLOOKUP($B167,Hitters!$A$1:$R$401,10,FALSE)</f>
        <v>27.573333333333338</v>
      </c>
      <c r="V167" s="154">
        <f>VLOOKUP($B167,Hitters!$A$1:$R$401,11,FALSE)</f>
        <v>4.0166666666666666</v>
      </c>
      <c r="W167" s="154">
        <f>VLOOKUP($B167,Hitters!$A$1:$R$401,12,FALSE)</f>
        <v>61.411666666666662</v>
      </c>
      <c r="X167" s="154">
        <f>VLOOKUP($B167,Hitters!$A$1:$R$401,13,FALSE)</f>
        <v>154.79999999999998</v>
      </c>
      <c r="Y167" s="152">
        <f>VLOOKUP($B167,Hitters!$A$1:$R$401,16,FALSE)</f>
        <v>0.41984186379461824</v>
      </c>
      <c r="Z167" s="152">
        <f>VLOOKUP($B167,Hitters!$A$1:$R$401,17,FALSE)</f>
        <v>0.75729420583779428</v>
      </c>
      <c r="AA167" s="31">
        <f>VLOOKUP($B167,Hitters!$A1:$R401,18,FALSE)</f>
        <v>0</v>
      </c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 spans="1:44" ht="18.600000000000001" customHeight="1">
      <c r="A168" s="25">
        <f ca="1">RANK(I168,I$2:I$651)</f>
        <v>167</v>
      </c>
      <c r="B168" s="26" t="s">
        <v>339</v>
      </c>
      <c r="C168" s="27" t="s">
        <v>76</v>
      </c>
      <c r="D168" s="27" t="s">
        <v>69</v>
      </c>
      <c r="E168" s="40" t="s">
        <v>7</v>
      </c>
      <c r="F168" s="41">
        <f ca="1">VLOOKUP(B168,'1B'!A1:I63,IF(Settings!$J$13="points",4,7),FALSE)</f>
        <v>17</v>
      </c>
      <c r="G168" s="30">
        <f>(M168*Settings!$B$2)+(N168*Settings!$B$3)+(O168*Settings!$B$4)+(P168*Settings!$B$5)+(Q168*Settings!$B$6)+((T168-U168-V168-O168)*Settings!$B$9)+(U168*Settings!$B$10)+(V168*Settings!$B$11)+(W168*Settings!$B$12)+(X168*Settings!$B$13)+(AA168*Settings!$B$16)</f>
        <v>359.57055555555564</v>
      </c>
      <c r="H168" s="31">
        <f>VLOOKUP(B168,'Standard Deviations'!$A1:$D651,4,FALSE)</f>
        <v>2.9215568031258474</v>
      </c>
      <c r="I168" s="32">
        <f ca="1">IF(Settings!$J$15="no",VLOOKUP(B168,'1B'!A1:I63,IF(Settings!$J$13="points",6,9),FALSE),VLOOKUP(B168,'1B+3B'!$A1:$I104,IF(Settings!$J$13="points",6,9),FALSE))</f>
        <v>2.6960823272698429</v>
      </c>
      <c r="J168" s="31"/>
      <c r="K168" s="31">
        <f ca="1">J168-A168</f>
        <v>-167</v>
      </c>
      <c r="L168" s="31"/>
      <c r="M168" s="31">
        <f>VLOOKUP($B168,Hitters!$A1:$R401,4,FALSE)</f>
        <v>478.32222222222225</v>
      </c>
      <c r="N168" s="31">
        <f>VLOOKUP($B168,Hitters!$A1:$R401,5,FALSE)</f>
        <v>62.818888888888885</v>
      </c>
      <c r="O168" s="31">
        <f>VLOOKUP($B168,Hitters!$A1:$R401,6,FALSE)</f>
        <v>19.393333333333334</v>
      </c>
      <c r="P168" s="31">
        <f>VLOOKUP($B168,Hitters!$A1:$R401,7,FALSE)</f>
        <v>72.3888888888889</v>
      </c>
      <c r="Q168" s="31">
        <f>VLOOKUP($B168,Hitters!$A1:$R401,8,FALSE)</f>
        <v>4.9977777777777783</v>
      </c>
      <c r="R168" s="152">
        <f>VLOOKUP($B168,Hitters!$A$1:$R$401,14,FALSE)</f>
        <v>0.26555785267950477</v>
      </c>
      <c r="S168" s="152">
        <f>VLOOKUP($B168,Hitters!$A$1:$R$401,15,FALSE)</f>
        <v>0.33385273353241735</v>
      </c>
      <c r="T168" s="154">
        <f>VLOOKUP($B168,Hitters!$A$1:$R$401,9,FALSE)</f>
        <v>127.02222222222223</v>
      </c>
      <c r="U168" s="154">
        <f>VLOOKUP($B168,Hitters!$A$1:$R$401,10,FALSE)</f>
        <v>27.201666666666668</v>
      </c>
      <c r="V168" s="154">
        <f>VLOOKUP($B168,Hitters!$A$1:$R$401,11,FALSE)</f>
        <v>0.9966666666666667</v>
      </c>
      <c r="W168" s="154">
        <f>VLOOKUP($B168,Hitters!$A$1:$R$401,12,FALSE)</f>
        <v>41.875000000000007</v>
      </c>
      <c r="X168" s="154">
        <f>VLOOKUP($B168,Hitters!$A$1:$R$401,13,FALSE)</f>
        <v>83.81</v>
      </c>
      <c r="Y168" s="152">
        <f>VLOOKUP($B168,Hitters!$A$1:$R$401,16,FALSE)</f>
        <v>0.44822760110571674</v>
      </c>
      <c r="Z168" s="152">
        <f>VLOOKUP($B168,Hitters!$A$1:$R$401,17,FALSE)</f>
        <v>0.78208033463813409</v>
      </c>
      <c r="AA168" s="31">
        <f>VLOOKUP($B168,Hitters!$A1:$R401,18,FALSE)</f>
        <v>0</v>
      </c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 spans="1:44" ht="18.600000000000001" customHeight="1">
      <c r="A169" s="25">
        <f ca="1">RANK(I169,I$2:I$651)</f>
        <v>168</v>
      </c>
      <c r="B169" s="26" t="s">
        <v>214</v>
      </c>
      <c r="C169" s="27" t="s">
        <v>114</v>
      </c>
      <c r="D169" s="27" t="s">
        <v>69</v>
      </c>
      <c r="E169" s="36" t="s">
        <v>31</v>
      </c>
      <c r="F169" s="37">
        <f ca="1">VLOOKUP(B169,SP!A1:I161,IF(Settings!$J$13="points",4,7),FALSE)</f>
        <v>50</v>
      </c>
      <c r="G169" s="30">
        <f>(AC169*Settings!$F$2)+(AF169*Settings!$F$5)+(AG169*Settings!$F$6)+(AH169*Settings!$F$7)+(AI169*Settings!$F$8)+(AJ169*Settings!$F$9)+(AK169*Settings!$F$10)+(AL169*Settings!$F$11)+(AM169*Settings!$F$12)+(AN169*Settings!$F$13)+(AO169*Settings!$F$14)+(AP169*Settings!$F$15)+(AQ169*Settings!$F$16)+(AR169*Settings!$F$17)</f>
        <v>390.2638888888888</v>
      </c>
      <c r="H169" s="31">
        <f>VLOOKUP(B169,'Standard Deviations'!$A1:$D651,4,FALSE)</f>
        <v>1.8271574320058068</v>
      </c>
      <c r="I169" s="32">
        <f ca="1">IF(Settings!$J$16="no",VLOOKUP(B169,SP!A1:I161,IF(Settings!$J$13="points",6,9),FALSE),VLOOKUP(B169,'SP+RP'!$A1:$I251,IF(Settings!$J$13="points",6,9),FALSE))</f>
        <v>2.6947347792312861</v>
      </c>
      <c r="J169" s="31"/>
      <c r="K169" s="31">
        <f ca="1">J169-A169</f>
        <v>-168</v>
      </c>
      <c r="L169" s="31"/>
      <c r="M169" s="31"/>
      <c r="N169" s="31"/>
      <c r="O169" s="31"/>
      <c r="P169" s="31"/>
      <c r="Q169" s="31"/>
      <c r="R169" s="152"/>
      <c r="S169" s="152"/>
      <c r="T169" s="154"/>
      <c r="U169" s="154"/>
      <c r="V169" s="154"/>
      <c r="W169" s="154"/>
      <c r="X169" s="154"/>
      <c r="Y169" s="152"/>
      <c r="Z169" s="152"/>
      <c r="AA169" s="31"/>
      <c r="AB169" s="31"/>
      <c r="AC169" s="31">
        <f>VLOOKUP($B169,Pitchers!$A1:$S251,4,FALSE)</f>
        <v>168.57777777777778</v>
      </c>
      <c r="AD169" s="33">
        <f>VLOOKUP($B169,Pitchers!$A1:$S251,5,FALSE)</f>
        <v>3.8925652517795943</v>
      </c>
      <c r="AE169" s="33">
        <f>VLOOKUP($B169,Pitchers!$A1:$S251,6,FALSE)</f>
        <v>1.1884590034273663</v>
      </c>
      <c r="AF169" s="31">
        <f>VLOOKUP($B169,Pitchers!$A1:$S251,7,FALSE)</f>
        <v>164.79</v>
      </c>
      <c r="AG169" s="31">
        <f>VLOOKUP($B169,Pitchers!$A1:$S251,8,FALSE)</f>
        <v>10.616666666666667</v>
      </c>
      <c r="AH169" s="31">
        <f>VLOOKUP($B169,Pitchers!$A1:$S251,9,FALSE)</f>
        <v>0</v>
      </c>
      <c r="AI169" s="31">
        <f>VLOOKUP($B169,Pitchers!$A1:$S251,10,FALSE)</f>
        <v>72.911111111111111</v>
      </c>
      <c r="AJ169" s="31">
        <f>VLOOKUP($B169,Pitchers!$A1:$S251,11,FALSE)</f>
        <v>157.70111111111112</v>
      </c>
      <c r="AK169" s="31">
        <f>VLOOKUP($B169,Pitchers!$A1:$S251,12,FALSE)</f>
        <v>42.646666666666668</v>
      </c>
      <c r="AL169" s="31">
        <f>VLOOKUP($B169,Pitchers!$A1:$S251,13,FALSE)</f>
        <v>24.133333333333336</v>
      </c>
      <c r="AM169" s="31">
        <f>VLOOKUP($B169,Pitchers!$A1:$S251,14,FALSE)</f>
        <v>28.997777777777781</v>
      </c>
      <c r="AN169" s="31">
        <f>VLOOKUP($B169,Pitchers!$A1:$S251,15,FALSE)</f>
        <v>28.664444444444445</v>
      </c>
      <c r="AO169" s="31">
        <f>VLOOKUP($B169,Pitchers!$A1:$S251,16,FALSE)</f>
        <v>9.3844444444444441</v>
      </c>
      <c r="AP169" s="31">
        <f>VLOOKUP($B169,Pitchers!$A1:$S251,17,FALSE)</f>
        <v>16</v>
      </c>
      <c r="AQ169" s="31">
        <f>VLOOKUP($B169,Pitchers!$A1:$S251,18,FALSE)</f>
        <v>0</v>
      </c>
      <c r="AR169" s="31">
        <f>VLOOKUP($B169,Pitchers!$A1:$S251,19,FALSE)</f>
        <v>0</v>
      </c>
    </row>
    <row r="170" spans="1:44" ht="18.600000000000001" customHeight="1">
      <c r="A170" s="25">
        <f ca="1">RANK(I170,I$2:I$651)</f>
        <v>169</v>
      </c>
      <c r="B170" s="26" t="s">
        <v>299</v>
      </c>
      <c r="C170" s="27" t="s">
        <v>101</v>
      </c>
      <c r="D170" s="27" t="s">
        <v>69</v>
      </c>
      <c r="E170" s="48" t="s">
        <v>11</v>
      </c>
      <c r="F170" s="49">
        <f ca="1">VLOOKUP(B170,'2B'!A1:I50,IF(Settings!$J$13="points",4,7),FALSE)</f>
        <v>13</v>
      </c>
      <c r="G170" s="30">
        <f>(M170*Settings!$B$2)+(N170*Settings!$B$3)+(O170*Settings!$B$4)+(P170*Settings!$B$5)+(Q170*Settings!$B$6)+((T170-U170-V170-O170)*Settings!$B$9)+(U170*Settings!$B$10)+(V170*Settings!$B$11)+(W170*Settings!$B$12)+(X170*Settings!$B$13)+(AA170*Settings!$B$16)</f>
        <v>356.4377777777778</v>
      </c>
      <c r="H170" s="31">
        <f>VLOOKUP(B170,'Standard Deviations'!$A1:$D651,4,FALSE)</f>
        <v>2.6955188693450811</v>
      </c>
      <c r="I170" s="32">
        <f ca="1">IF(Settings!$J$16="no",VLOOKUP(B170,'2B'!A1:I50,IF(Settings!$J$13="points",6,9),FALSE),VLOOKUP(B170,'2B+SS'!$A1:$I94,IF(Settings!$J$13="points",6,9),FALSE))</f>
        <v>2.6894805522486318</v>
      </c>
      <c r="J170" s="31"/>
      <c r="K170" s="31">
        <f ca="1">J170-A170</f>
        <v>-169</v>
      </c>
      <c r="L170" s="31"/>
      <c r="M170" s="31">
        <f>VLOOKUP($B170,Hitters!$A1:$R401,4,FALSE)</f>
        <v>477.3</v>
      </c>
      <c r="N170" s="31">
        <f>VLOOKUP($B170,Hitters!$A1:$R401,5,FALSE)</f>
        <v>69.986666666666665</v>
      </c>
      <c r="O170" s="31">
        <f>VLOOKUP($B170,Hitters!$A1:$R401,6,FALSE)</f>
        <v>24.11</v>
      </c>
      <c r="P170" s="31">
        <f>VLOOKUP($B170,Hitters!$A1:$R401,7,FALSE)</f>
        <v>74.623333333333335</v>
      </c>
      <c r="Q170" s="31">
        <f>VLOOKUP($B170,Hitters!$A1:$R401,8,FALSE)</f>
        <v>4.8533333333333335</v>
      </c>
      <c r="R170" s="152">
        <f>VLOOKUP($B170,Hitters!$A$1:$R$401,14,FALSE)</f>
        <v>0.24206299322578392</v>
      </c>
      <c r="S170" s="152">
        <f>VLOOKUP($B170,Hitters!$A$1:$R$401,15,FALSE)</f>
        <v>0.32661659489591954</v>
      </c>
      <c r="T170" s="154">
        <f>VLOOKUP($B170,Hitters!$A$1:$R$401,9,FALSE)</f>
        <v>115.53666666666668</v>
      </c>
      <c r="U170" s="154">
        <f>VLOOKUP($B170,Hitters!$A$1:$R$401,10,FALSE)</f>
        <v>24.413333333333338</v>
      </c>
      <c r="V170" s="154">
        <f>VLOOKUP($B170,Hitters!$A$1:$R$401,11,FALSE)</f>
        <v>2.0033333333333334</v>
      </c>
      <c r="W170" s="154">
        <f>VLOOKUP($B170,Hitters!$A$1:$R$401,12,FALSE)</f>
        <v>52.63</v>
      </c>
      <c r="X170" s="154">
        <f>VLOOKUP($B170,Hitters!$A$1:$R$401,13,FALSE)</f>
        <v>133.5911111111111</v>
      </c>
      <c r="Y170" s="152">
        <f>VLOOKUP($B170,Hitters!$A$1:$R$401,16,FALSE)</f>
        <v>0.45314616942523922</v>
      </c>
      <c r="Z170" s="152">
        <f>VLOOKUP($B170,Hitters!$A$1:$R$401,17,FALSE)</f>
        <v>0.77976276432115876</v>
      </c>
      <c r="AA170" s="31">
        <f>VLOOKUP($B170,Hitters!$A1:$R401,18,FALSE)</f>
        <v>0</v>
      </c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 spans="1:44" ht="18.600000000000001" customHeight="1">
      <c r="A171" s="25">
        <f ca="1">RANK(I171,I$2:I$651)</f>
        <v>170</v>
      </c>
      <c r="B171" s="26" t="s">
        <v>242</v>
      </c>
      <c r="C171" s="27" t="s">
        <v>94</v>
      </c>
      <c r="D171" s="27" t="s">
        <v>69</v>
      </c>
      <c r="E171" s="34" t="s">
        <v>15</v>
      </c>
      <c r="F171" s="35">
        <f ca="1">VLOOKUP(B171,'3B'!A1:I55,IF(Settings!$J$13="points",4,7),FALSE)</f>
        <v>11</v>
      </c>
      <c r="G171" s="30">
        <f>(M171*Settings!$B$2)+(N171*Settings!$B$3)+(O171*Settings!$B$4)+(P171*Settings!$B$5)+(Q171*Settings!$B$6)+((T171-U171-V171-O171)*Settings!$B$9)+(U171*Settings!$B$10)+(V171*Settings!$B$11)+(W171*Settings!$B$12)+(X171*Settings!$B$13)+(AA171*Settings!$B$16)</f>
        <v>383.60666666666668</v>
      </c>
      <c r="H171" s="31">
        <f>VLOOKUP(B171,'Standard Deviations'!$A1:$D651,4,FALSE)</f>
        <v>2.905667761778771</v>
      </c>
      <c r="I171" s="32">
        <f ca="1">IF(Settings!$J$15="no",VLOOKUP(B171,'3B'!A1:I55,IF(Settings!$J$13="points",6,9),FALSE),VLOOKUP(B171,'1B+3B'!$A1:$I104,IF(Settings!$J$13="points",6,9),FALSE))</f>
        <v>2.6801885357915065</v>
      </c>
      <c r="J171" s="31"/>
      <c r="K171" s="31">
        <f ca="1">J171-A171</f>
        <v>-170</v>
      </c>
      <c r="L171" s="31"/>
      <c r="M171" s="31">
        <f>VLOOKUP($B171,Hitters!$A1:$R401,4,FALSE)</f>
        <v>542.16666666666674</v>
      </c>
      <c r="N171" s="31">
        <f>VLOOKUP($B171,Hitters!$A1:$R401,5,FALSE)</f>
        <v>79.265000000000001</v>
      </c>
      <c r="O171" s="31">
        <f>VLOOKUP($B171,Hitters!$A1:$R401,6,FALSE)</f>
        <v>28.298333333333332</v>
      </c>
      <c r="P171" s="31">
        <f>VLOOKUP($B171,Hitters!$A1:$R401,7,FALSE)</f>
        <v>82.174444444444447</v>
      </c>
      <c r="Q171" s="31">
        <f>VLOOKUP($B171,Hitters!$A1:$R401,8,FALSE)</f>
        <v>3.4899999999999998</v>
      </c>
      <c r="R171" s="152">
        <f>VLOOKUP($B171,Hitters!$A$1:$R$401,14,FALSE)</f>
        <v>0.22501075929910849</v>
      </c>
      <c r="S171" s="152">
        <f>VLOOKUP($B171,Hitters!$A$1:$R$401,15,FALSE)</f>
        <v>0.31986350456628515</v>
      </c>
      <c r="T171" s="154">
        <f>VLOOKUP($B171,Hitters!$A$1:$R$401,9,FALSE)</f>
        <v>121.99333333333334</v>
      </c>
      <c r="U171" s="154">
        <f>VLOOKUP($B171,Hitters!$A$1:$R$401,10,FALSE)</f>
        <v>26.068333333333332</v>
      </c>
      <c r="V171" s="154">
        <f>VLOOKUP($B171,Hitters!$A$1:$R$401,11,FALSE)</f>
        <v>2.0116666666666667</v>
      </c>
      <c r="W171" s="154">
        <f>VLOOKUP($B171,Hitters!$A$1:$R$401,12,FALSE)</f>
        <v>67.15666666666668</v>
      </c>
      <c r="X171" s="154">
        <f>VLOOKUP($B171,Hitters!$A$1:$R$401,13,FALSE)</f>
        <v>177.89888888888891</v>
      </c>
      <c r="Y171" s="152">
        <f>VLOOKUP($B171,Hitters!$A$1:$R$401,16,FALSE)</f>
        <v>0.43709806332616041</v>
      </c>
      <c r="Z171" s="152">
        <f>VLOOKUP($B171,Hitters!$A$1:$R$401,17,FALSE)</f>
        <v>0.75696156789244551</v>
      </c>
      <c r="AA171" s="31">
        <f>VLOOKUP($B171,Hitters!$A1:$R401,18,FALSE)</f>
        <v>0</v>
      </c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 spans="1:44" ht="18.600000000000001" customHeight="1">
      <c r="A172" s="25">
        <f ca="1">RANK(I172,I$2:I$651)</f>
        <v>171</v>
      </c>
      <c r="B172" s="26" t="s">
        <v>238</v>
      </c>
      <c r="C172" s="27" t="s">
        <v>103</v>
      </c>
      <c r="D172" s="27" t="s">
        <v>69</v>
      </c>
      <c r="E172" s="36" t="s">
        <v>31</v>
      </c>
      <c r="F172" s="37">
        <f ca="1">VLOOKUP(B172,SP!A1:I161,IF(Settings!$J$13="points",4,7),FALSE)</f>
        <v>51</v>
      </c>
      <c r="G172" s="30">
        <f>(AC172*Settings!$F$2)+(AF172*Settings!$F$5)+(AG172*Settings!$F$6)+(AH172*Settings!$F$7)+(AI172*Settings!$F$8)+(AJ172*Settings!$F$9)+(AK172*Settings!$F$10)+(AL172*Settings!$F$11)+(AM172*Settings!$F$12)+(AN172*Settings!$F$13)+(AO172*Settings!$F$14)+(AP172*Settings!$F$15)+(AQ172*Settings!$F$16)+(AR172*Settings!$F$17)</f>
        <v>327.50722222222208</v>
      </c>
      <c r="H172" s="31">
        <f>VLOOKUP(B172,'Standard Deviations'!$A1:$D651,4,FALSE)</f>
        <v>1.7942301783036667</v>
      </c>
      <c r="I172" s="32">
        <f ca="1">IF(Settings!$J$16="no",VLOOKUP(B172,SP!A1:I161,IF(Settings!$J$13="points",6,9),FALSE),VLOOKUP(B172,'SP+RP'!$A1:$I251,IF(Settings!$J$13="points",6,9),FALSE))</f>
        <v>2.6618123632138451</v>
      </c>
      <c r="J172" s="31"/>
      <c r="K172" s="31">
        <f ca="1">J172-A172</f>
        <v>-171</v>
      </c>
      <c r="L172" s="31"/>
      <c r="M172" s="31"/>
      <c r="N172" s="31"/>
      <c r="O172" s="31"/>
      <c r="P172" s="31"/>
      <c r="Q172" s="31"/>
      <c r="R172" s="152"/>
      <c r="S172" s="152"/>
      <c r="T172" s="154"/>
      <c r="U172" s="154"/>
      <c r="V172" s="154"/>
      <c r="W172" s="154"/>
      <c r="X172" s="154"/>
      <c r="Y172" s="152"/>
      <c r="Z172" s="152"/>
      <c r="AA172" s="31"/>
      <c r="AB172" s="31"/>
      <c r="AC172" s="31">
        <f>VLOOKUP($B172,Pitchers!$A1:$S251,4,FALSE)</f>
        <v>130.55555555555554</v>
      </c>
      <c r="AD172" s="33">
        <f>VLOOKUP($B172,Pitchers!$A1:$S251,5,FALSE)</f>
        <v>3.6282638297872349</v>
      </c>
      <c r="AE172" s="33">
        <f>VLOOKUP($B172,Pitchers!$A1:$S251,6,FALSE)</f>
        <v>1.1689957446808512</v>
      </c>
      <c r="AF172" s="31">
        <f>VLOOKUP($B172,Pitchers!$A1:$S251,7,FALSE)</f>
        <v>150.31888888888889</v>
      </c>
      <c r="AG172" s="31">
        <f>VLOOKUP($B172,Pitchers!$A1:$S251,8,FALSE)</f>
        <v>8.7577777777777772</v>
      </c>
      <c r="AH172" s="31">
        <f>VLOOKUP($B172,Pitchers!$A1:$S251,9,FALSE)</f>
        <v>0</v>
      </c>
      <c r="AI172" s="31">
        <f>VLOOKUP($B172,Pitchers!$A1:$S251,10,FALSE)</f>
        <v>52.632222222222225</v>
      </c>
      <c r="AJ172" s="31">
        <f>VLOOKUP($B172,Pitchers!$A1:$S251,11,FALSE)</f>
        <v>115.67333333333335</v>
      </c>
      <c r="AK172" s="31">
        <f>VLOOKUP($B172,Pitchers!$A1:$S251,12,FALSE)</f>
        <v>36.945555555555558</v>
      </c>
      <c r="AL172" s="31">
        <f>VLOOKUP($B172,Pitchers!$A1:$S251,13,FALSE)</f>
        <v>15.299999999999999</v>
      </c>
      <c r="AM172" s="31">
        <f>VLOOKUP($B172,Pitchers!$A1:$S251,14,FALSE)</f>
        <v>24.992222222222221</v>
      </c>
      <c r="AN172" s="31">
        <f>VLOOKUP($B172,Pitchers!$A1:$S251,15,FALSE)</f>
        <v>24.825555555555553</v>
      </c>
      <c r="AO172" s="31">
        <f>VLOOKUP($B172,Pitchers!$A1:$S251,16,FALSE)</f>
        <v>7.474444444444444</v>
      </c>
      <c r="AP172" s="31">
        <f>VLOOKUP($B172,Pitchers!$A1:$S251,17,FALSE)</f>
        <v>14</v>
      </c>
      <c r="AQ172" s="31">
        <f>VLOOKUP($B172,Pitchers!$A1:$S251,18,FALSE)</f>
        <v>0</v>
      </c>
      <c r="AR172" s="31">
        <f>VLOOKUP($B172,Pitchers!$A1:$S251,19,FALSE)</f>
        <v>0</v>
      </c>
    </row>
    <row r="173" spans="1:44" ht="18.600000000000001" customHeight="1">
      <c r="A173" s="25">
        <f ca="1">RANK(I173,I$2:I$651)</f>
        <v>172</v>
      </c>
      <c r="B173" s="26" t="s">
        <v>288</v>
      </c>
      <c r="C173" s="27" t="s">
        <v>68</v>
      </c>
      <c r="D173" s="27" t="s">
        <v>69</v>
      </c>
      <c r="E173" s="42" t="s">
        <v>34</v>
      </c>
      <c r="F173" s="43">
        <f ca="1">VLOOKUP(B173,RP!A1:I91,IF(Settings!$J$13="points",4,7),FALSE)</f>
        <v>18</v>
      </c>
      <c r="G173" s="30">
        <f>(AC173*Settings!$F$2)+(AF173*Settings!$F$5)+(AG173*Settings!$F$6)+(AH173*Settings!$F$7)+(AI173*Settings!$F$8)+(AJ173*Settings!$F$9)+(AK173*Settings!$F$10)+(AL173*Settings!$F$11)+(AM173*Settings!$F$12)+(AN173*Settings!$F$13)+(AO173*Settings!$F$14)+(AP173*Settings!$F$15)+(AQ173*Settings!$F$16)+(AR173*Settings!$F$17)</f>
        <v>308.71444444444438</v>
      </c>
      <c r="H173" s="31">
        <f>VLOOKUP(B173,'Standard Deviations'!$A1:$D651,4,FALSE)</f>
        <v>1.7904247537838271</v>
      </c>
      <c r="I173" s="32">
        <f ca="1">IF(Settings!$J$16="no",VLOOKUP(B173,RP!A1:I91,IF(Settings!$J$13="points",6,9),FALSE),VLOOKUP(B173,'SP+RP'!$A1:$I251,IF(Settings!$J$13="points",6,9),FALSE))</f>
        <v>2.6580020561184741</v>
      </c>
      <c r="J173" s="31"/>
      <c r="K173" s="31">
        <f ca="1">J173-A173</f>
        <v>-172</v>
      </c>
      <c r="L173" s="31"/>
      <c r="M173" s="31"/>
      <c r="N173" s="31"/>
      <c r="O173" s="31"/>
      <c r="P173" s="31"/>
      <c r="Q173" s="31"/>
      <c r="R173" s="152"/>
      <c r="S173" s="152"/>
      <c r="T173" s="154"/>
      <c r="U173" s="154"/>
      <c r="V173" s="154"/>
      <c r="W173" s="154"/>
      <c r="X173" s="154"/>
      <c r="Y173" s="152"/>
      <c r="Z173" s="152"/>
      <c r="AA173" s="31"/>
      <c r="AB173" s="31"/>
      <c r="AC173" s="31">
        <f>VLOOKUP($B173,Pitchers!$A1:$S251,4,FALSE)</f>
        <v>62.87</v>
      </c>
      <c r="AD173" s="33">
        <f>VLOOKUP($B173,Pitchers!$A1:$S251,5,FALSE)</f>
        <v>3.3812629234929221</v>
      </c>
      <c r="AE173" s="33">
        <f>VLOOKUP($B173,Pitchers!$A1:$S251,6,FALSE)</f>
        <v>1.2345404096636801</v>
      </c>
      <c r="AF173" s="31">
        <f>VLOOKUP($B173,Pitchers!$A1:$S251,7,FALSE)</f>
        <v>65.106666666666669</v>
      </c>
      <c r="AG173" s="31">
        <f>VLOOKUP($B173,Pitchers!$A1:$S251,8,FALSE)</f>
        <v>4.043333333333333</v>
      </c>
      <c r="AH173" s="31">
        <f>VLOOKUP($B173,Pitchers!$A1:$S251,9,FALSE)</f>
        <v>25.066666666666666</v>
      </c>
      <c r="AI173" s="31">
        <f>VLOOKUP($B173,Pitchers!$A1:$S251,10,FALSE)</f>
        <v>23.62</v>
      </c>
      <c r="AJ173" s="31">
        <f>VLOOKUP($B173,Pitchers!$A1:$S251,11,FALSE)</f>
        <v>52.828888888888891</v>
      </c>
      <c r="AK173" s="31">
        <f>VLOOKUP($B173,Pitchers!$A1:$S251,12,FALSE)</f>
        <v>24.786666666666665</v>
      </c>
      <c r="AL173" s="31">
        <f>VLOOKUP($B173,Pitchers!$A1:$S251,13,FALSE)</f>
        <v>4.1000000000000005</v>
      </c>
      <c r="AM173" s="31">
        <f>VLOOKUP($B173,Pitchers!$A1:$S251,14,FALSE)</f>
        <v>61.742222222222217</v>
      </c>
      <c r="AN173" s="31">
        <f>VLOOKUP($B173,Pitchers!$A1:$S251,15,FALSE)</f>
        <v>0</v>
      </c>
      <c r="AO173" s="31">
        <f>VLOOKUP($B173,Pitchers!$A1:$S251,16,FALSE)</f>
        <v>2.9966666666666666</v>
      </c>
      <c r="AP173" s="31">
        <f>VLOOKUP($B173,Pitchers!$A1:$S251,17,FALSE)</f>
        <v>0</v>
      </c>
      <c r="AQ173" s="31">
        <f>VLOOKUP($B173,Pitchers!$A1:$S251,18,FALSE)</f>
        <v>3</v>
      </c>
      <c r="AR173" s="31">
        <f>VLOOKUP($B173,Pitchers!$A1:$S251,19,FALSE)</f>
        <v>11</v>
      </c>
    </row>
    <row r="174" spans="1:44" ht="18.600000000000001" customHeight="1">
      <c r="A174" s="25">
        <f ca="1">RANK(I174,I$2:I$651)</f>
        <v>173</v>
      </c>
      <c r="B174" s="26" t="s">
        <v>324</v>
      </c>
      <c r="C174" s="27" t="s">
        <v>95</v>
      </c>
      <c r="D174" s="27" t="s">
        <v>74</v>
      </c>
      <c r="E174" s="48" t="s">
        <v>11</v>
      </c>
      <c r="F174" s="49">
        <f ca="1">VLOOKUP(B174,'2B'!A1:I50,IF(Settings!$J$13="points",4,7),FALSE)</f>
        <v>14</v>
      </c>
      <c r="G174" s="30">
        <f>(M174*Settings!$B$2)+(N174*Settings!$B$3)+(O174*Settings!$B$4)+(P174*Settings!$B$5)+(Q174*Settings!$B$6)+((T174-U174-V174-O174)*Settings!$B$9)+(U174*Settings!$B$10)+(V174*Settings!$B$11)+(W174*Settings!$B$12)+(X174*Settings!$B$13)+(AA174*Settings!$B$16)</f>
        <v>365.20722222222224</v>
      </c>
      <c r="H174" s="31">
        <f>VLOOKUP(B174,'Standard Deviations'!$A1:$D651,4,FALSE)</f>
        <v>2.644872810477529</v>
      </c>
      <c r="I174" s="32">
        <f ca="1">IF(Settings!$J$16="no",VLOOKUP(B174,'2B'!A1:I50,IF(Settings!$J$13="points",6,9),FALSE),VLOOKUP(B174,'2B+SS'!$A1:$I94,IF(Settings!$J$13="points",6,9),FALSE))</f>
        <v>2.6388305704456618</v>
      </c>
      <c r="J174" s="31"/>
      <c r="K174" s="31">
        <f ca="1">J174-A174</f>
        <v>-173</v>
      </c>
      <c r="L174" s="31"/>
      <c r="M174" s="31">
        <f>VLOOKUP($B174,Hitters!$A1:$R401,4,FALSE)</f>
        <v>530.83333333333337</v>
      </c>
      <c r="N174" s="31">
        <f>VLOOKUP($B174,Hitters!$A1:$R401,5,FALSE)</f>
        <v>67.948888888888888</v>
      </c>
      <c r="O174" s="31">
        <f>VLOOKUP($B174,Hitters!$A1:$R401,6,FALSE)</f>
        <v>9.9988888888888887</v>
      </c>
      <c r="P174" s="31">
        <f>VLOOKUP($B174,Hitters!$A1:$R401,7,FALSE)</f>
        <v>64.757777777777775</v>
      </c>
      <c r="Q174" s="31">
        <f>VLOOKUP($B174,Hitters!$A1:$R401,8,FALSE)</f>
        <v>3.9777777777777779</v>
      </c>
      <c r="R174" s="152">
        <f>VLOOKUP($B174,Hitters!$A$1:$R$401,14,FALSE)</f>
        <v>0.28782208267922554</v>
      </c>
      <c r="S174" s="152">
        <f>VLOOKUP($B174,Hitters!$A$1:$R$401,15,FALSE)</f>
        <v>0.34693702284286587</v>
      </c>
      <c r="T174" s="154">
        <f>VLOOKUP($B174,Hitters!$A$1:$R$401,9,FALSE)</f>
        <v>152.78555555555556</v>
      </c>
      <c r="U174" s="154">
        <f>VLOOKUP($B174,Hitters!$A$1:$R$401,10,FALSE)</f>
        <v>32.798888888888889</v>
      </c>
      <c r="V174" s="154">
        <f>VLOOKUP($B174,Hitters!$A$1:$R$401,11,FALSE)</f>
        <v>1.8133333333333332</v>
      </c>
      <c r="W174" s="154">
        <f>VLOOKUP($B174,Hitters!$A$1:$R$401,12,FALSE)</f>
        <v>40.42</v>
      </c>
      <c r="X174" s="154">
        <f>VLOOKUP($B174,Hitters!$A$1:$R$401,13,FALSE)</f>
        <v>70.165555555555557</v>
      </c>
      <c r="Y174" s="152">
        <f>VLOOKUP($B174,Hitters!$A$1:$R$401,16,FALSE)</f>
        <v>0.41295028780743065</v>
      </c>
      <c r="Z174" s="152">
        <f>VLOOKUP($B174,Hitters!$A$1:$R$401,17,FALSE)</f>
        <v>0.75988731065029658</v>
      </c>
      <c r="AA174" s="31">
        <f>VLOOKUP($B174,Hitters!$A1:$R401,18,FALSE)</f>
        <v>0</v>
      </c>
      <c r="AB174" s="31"/>
      <c r="AC174" s="31"/>
      <c r="AD174" s="33"/>
      <c r="AE174" s="33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 spans="1:44" ht="18.600000000000001" customHeight="1">
      <c r="A175" s="25">
        <f ca="1">RANK(I175,I$2:I$651)</f>
        <v>174</v>
      </c>
      <c r="B175" s="26" t="s">
        <v>275</v>
      </c>
      <c r="C175" s="27" t="s">
        <v>94</v>
      </c>
      <c r="D175" s="27" t="s">
        <v>69</v>
      </c>
      <c r="E175" s="48" t="s">
        <v>11</v>
      </c>
      <c r="F175" s="49">
        <f ca="1">VLOOKUP(B175,'2B'!A1:I50,IF(Settings!$J$13="points",4,7),FALSE)</f>
        <v>15</v>
      </c>
      <c r="G175" s="30">
        <f>(M175*Settings!$B$2)+(N175*Settings!$B$3)+(O175*Settings!$B$4)+(P175*Settings!$B$5)+(Q175*Settings!$B$6)+((T175-U175-V175-O175)*Settings!$B$9)+(U175*Settings!$B$10)+(V175*Settings!$B$11)+(W175*Settings!$B$12)+(X175*Settings!$B$13)+(AA175*Settings!$B$16)</f>
        <v>326.14166666666677</v>
      </c>
      <c r="H175" s="31">
        <f>VLOOKUP(B175,'Standard Deviations'!$A1:$D651,4,FALSE)</f>
        <v>2.6348581938689555</v>
      </c>
      <c r="I175" s="32">
        <f ca="1">IF(Settings!$J$16="no",VLOOKUP(B175,'2B'!A1:I50,IF(Settings!$J$13="points",6,9),FALSE),VLOOKUP(B175,'2B+SS'!$A1:$I94,IF(Settings!$J$13="points",6,9),FALSE))</f>
        <v>2.6288194065584953</v>
      </c>
      <c r="J175" s="31"/>
      <c r="K175" s="31">
        <f ca="1">J175-A175</f>
        <v>-174</v>
      </c>
      <c r="L175" s="31"/>
      <c r="M175" s="31">
        <f>VLOOKUP($B175,Hitters!$A1:$R401,4,FALSE)</f>
        <v>465.73333333333335</v>
      </c>
      <c r="N175" s="31">
        <f>VLOOKUP($B175,Hitters!$A1:$R401,5,FALSE)</f>
        <v>63.081111111111113</v>
      </c>
      <c r="O175" s="31">
        <f>VLOOKUP($B175,Hitters!$A1:$R401,6,FALSE)</f>
        <v>9.6255555555555556</v>
      </c>
      <c r="P175" s="31">
        <f>VLOOKUP($B175,Hitters!$A1:$R401,7,FALSE)</f>
        <v>52.187777777777775</v>
      </c>
      <c r="Q175" s="31">
        <f>VLOOKUP($B175,Hitters!$A1:$R401,8,FALSE)</f>
        <v>20.39777777777778</v>
      </c>
      <c r="R175" s="152">
        <f>VLOOKUP($B175,Hitters!$A$1:$R$401,14,FALSE)</f>
        <v>0.2589727073194007</v>
      </c>
      <c r="S175" s="152">
        <f>VLOOKUP($B175,Hitters!$A$1:$R$401,15,FALSE)</f>
        <v>0.31565271379296</v>
      </c>
      <c r="T175" s="154">
        <f>VLOOKUP($B175,Hitters!$A$1:$R$401,9,FALSE)</f>
        <v>120.61222222222223</v>
      </c>
      <c r="U175" s="154">
        <f>VLOOKUP($B175,Hitters!$A$1:$R$401,10,FALSE)</f>
        <v>25.708333333333332</v>
      </c>
      <c r="V175" s="154">
        <f>VLOOKUP($B175,Hitters!$A$1:$R$401,11,FALSE)</f>
        <v>1.9788888888888889</v>
      </c>
      <c r="W175" s="154">
        <f>VLOOKUP($B175,Hitters!$A$1:$R$401,12,FALSE)</f>
        <v>31.22666666666667</v>
      </c>
      <c r="X175" s="154">
        <f>VLOOKUP($B175,Hitters!$A$1:$R$401,13,FALSE)</f>
        <v>80.608888888888885</v>
      </c>
      <c r="Y175" s="152">
        <f>VLOOKUP($B175,Hitters!$A$1:$R$401,16,FALSE)</f>
        <v>0.38467291726309766</v>
      </c>
      <c r="Z175" s="152">
        <f>VLOOKUP($B175,Hitters!$A$1:$R$401,17,FALSE)</f>
        <v>0.70032563105605772</v>
      </c>
      <c r="AA175" s="31">
        <f>VLOOKUP($B175,Hitters!$A1:$R401,18,FALSE)</f>
        <v>0</v>
      </c>
      <c r="AB175" s="31"/>
      <c r="AC175" s="31"/>
      <c r="AD175" s="33"/>
      <c r="AE175" s="33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 spans="1:44" ht="20.100000000000001" customHeight="1">
      <c r="A176" s="25">
        <f ca="1">RANK(I176,I$2:I$651)</f>
        <v>175</v>
      </c>
      <c r="B176" s="26" t="s">
        <v>318</v>
      </c>
      <c r="C176" s="27" t="s">
        <v>76</v>
      </c>
      <c r="D176" s="27" t="s">
        <v>69</v>
      </c>
      <c r="E176" s="40" t="s">
        <v>7</v>
      </c>
      <c r="F176" s="41">
        <f ca="1">VLOOKUP(B176,'1B'!A1:I63,IF(Settings!$J$13="points",4,7),FALSE)</f>
        <v>18</v>
      </c>
      <c r="G176" s="30">
        <f>(M176*Settings!$B$2)+(N176*Settings!$B$3)+(O176*Settings!$B$4)+(P176*Settings!$B$5)+(Q176*Settings!$B$6)+((T176-U176-V176-O176)*Settings!$B$9)+(U176*Settings!$B$10)+(V176*Settings!$B$11)+(W176*Settings!$B$12)+(X176*Settings!$B$13)+(AA176*Settings!$B$16)</f>
        <v>392.23888888888888</v>
      </c>
      <c r="H176" s="31">
        <f>VLOOKUP(B176,'Standard Deviations'!$A1:$D651,4,FALSE)</f>
        <v>2.8508570228839623</v>
      </c>
      <c r="I176" s="32">
        <f ca="1">IF(Settings!$J$15="no",VLOOKUP(B176,'1B'!A1:I63,IF(Settings!$J$13="points",6,9),FALSE),VLOOKUP(B176,'1B+3B'!$A1:$I104,IF(Settings!$J$13="points",6,9),FALSE))</f>
        <v>2.6253825201523258</v>
      </c>
      <c r="J176" s="31"/>
      <c r="K176" s="31">
        <f ca="1">J176-A176</f>
        <v>-175</v>
      </c>
      <c r="L176" s="31"/>
      <c r="M176" s="31">
        <f>VLOOKUP($B176,Hitters!$A1:$R401,4,FALSE)</f>
        <v>515.13333333333333</v>
      </c>
      <c r="N176" s="31">
        <f>VLOOKUP($B176,Hitters!$A1:$R401,5,FALSE)</f>
        <v>72.797777777777782</v>
      </c>
      <c r="O176" s="31">
        <f>VLOOKUP($B176,Hitters!$A1:$R401,6,FALSE)</f>
        <v>20.053333333333335</v>
      </c>
      <c r="P176" s="31">
        <f>VLOOKUP($B176,Hitters!$A1:$R401,7,FALSE)</f>
        <v>77.705555555555563</v>
      </c>
      <c r="Q176" s="31">
        <f>VLOOKUP($B176,Hitters!$A1:$R401,8,FALSE)</f>
        <v>0.64222222222222214</v>
      </c>
      <c r="R176" s="152">
        <f>VLOOKUP($B176,Hitters!$A$1:$R$401,14,FALSE)</f>
        <v>0.26112117682584873</v>
      </c>
      <c r="S176" s="152">
        <f>VLOOKUP($B176,Hitters!$A$1:$R$401,15,FALSE)</f>
        <v>0.35547247180626912</v>
      </c>
      <c r="T176" s="154">
        <f>VLOOKUP($B176,Hitters!$A$1:$R$401,9,FALSE)</f>
        <v>134.51222222222222</v>
      </c>
      <c r="U176" s="154">
        <f>VLOOKUP($B176,Hitters!$A$1:$R$401,10,FALSE)</f>
        <v>25.815555555555559</v>
      </c>
      <c r="V176" s="154">
        <f>VLOOKUP($B176,Hitters!$A$1:$R$401,11,FALSE)</f>
        <v>2</v>
      </c>
      <c r="W176" s="154">
        <f>VLOOKUP($B176,Hitters!$A$1:$R$401,12,FALSE)</f>
        <v>68.213333333333324</v>
      </c>
      <c r="X176" s="154">
        <f>VLOOKUP($B176,Hitters!$A$1:$R$401,13,FALSE)</f>
        <v>104.5</v>
      </c>
      <c r="Y176" s="152">
        <f>VLOOKUP($B176,Hitters!$A$1:$R$401,16,FALSE)</f>
        <v>0.43578577283119796</v>
      </c>
      <c r="Z176" s="152">
        <f>VLOOKUP($B176,Hitters!$A$1:$R$401,17,FALSE)</f>
        <v>0.79125824463746708</v>
      </c>
      <c r="AA176" s="31">
        <f>VLOOKUP($B176,Hitters!$A1:$R401,18,FALSE)</f>
        <v>0</v>
      </c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 spans="1:44" ht="18.600000000000001" customHeight="1">
      <c r="A177" s="25">
        <f ca="1">RANK(I177,I$2:I$651)</f>
        <v>176</v>
      </c>
      <c r="B177" s="26" t="s">
        <v>347</v>
      </c>
      <c r="C177" s="27" t="s">
        <v>223</v>
      </c>
      <c r="D177" s="27" t="s">
        <v>74</v>
      </c>
      <c r="E177" s="42" t="s">
        <v>34</v>
      </c>
      <c r="F177" s="43">
        <f ca="1">VLOOKUP(B177,RP!A1:I91,IF(Settings!$J$13="points",4,7),FALSE)</f>
        <v>19</v>
      </c>
      <c r="G177" s="30">
        <f>(AC177*Settings!$F$2)+(AF177*Settings!$F$5)+(AG177*Settings!$F$6)+(AH177*Settings!$F$7)+(AI177*Settings!$F$8)+(AJ177*Settings!$F$9)+(AK177*Settings!$F$10)+(AL177*Settings!$F$11)+(AM177*Settings!$F$12)+(AN177*Settings!$F$13)+(AO177*Settings!$F$14)+(AP177*Settings!$F$15)+(AQ177*Settings!$F$16)+(AR177*Settings!$F$17)</f>
        <v>301.1177777777778</v>
      </c>
      <c r="H177" s="31">
        <f>VLOOKUP(B177,'Standard Deviations'!$A1:$D651,4,FALSE)</f>
        <v>1.7315664092713101</v>
      </c>
      <c r="I177" s="32">
        <f ca="1">IF(Settings!$J$16="no",VLOOKUP(B177,RP!A1:I91,IF(Settings!$J$13="points",6,9),FALSE),VLOOKUP(B177,'SP+RP'!$A1:$I251,IF(Settings!$J$13="points",6,9),FALSE))</f>
        <v>2.5991519757021155</v>
      </c>
      <c r="J177" s="31"/>
      <c r="K177" s="31">
        <f ca="1">J177-A177</f>
        <v>-176</v>
      </c>
      <c r="L177" s="31"/>
      <c r="M177" s="31"/>
      <c r="N177" s="31"/>
      <c r="O177" s="31"/>
      <c r="P177" s="31"/>
      <c r="Q177" s="31"/>
      <c r="R177" s="152"/>
      <c r="S177" s="152"/>
      <c r="T177" s="154"/>
      <c r="U177" s="154"/>
      <c r="V177" s="154"/>
      <c r="W177" s="154"/>
      <c r="X177" s="154"/>
      <c r="Y177" s="152"/>
      <c r="Z177" s="152"/>
      <c r="AA177" s="31"/>
      <c r="AB177" s="31"/>
      <c r="AC177" s="31">
        <f>VLOOKUP($B177,Pitchers!$A1:$S251,4,FALSE)</f>
        <v>65.605555555555554</v>
      </c>
      <c r="AD177" s="33">
        <f>VLOOKUP($B177,Pitchers!$A1:$S251,5,FALSE)</f>
        <v>3.7396223219578291</v>
      </c>
      <c r="AE177" s="33">
        <f>VLOOKUP($B177,Pitchers!$A1:$S251,6,FALSE)</f>
        <v>1.1627910915403508</v>
      </c>
      <c r="AF177" s="31">
        <f>VLOOKUP($B177,Pitchers!$A1:$S251,7,FALSE)</f>
        <v>83.395555555555561</v>
      </c>
      <c r="AG177" s="31">
        <f>VLOOKUP($B177,Pitchers!$A1:$S251,8,FALSE)</f>
        <v>3.9911111111111111</v>
      </c>
      <c r="AH177" s="31">
        <f>VLOOKUP($B177,Pitchers!$A1:$S251,9,FALSE)</f>
        <v>22</v>
      </c>
      <c r="AI177" s="31">
        <f>VLOOKUP($B177,Pitchers!$A1:$S251,10,FALSE)</f>
        <v>27.26</v>
      </c>
      <c r="AJ177" s="31">
        <f>VLOOKUP($B177,Pitchers!$A1:$S251,11,FALSE)</f>
        <v>45</v>
      </c>
      <c r="AK177" s="31">
        <f>VLOOKUP($B177,Pitchers!$A1:$S251,12,FALSE)</f>
        <v>31.285555555555558</v>
      </c>
      <c r="AL177" s="31">
        <f>VLOOKUP($B177,Pitchers!$A1:$S251,13,FALSE)</f>
        <v>7.8999999999999995</v>
      </c>
      <c r="AM177" s="31">
        <f>VLOOKUP($B177,Pitchers!$A1:$S251,14,FALSE)</f>
        <v>65.797777777777782</v>
      </c>
      <c r="AN177" s="31">
        <f>VLOOKUP($B177,Pitchers!$A1:$S251,15,FALSE)</f>
        <v>0</v>
      </c>
      <c r="AO177" s="31">
        <f>VLOOKUP($B177,Pitchers!$A1:$S251,16,FALSE)</f>
        <v>3.1577777777777776</v>
      </c>
      <c r="AP177" s="31">
        <f>VLOOKUP($B177,Pitchers!$A1:$S251,17,FALSE)</f>
        <v>0</v>
      </c>
      <c r="AQ177" s="31">
        <f>VLOOKUP($B177,Pitchers!$A1:$S251,18,FALSE)</f>
        <v>9.5</v>
      </c>
      <c r="AR177" s="31">
        <f>VLOOKUP($B177,Pitchers!$A1:$S251,19,FALSE)</f>
        <v>7</v>
      </c>
    </row>
    <row r="178" spans="1:44" ht="18.600000000000001" customHeight="1">
      <c r="A178" s="25">
        <f ca="1">RANK(I178,I$2:I$651)</f>
        <v>177</v>
      </c>
      <c r="B178" s="26" t="s">
        <v>338</v>
      </c>
      <c r="C178" s="27" t="s">
        <v>63</v>
      </c>
      <c r="D178" s="27" t="s">
        <v>74</v>
      </c>
      <c r="E178" s="48" t="s">
        <v>11</v>
      </c>
      <c r="F178" s="49">
        <f ca="1">VLOOKUP(B178,'2B'!A1:I50,IF(Settings!$J$13="points",4,7),FALSE)</f>
        <v>16</v>
      </c>
      <c r="G178" s="30">
        <f>(M178*Settings!$B$2)+(N178*Settings!$B$3)+(O178*Settings!$B$4)+(P178*Settings!$B$5)+(Q178*Settings!$B$6)+((T178-U178-V178-O178)*Settings!$B$9)+(U178*Settings!$B$10)+(V178*Settings!$B$11)+(W178*Settings!$B$12)+(X178*Settings!$B$13)+(AA178*Settings!$B$16)</f>
        <v>389.4488888888888</v>
      </c>
      <c r="H178" s="31">
        <f>VLOOKUP(B178,'Standard Deviations'!$A1:$D651,4,FALSE)</f>
        <v>2.5221677707675729</v>
      </c>
      <c r="I178" s="32">
        <f ca="1">IF(Settings!$J$16="no",VLOOKUP(B178,'2B'!A1:I50,IF(Settings!$J$13="points",6,9),FALSE),VLOOKUP(B178,'2B+SS'!$A1:$I94,IF(Settings!$J$13="points",6,9),FALSE))</f>
        <v>2.5161234488016326</v>
      </c>
      <c r="J178" s="31"/>
      <c r="K178" s="31">
        <f ca="1">J178-A178</f>
        <v>-177</v>
      </c>
      <c r="L178" s="31"/>
      <c r="M178" s="31">
        <f>VLOOKUP($B178,Hitters!$A1:$R401,4,FALSE)</f>
        <v>541.58333333333326</v>
      </c>
      <c r="N178" s="31">
        <f>VLOOKUP($B178,Hitters!$A1:$R401,5,FALSE)</f>
        <v>77.822222222222223</v>
      </c>
      <c r="O178" s="31">
        <f>VLOOKUP($B178,Hitters!$A1:$R401,6,FALSE)</f>
        <v>16.424444444444443</v>
      </c>
      <c r="P178" s="31">
        <f>VLOOKUP($B178,Hitters!$A1:$R401,7,FALSE)</f>
        <v>73.165555555555557</v>
      </c>
      <c r="Q178" s="31">
        <f>VLOOKUP($B178,Hitters!$A1:$R401,8,FALSE)</f>
        <v>4.4933333333333332</v>
      </c>
      <c r="R178" s="152">
        <f>VLOOKUP($B178,Hitters!$A$1:$R$401,14,FALSE)</f>
        <v>0.25261527414474028</v>
      </c>
      <c r="S178" s="152">
        <f>VLOOKUP($B178,Hitters!$A$1:$R$401,15,FALSE)</f>
        <v>0.33441922776046173</v>
      </c>
      <c r="T178" s="154">
        <f>VLOOKUP($B178,Hitters!$A$1:$R$401,9,FALSE)</f>
        <v>136.81222222222223</v>
      </c>
      <c r="U178" s="154">
        <f>VLOOKUP($B178,Hitters!$A$1:$R$401,10,FALSE)</f>
        <v>29.492222222222221</v>
      </c>
      <c r="V178" s="154">
        <f>VLOOKUP($B178,Hitters!$A$1:$R$401,11,FALSE)</f>
        <v>4.3422222222222224</v>
      </c>
      <c r="W178" s="154">
        <f>VLOOKUP($B178,Hitters!$A$1:$R$401,12,FALSE)</f>
        <v>58.466666666666669</v>
      </c>
      <c r="X178" s="154">
        <f>VLOOKUP($B178,Hitters!$A$1:$R$401,13,FALSE)</f>
        <v>106.50888888888888</v>
      </c>
      <c r="Y178" s="152">
        <f>VLOOKUP($B178,Hitters!$A$1:$R$401,16,FALSE)</f>
        <v>0.41408626968251538</v>
      </c>
      <c r="Z178" s="152">
        <f>VLOOKUP($B178,Hitters!$A$1:$R$401,17,FALSE)</f>
        <v>0.74850549744297712</v>
      </c>
      <c r="AA178" s="31">
        <f>VLOOKUP($B178,Hitters!$A1:$R401,18,FALSE)</f>
        <v>0</v>
      </c>
      <c r="AB178" s="31"/>
      <c r="AC178" s="31"/>
      <c r="AD178" s="33"/>
      <c r="AE178" s="33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 spans="1:44" ht="18.600000000000001" customHeight="1">
      <c r="A179" s="25">
        <f ca="1">RANK(I179,I$2:I$651)</f>
        <v>178</v>
      </c>
      <c r="B179" s="26" t="s">
        <v>250</v>
      </c>
      <c r="C179" s="27" t="s">
        <v>140</v>
      </c>
      <c r="D179" s="27" t="s">
        <v>69</v>
      </c>
      <c r="E179" s="28" t="s">
        <v>23</v>
      </c>
      <c r="F179" s="29">
        <f ca="1">VLOOKUP(B179,OF!A1:I139,IF(Settings!$J$13="points",4,7),FALSE)</f>
        <v>38</v>
      </c>
      <c r="G179" s="30">
        <f>(M179*Settings!$B$2)+(N179*Settings!$B$3)+(O179*Settings!$B$4)+(P179*Settings!$B$5)+(Q179*Settings!$B$6)+((T179-U179-V179-O179)*Settings!$B$9)+(U179*Settings!$B$10)+(V179*Settings!$B$11)+(W179*Settings!$B$12)+(X179*Settings!$B$13)+(AA179*Settings!$B$16)</f>
        <v>327.77777777777777</v>
      </c>
      <c r="H179" s="31">
        <f>VLOOKUP(B179,'Standard Deviations'!$A1:$D651,4,FALSE)</f>
        <v>2.3325016193856114</v>
      </c>
      <c r="I179" s="32">
        <f ca="1">VLOOKUP(B179,OF!A1:I139,IF(Settings!$J$13="points",6,9),FALSE)</f>
        <v>2.4894317229009868</v>
      </c>
      <c r="J179" s="31"/>
      <c r="K179" s="31">
        <f ca="1">J179-A179</f>
        <v>-178</v>
      </c>
      <c r="L179" s="31"/>
      <c r="M179" s="31">
        <f>VLOOKUP($B179,Hitters!$A1:$R401,4,FALSE)</f>
        <v>498.97777777777782</v>
      </c>
      <c r="N179" s="31">
        <f>VLOOKUP($B179,Hitters!$A1:$R401,5,FALSE)</f>
        <v>66.673333333333332</v>
      </c>
      <c r="O179" s="31">
        <f>VLOOKUP($B179,Hitters!$A1:$R401,6,FALSE)</f>
        <v>18.794444444444444</v>
      </c>
      <c r="P179" s="31">
        <f>VLOOKUP($B179,Hitters!$A1:$R401,7,FALSE)</f>
        <v>59.841111111111111</v>
      </c>
      <c r="Q179" s="31">
        <f>VLOOKUP($B179,Hitters!$A1:$R401,8,FALSE)</f>
        <v>16.445555555555554</v>
      </c>
      <c r="R179" s="152">
        <f>VLOOKUP($B179,Hitters!$A$1:$R$401,14,FALSE)</f>
        <v>0.23209005077046407</v>
      </c>
      <c r="S179" s="152">
        <f>VLOOKUP($B179,Hitters!$A$1:$R$401,15,FALSE)</f>
        <v>0.30050177862354271</v>
      </c>
      <c r="T179" s="154">
        <f>VLOOKUP($B179,Hitters!$A$1:$R$401,9,FALSE)</f>
        <v>115.80777777777779</v>
      </c>
      <c r="U179" s="154">
        <f>VLOOKUP($B179,Hitters!$A$1:$R$401,10,FALSE)</f>
        <v>26.35777777777778</v>
      </c>
      <c r="V179" s="154">
        <f>VLOOKUP($B179,Hitters!$A$1:$R$401,11,FALSE)</f>
        <v>1.02</v>
      </c>
      <c r="W179" s="154">
        <f>VLOOKUP($B179,Hitters!$A$1:$R$401,12,FALSE)</f>
        <v>40.613333333333337</v>
      </c>
      <c r="X179" s="154">
        <f>VLOOKUP($B179,Hitters!$A$1:$R$401,13,FALSE)</f>
        <v>145.66</v>
      </c>
      <c r="Y179" s="152">
        <f>VLOOKUP($B179,Hitters!$A$1:$R$401,16,FALSE)</f>
        <v>0.40199964371604169</v>
      </c>
      <c r="Z179" s="152">
        <f>VLOOKUP($B179,Hitters!$A$1:$R$401,17,FALSE)</f>
        <v>0.70250142233958446</v>
      </c>
      <c r="AA179" s="31">
        <f>VLOOKUP($B179,Hitters!$A1:$R401,18,FALSE)</f>
        <v>0</v>
      </c>
      <c r="AB179" s="31"/>
      <c r="AC179" s="31"/>
      <c r="AD179" s="33"/>
      <c r="AE179" s="33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  <row r="180" spans="1:44" ht="18.600000000000001" customHeight="1">
      <c r="A180" s="25">
        <f ca="1">RANK(I180,I$2:I$651)</f>
        <v>179</v>
      </c>
      <c r="B180" s="26" t="s">
        <v>231</v>
      </c>
      <c r="C180" s="27" t="s">
        <v>223</v>
      </c>
      <c r="D180" s="27" t="s">
        <v>74</v>
      </c>
      <c r="E180" s="36" t="s">
        <v>31</v>
      </c>
      <c r="F180" s="37">
        <f ca="1">VLOOKUP(B180,SP!A1:I161,IF(Settings!$J$13="points",4,7),FALSE)</f>
        <v>52</v>
      </c>
      <c r="G180" s="30">
        <f>(AC180*Settings!$F$2)+(AF180*Settings!$F$5)+(AG180*Settings!$F$6)+(AH180*Settings!$F$7)+(AI180*Settings!$F$8)+(AJ180*Settings!$F$9)+(AK180*Settings!$F$10)+(AL180*Settings!$F$11)+(AM180*Settings!$F$12)+(AN180*Settings!$F$13)+(AO180*Settings!$F$14)+(AP180*Settings!$F$15)+(AQ180*Settings!$F$16)+(AR180*Settings!$F$17)</f>
        <v>388.58426666666662</v>
      </c>
      <c r="H180" s="31">
        <f>VLOOKUP(B180,'Standard Deviations'!$A1:$D651,4,FALSE)</f>
        <v>1.5968315493061109</v>
      </c>
      <c r="I180" s="32">
        <f ca="1">IF(Settings!$J$16="no",VLOOKUP(B180,SP!A1:I161,IF(Settings!$J$13="points",6,9),FALSE),VLOOKUP(B180,'SP+RP'!$A1:$I251,IF(Settings!$J$13="points",6,9),FALSE))</f>
        <v>2.4644123040454318</v>
      </c>
      <c r="J180" s="31"/>
      <c r="K180" s="31">
        <f ca="1">J180-A180</f>
        <v>-179</v>
      </c>
      <c r="L180" s="31"/>
      <c r="M180" s="31"/>
      <c r="N180" s="31"/>
      <c r="O180" s="31"/>
      <c r="P180" s="31"/>
      <c r="Q180" s="31"/>
      <c r="R180" s="152"/>
      <c r="S180" s="152"/>
      <c r="T180" s="154"/>
      <c r="U180" s="154"/>
      <c r="V180" s="154"/>
      <c r="W180" s="154"/>
      <c r="X180" s="154"/>
      <c r="Y180" s="152"/>
      <c r="Z180" s="152"/>
      <c r="AA180" s="31"/>
      <c r="AB180" s="31"/>
      <c r="AC180" s="31">
        <f>VLOOKUP($B180,Pitchers!$A1:$S251,4,FALSE)</f>
        <v>163.10613333333333</v>
      </c>
      <c r="AD180" s="33">
        <f>VLOOKUP($B180,Pitchers!$A1:$S251,5,FALSE)</f>
        <v>3.8219041017055559</v>
      </c>
      <c r="AE180" s="33">
        <f>VLOOKUP($B180,Pitchers!$A1:$S251,6,FALSE)</f>
        <v>1.2283077848697288</v>
      </c>
      <c r="AF180" s="31">
        <f>VLOOKUP($B180,Pitchers!$A1:$S251,7,FALSE)</f>
        <v>189.92160000000001</v>
      </c>
      <c r="AG180" s="31">
        <f>VLOOKUP($B180,Pitchers!$A1:$S251,8,FALSE)</f>
        <v>8.9408000000000012</v>
      </c>
      <c r="AH180" s="31">
        <f>VLOOKUP($B180,Pitchers!$A1:$S251,9,FALSE)</f>
        <v>0</v>
      </c>
      <c r="AI180" s="31">
        <f>VLOOKUP($B180,Pitchers!$A1:$S251,10,FALSE)</f>
        <v>69.263999999999996</v>
      </c>
      <c r="AJ180" s="31">
        <f>VLOOKUP($B180,Pitchers!$A1:$S251,11,FALSE)</f>
        <v>143.7328</v>
      </c>
      <c r="AK180" s="31">
        <f>VLOOKUP($B180,Pitchers!$A1:$S251,12,FALSE)</f>
        <v>56.611733333333326</v>
      </c>
      <c r="AL180" s="31">
        <f>VLOOKUP($B180,Pitchers!$A1:$S251,13,FALSE)</f>
        <v>19.781333333333333</v>
      </c>
      <c r="AM180" s="31">
        <f>VLOOKUP($B180,Pitchers!$A1:$S251,14,FALSE)</f>
        <v>29.616533333333333</v>
      </c>
      <c r="AN180" s="31">
        <f>VLOOKUP($B180,Pitchers!$A1:$S251,15,FALSE)</f>
        <v>28.143111111111111</v>
      </c>
      <c r="AO180" s="31">
        <f>VLOOKUP($B180,Pitchers!$A1:$S251,16,FALSE)</f>
        <v>9.4944000000000006</v>
      </c>
      <c r="AP180" s="31">
        <f>VLOOKUP($B180,Pitchers!$A1:$S251,17,FALSE)</f>
        <v>19.600000000000001</v>
      </c>
      <c r="AQ180" s="31">
        <f>VLOOKUP($B180,Pitchers!$A1:$S251,18,FALSE)</f>
        <v>0</v>
      </c>
      <c r="AR180" s="31">
        <f>VLOOKUP($B180,Pitchers!$A1:$S251,19,FALSE)</f>
        <v>0</v>
      </c>
    </row>
    <row r="181" spans="1:44" ht="18.600000000000001" customHeight="1">
      <c r="A181" s="25">
        <f ca="1">RANK(I181,I$2:I$651)</f>
        <v>180</v>
      </c>
      <c r="B181" s="26" t="s">
        <v>252</v>
      </c>
      <c r="C181" s="27" t="s">
        <v>97</v>
      </c>
      <c r="D181" s="27" t="s">
        <v>74</v>
      </c>
      <c r="E181" s="36" t="s">
        <v>31</v>
      </c>
      <c r="F181" s="37">
        <f ca="1">VLOOKUP(B181,SP!A1:I161,IF(Settings!$J$13="points",4,7),FALSE)</f>
        <v>53</v>
      </c>
      <c r="G181" s="30">
        <f>(AC181*Settings!$F$2)+(AF181*Settings!$F$5)+(AG181*Settings!$F$6)+(AH181*Settings!$F$7)+(AI181*Settings!$F$8)+(AJ181*Settings!$F$9)+(AK181*Settings!$F$10)+(AL181*Settings!$F$11)+(AM181*Settings!$F$12)+(AN181*Settings!$F$13)+(AO181*Settings!$F$14)+(AP181*Settings!$F$15)+(AQ181*Settings!$F$16)+(AR181*Settings!$F$17)</f>
        <v>320.11833333333334</v>
      </c>
      <c r="H181" s="31">
        <f>VLOOKUP(B181,'Standard Deviations'!$A1:$D651,4,FALSE)</f>
        <v>1.5241535622961777</v>
      </c>
      <c r="I181" s="32">
        <f ca="1">IF(Settings!$J$16="no",VLOOKUP(B181,SP!A1:I161,IF(Settings!$J$13="points",6,9),FALSE),VLOOKUP(B181,'SP+RP'!$A1:$I251,IF(Settings!$J$13="points",6,9),FALSE))</f>
        <v>2.3917373905199573</v>
      </c>
      <c r="J181" s="31"/>
      <c r="K181" s="31">
        <f ca="1">J181-A181</f>
        <v>-180</v>
      </c>
      <c r="L181" s="31"/>
      <c r="M181" s="31"/>
      <c r="N181" s="31"/>
      <c r="O181" s="31"/>
      <c r="P181" s="31"/>
      <c r="Q181" s="31"/>
      <c r="R181" s="152"/>
      <c r="S181" s="152"/>
      <c r="T181" s="154"/>
      <c r="U181" s="154"/>
      <c r="V181" s="154"/>
      <c r="W181" s="154"/>
      <c r="X181" s="154"/>
      <c r="Y181" s="152"/>
      <c r="Z181" s="152"/>
      <c r="AA181" s="31"/>
      <c r="AB181" s="31"/>
      <c r="AC181" s="31">
        <f>VLOOKUP($B181,Pitchers!$A1:$S251,4,FALSE)</f>
        <v>130.7222222222222</v>
      </c>
      <c r="AD181" s="33">
        <f>VLOOKUP($B181,Pitchers!$A1:$S251,5,FALSE)</f>
        <v>3.7080917977050576</v>
      </c>
      <c r="AE181" s="33">
        <f>VLOOKUP($B181,Pitchers!$A1:$S251,6,FALSE)</f>
        <v>1.1689247768805779</v>
      </c>
      <c r="AF181" s="31">
        <f>VLOOKUP($B181,Pitchers!$A1:$S251,7,FALSE)</f>
        <v>145.83666666666667</v>
      </c>
      <c r="AG181" s="31">
        <f>VLOOKUP($B181,Pitchers!$A1:$S251,8,FALSE)</f>
        <v>8.7733333333333334</v>
      </c>
      <c r="AH181" s="31">
        <f>VLOOKUP($B181,Pitchers!$A1:$S251,9,FALSE)</f>
        <v>0</v>
      </c>
      <c r="AI181" s="31">
        <f>VLOOKUP($B181,Pitchers!$A1:$S251,10,FALSE)</f>
        <v>53.858888888888885</v>
      </c>
      <c r="AJ181" s="31">
        <f>VLOOKUP($B181,Pitchers!$A1:$S251,11,FALSE)</f>
        <v>104.55444444444443</v>
      </c>
      <c r="AK181" s="31">
        <f>VLOOKUP($B181,Pitchers!$A1:$S251,12,FALSE)</f>
        <v>48.25</v>
      </c>
      <c r="AL181" s="31">
        <f>VLOOKUP($B181,Pitchers!$A1:$S251,13,FALSE)</f>
        <v>16.166666666666668</v>
      </c>
      <c r="AM181" s="31">
        <f>VLOOKUP($B181,Pitchers!$A1:$S251,14,FALSE)</f>
        <v>25.97</v>
      </c>
      <c r="AN181" s="31">
        <f>VLOOKUP($B181,Pitchers!$A1:$S251,15,FALSE)</f>
        <v>24.888333333333332</v>
      </c>
      <c r="AO181" s="31">
        <f>VLOOKUP($B181,Pitchers!$A1:$S251,16,FALSE)</f>
        <v>6.543333333333333</v>
      </c>
      <c r="AP181" s="31">
        <f>VLOOKUP($B181,Pitchers!$A1:$S251,17,FALSE)</f>
        <v>11</v>
      </c>
      <c r="AQ181" s="31">
        <f>VLOOKUP($B181,Pitchers!$A1:$S251,18,FALSE)</f>
        <v>0</v>
      </c>
      <c r="AR181" s="31">
        <f>VLOOKUP($B181,Pitchers!$A1:$S251,19,FALSE)</f>
        <v>0</v>
      </c>
    </row>
    <row r="182" spans="1:44" ht="18.600000000000001" customHeight="1">
      <c r="A182" s="25">
        <f ca="1">RANK(I182,I$2:I$651)</f>
        <v>181</v>
      </c>
      <c r="B182" s="26" t="s">
        <v>251</v>
      </c>
      <c r="C182" s="27" t="s">
        <v>101</v>
      </c>
      <c r="D182" s="27" t="s">
        <v>69</v>
      </c>
      <c r="E182" s="34" t="s">
        <v>15</v>
      </c>
      <c r="F182" s="35">
        <f ca="1">VLOOKUP(B182,'3B'!A1:I55,IF(Settings!$J$13="points",4,7),FALSE)</f>
        <v>12</v>
      </c>
      <c r="G182" s="30">
        <f>(M182*Settings!$B$2)+(N182*Settings!$B$3)+(O182*Settings!$B$4)+(P182*Settings!$B$5)+(Q182*Settings!$B$6)+((T182-U182-V182-O182)*Settings!$B$9)+(U182*Settings!$B$10)+(V182*Settings!$B$11)+(W182*Settings!$B$12)+(X182*Settings!$B$13)+(AA182*Settings!$B$16)</f>
        <v>386.13944444444439</v>
      </c>
      <c r="H182" s="31">
        <f>VLOOKUP(B182,'Standard Deviations'!$A1:$D651,4,FALSE)</f>
        <v>2.6013069125651982</v>
      </c>
      <c r="I182" s="32">
        <f ca="1">IF(Settings!$J$15="no",VLOOKUP(B182,'3B'!A1:I55,IF(Settings!$J$13="points",6,9),FALSE),VLOOKUP(B182,'1B+3B'!$A1:$I104,IF(Settings!$J$13="points",6,9),FALSE))</f>
        <v>2.3758292192540189</v>
      </c>
      <c r="J182" s="31"/>
      <c r="K182" s="31">
        <f ca="1">J182-A182</f>
        <v>-181</v>
      </c>
      <c r="L182" s="31"/>
      <c r="M182" s="31">
        <f>VLOOKUP($B182,Hitters!$A1:$R401,4,FALSE)</f>
        <v>502.65555555555557</v>
      </c>
      <c r="N182" s="31">
        <f>VLOOKUP($B182,Hitters!$A1:$R401,5,FALSE)</f>
        <v>74.797777777777782</v>
      </c>
      <c r="O182" s="31">
        <f>VLOOKUP($B182,Hitters!$A1:$R401,6,FALSE)</f>
        <v>12.782222222222222</v>
      </c>
      <c r="P182" s="31">
        <f>VLOOKUP($B182,Hitters!$A1:$R401,7,FALSE)</f>
        <v>61.067777777777771</v>
      </c>
      <c r="Q182" s="31">
        <f>VLOOKUP($B182,Hitters!$A1:$R401,8,FALSE)</f>
        <v>3.9466666666666668</v>
      </c>
      <c r="R182" s="152">
        <f>VLOOKUP($B182,Hitters!$A$1:$R$401,14,FALSE)</f>
        <v>0.27763655253210723</v>
      </c>
      <c r="S182" s="152">
        <f>VLOOKUP($B182,Hitters!$A$1:$R$401,15,FALSE)</f>
        <v>0.37748739521421765</v>
      </c>
      <c r="T182" s="154">
        <f>VLOOKUP($B182,Hitters!$A$1:$R$401,9,FALSE)</f>
        <v>139.55555555555554</v>
      </c>
      <c r="U182" s="154">
        <f>VLOOKUP($B182,Hitters!$A$1:$R$401,10,FALSE)</f>
        <v>26.928888888888888</v>
      </c>
      <c r="V182" s="154">
        <f>VLOOKUP($B182,Hitters!$A$1:$R$401,11,FALSE)</f>
        <v>0.98777777777777775</v>
      </c>
      <c r="W182" s="154">
        <f>VLOOKUP($B182,Hitters!$A$1:$R$401,12,FALSE)</f>
        <v>74.155555555555551</v>
      </c>
      <c r="X182" s="154">
        <f>VLOOKUP($B182,Hitters!$A$1:$R$401,13,FALSE)</f>
        <v>77.163333333333341</v>
      </c>
      <c r="Y182" s="152">
        <f>VLOOKUP($B182,Hitters!$A$1:$R$401,16,FALSE)</f>
        <v>0.41142819248878182</v>
      </c>
      <c r="Z182" s="152">
        <f>VLOOKUP($B182,Hitters!$A$1:$R$401,17,FALSE)</f>
        <v>0.78891558770299941</v>
      </c>
      <c r="AA182" s="31">
        <f>VLOOKUP($B182,Hitters!$A1:$R401,18,FALSE)</f>
        <v>0</v>
      </c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</row>
    <row r="183" spans="1:44" ht="18.600000000000001" customHeight="1">
      <c r="A183" s="25">
        <f ca="1">RANK(I183,I$2:I$651)</f>
        <v>182</v>
      </c>
      <c r="B183" s="26" t="s">
        <v>759</v>
      </c>
      <c r="C183" s="27" t="s">
        <v>73</v>
      </c>
      <c r="D183" s="27" t="s">
        <v>74</v>
      </c>
      <c r="E183" s="36" t="s">
        <v>31</v>
      </c>
      <c r="F183" s="37">
        <f ca="1">VLOOKUP(B183,SP!A1:I161,IF(Settings!$J$13="points",4,7),FALSE)</f>
        <v>54</v>
      </c>
      <c r="G183" s="30">
        <f>(AC183*Settings!$F$2)+(AF183*Settings!$F$5)+(AG183*Settings!$F$6)+(AH183*Settings!$F$7)+(AI183*Settings!$F$8)+(AJ183*Settings!$F$9)+(AK183*Settings!$F$10)+(AL183*Settings!$F$11)+(AM183*Settings!$F$12)+(AN183*Settings!$F$13)+(AO183*Settings!$F$14)+(AP183*Settings!$F$15)+(AQ183*Settings!$F$16)+(AR183*Settings!$F$17)</f>
        <v>315.09999999999997</v>
      </c>
      <c r="H183" s="31">
        <f>VLOOKUP(B183,'Standard Deviations'!$A1:$D651,4,FALSE)</f>
        <v>1.5062186591192035</v>
      </c>
      <c r="I183" s="32">
        <f ca="1">IF(Settings!$J$16="no",VLOOKUP(B183,SP!A1:I161,IF(Settings!$J$13="points",6,9),FALSE),VLOOKUP(B183,'SP+RP'!$A1:$I251,IF(Settings!$J$13="points",6,9),FALSE))</f>
        <v>2.3737953522671313</v>
      </c>
      <c r="J183" s="31"/>
      <c r="K183" s="31">
        <f ca="1">J183-A183</f>
        <v>-182</v>
      </c>
      <c r="L183" s="31"/>
      <c r="M183" s="31"/>
      <c r="N183" s="31"/>
      <c r="O183" s="31"/>
      <c r="P183" s="31"/>
      <c r="Q183" s="31"/>
      <c r="R183" s="152"/>
      <c r="S183" s="152"/>
      <c r="T183" s="154"/>
      <c r="U183" s="154"/>
      <c r="V183" s="154"/>
      <c r="W183" s="154"/>
      <c r="X183" s="154"/>
      <c r="Y183" s="152"/>
      <c r="Z183" s="152"/>
      <c r="AA183" s="31"/>
      <c r="AB183" s="31"/>
      <c r="AC183" s="31">
        <f>VLOOKUP($B183,Pitchers!$A1:$S251,4,FALSE)</f>
        <v>147.1</v>
      </c>
      <c r="AD183" s="33">
        <f>VLOOKUP($B183,Pitchers!$A1:$S251,5,FALSE)</f>
        <v>3.5893949694085658</v>
      </c>
      <c r="AE183" s="33">
        <f>VLOOKUP($B183,Pitchers!$A1:$S251,6,FALSE)</f>
        <v>1.1307500566508046</v>
      </c>
      <c r="AF183" s="31">
        <f>VLOOKUP($B183,Pitchers!$A1:$S251,7,FALSE)</f>
        <v>158.66666666666666</v>
      </c>
      <c r="AG183" s="31">
        <f>VLOOKUP($B183,Pitchers!$A1:$S251,8,FALSE)</f>
        <v>5.3999999999999995</v>
      </c>
      <c r="AH183" s="31">
        <f>VLOOKUP($B183,Pitchers!$A1:$S251,9,FALSE)</f>
        <v>0</v>
      </c>
      <c r="AI183" s="31">
        <f>VLOOKUP($B183,Pitchers!$A1:$S251,10,FALSE)</f>
        <v>58.666666666666664</v>
      </c>
      <c r="AJ183" s="31">
        <f>VLOOKUP($B183,Pitchers!$A1:$S251,11,FALSE)</f>
        <v>118</v>
      </c>
      <c r="AK183" s="31">
        <f>VLOOKUP($B183,Pitchers!$A1:$S251,12,FALSE)</f>
        <v>48.333333333333336</v>
      </c>
      <c r="AL183" s="31">
        <f>VLOOKUP($B183,Pitchers!$A1:$S251,13,FALSE)</f>
        <v>15.799999999999999</v>
      </c>
      <c r="AM183" s="31">
        <f>VLOOKUP($B183,Pitchers!$A1:$S251,14,FALSE)</f>
        <v>60.706666666666671</v>
      </c>
      <c r="AN183" s="31">
        <f>VLOOKUP($B183,Pitchers!$A1:$S251,15,FALSE)</f>
        <v>11.408888888888889</v>
      </c>
      <c r="AO183" s="31">
        <f>VLOOKUP($B183,Pitchers!$A1:$S251,16,FALSE)</f>
        <v>6.0666666666666664</v>
      </c>
      <c r="AP183" s="31">
        <f>VLOOKUP($B183,Pitchers!$A1:$S251,17,FALSE)</f>
        <v>4</v>
      </c>
      <c r="AQ183" s="31">
        <f>VLOOKUP($B183,Pitchers!$A1:$S251,18,FALSE)</f>
        <v>4</v>
      </c>
      <c r="AR183" s="31">
        <f>VLOOKUP($B183,Pitchers!$A1:$S251,19,FALSE)</f>
        <v>0</v>
      </c>
    </row>
    <row r="184" spans="1:44" ht="18.600000000000001" customHeight="1">
      <c r="A184" s="25">
        <f ca="1">RANK(I184,I$2:I$651)</f>
        <v>183</v>
      </c>
      <c r="B184" s="26" t="s">
        <v>307</v>
      </c>
      <c r="C184" s="27" t="s">
        <v>134</v>
      </c>
      <c r="D184" s="27" t="s">
        <v>74</v>
      </c>
      <c r="E184" s="48" t="s">
        <v>11</v>
      </c>
      <c r="F184" s="49">
        <f ca="1">VLOOKUP(B184,'2B'!A1:I50,IF(Settings!$J$13="points",4,7),FALSE)</f>
        <v>17</v>
      </c>
      <c r="G184" s="30">
        <f>(M184*Settings!$B$2)+(N184*Settings!$B$3)+(O184*Settings!$B$4)+(P184*Settings!$B$5)+(Q184*Settings!$B$6)+((T184-U184-V184-O184)*Settings!$B$9)+(U184*Settings!$B$10)+(V184*Settings!$B$11)+(W184*Settings!$B$12)+(X184*Settings!$B$13)+(AA184*Settings!$B$16)</f>
        <v>327.45222222222225</v>
      </c>
      <c r="H184" s="31">
        <f>VLOOKUP(B184,'Standard Deviations'!$A1:$D651,4,FALSE)</f>
        <v>2.3737585531304783</v>
      </c>
      <c r="I184" s="32">
        <f ca="1">IF(Settings!$J$16="no",VLOOKUP(B184,'2B'!A1:I50,IF(Settings!$J$13="points",6,9),FALSE),VLOOKUP(B184,'2B+SS'!$A1:$I94,IF(Settings!$J$13="points",6,9),FALSE))</f>
        <v>2.3677186119388831</v>
      </c>
      <c r="J184" s="31"/>
      <c r="K184" s="31">
        <f ca="1">J184-A184</f>
        <v>-183</v>
      </c>
      <c r="L184" s="31"/>
      <c r="M184" s="31">
        <f>VLOOKUP($B184,Hitters!$A1:$R401,4,FALSE)</f>
        <v>491.38333333333338</v>
      </c>
      <c r="N184" s="31">
        <f>VLOOKUP($B184,Hitters!$A1:$R401,5,FALSE)</f>
        <v>62.317777777777771</v>
      </c>
      <c r="O184" s="31">
        <f>VLOOKUP($B184,Hitters!$A1:$R401,6,FALSE)</f>
        <v>10.548333333333334</v>
      </c>
      <c r="P184" s="31">
        <f>VLOOKUP($B184,Hitters!$A1:$R401,7,FALSE)</f>
        <v>53.238888888888887</v>
      </c>
      <c r="Q184" s="31">
        <f>VLOOKUP($B184,Hitters!$A1:$R401,8,FALSE)</f>
        <v>12.736666666666666</v>
      </c>
      <c r="R184" s="152">
        <f>VLOOKUP($B184,Hitters!$A$1:$R$401,14,FALSE)</f>
        <v>0.27242139538038868</v>
      </c>
      <c r="S184" s="152">
        <f>VLOOKUP($B184,Hitters!$A$1:$R$401,15,FALSE)</f>
        <v>0.33084474367025535</v>
      </c>
      <c r="T184" s="154">
        <f>VLOOKUP($B184,Hitters!$A$1:$R$401,9,FALSE)</f>
        <v>133.86333333333334</v>
      </c>
      <c r="U184" s="154">
        <f>VLOOKUP($B184,Hitters!$A$1:$R$401,10,FALSE)</f>
        <v>22.335555555555555</v>
      </c>
      <c r="V184" s="154">
        <f>VLOOKUP($B184,Hitters!$A$1:$R$401,11,FALSE)</f>
        <v>1.9988888888888889</v>
      </c>
      <c r="W184" s="154">
        <f>VLOOKUP($B184,Hitters!$A$1:$R$401,12,FALSE)</f>
        <v>35.476666666666667</v>
      </c>
      <c r="X184" s="154">
        <f>VLOOKUP($B184,Hitters!$A$1:$R$401,13,FALSE)</f>
        <v>81.792222222222222</v>
      </c>
      <c r="Y184" s="152">
        <f>VLOOKUP($B184,Hitters!$A$1:$R$401,16,FALSE)</f>
        <v>0.39041142353220498</v>
      </c>
      <c r="Z184" s="152">
        <f>VLOOKUP($B184,Hitters!$A$1:$R$401,17,FALSE)</f>
        <v>0.72125616720246033</v>
      </c>
      <c r="AA184" s="31">
        <f>VLOOKUP($B184,Hitters!$A1:$R401,18,FALSE)</f>
        <v>0</v>
      </c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</row>
    <row r="185" spans="1:44" ht="18.600000000000001" customHeight="1">
      <c r="A185" s="25">
        <f ca="1">RANK(I185,I$2:I$651)</f>
        <v>184</v>
      </c>
      <c r="B185" s="26" t="s">
        <v>267</v>
      </c>
      <c r="C185" s="27" t="s">
        <v>73</v>
      </c>
      <c r="D185" s="27" t="s">
        <v>74</v>
      </c>
      <c r="E185" s="46" t="s">
        <v>19</v>
      </c>
      <c r="F185" s="47">
        <f ca="1">VLOOKUP(B185,'C'!A1:I54,IF(Settings!$J$13="points",4,7),FALSE)</f>
        <v>8</v>
      </c>
      <c r="G185" s="30">
        <f>(M185*Settings!$B$2)+(N185*Settings!$B$3)+(O185*Settings!$B$4)+(P185*Settings!$B$5)+(Q185*Settings!$B$6)+((T185-U185-V185-O185)*Settings!$B$9)+(U185*Settings!$B$10)+(V185*Settings!$B$11)+(W185*Settings!$B$12)+(X185*Settings!$B$13)+(AA185*Settings!$B$16)</f>
        <v>336.10944444444442</v>
      </c>
      <c r="H185" s="31">
        <f>VLOOKUP(B185,'Standard Deviations'!$A1:$D651,4,FALSE)</f>
        <v>1.5601845009677435</v>
      </c>
      <c r="I185" s="32">
        <f ca="1">VLOOKUP(B185,'C'!A1:I54,IF(Settings!$J$13="points",6,9),FALSE)</f>
        <v>2.3467100854534468</v>
      </c>
      <c r="J185" s="31"/>
      <c r="K185" s="31">
        <f ca="1">J185-A185</f>
        <v>-184</v>
      </c>
      <c r="L185" s="31"/>
      <c r="M185" s="31">
        <f>VLOOKUP($B185,Hitters!$A1:$R401,4,FALSE)</f>
        <v>474.62222222222226</v>
      </c>
      <c r="N185" s="31">
        <f>VLOOKUP($B185,Hitters!$A1:$R401,5,FALSE)</f>
        <v>66.338888888888889</v>
      </c>
      <c r="O185" s="31">
        <f>VLOOKUP($B185,Hitters!$A1:$R401,6,FALSE)</f>
        <v>19.996666666666666</v>
      </c>
      <c r="P185" s="31">
        <f>VLOOKUP($B185,Hitters!$A1:$R401,7,FALSE)</f>
        <v>70.305555555555557</v>
      </c>
      <c r="Q185" s="31">
        <f>VLOOKUP($B185,Hitters!$A1:$R401,8,FALSE)</f>
        <v>0.99888888888888883</v>
      </c>
      <c r="R185" s="152">
        <f>VLOOKUP($B185,Hitters!$A$1:$R$401,14,FALSE)</f>
        <v>0.24769875456503415</v>
      </c>
      <c r="S185" s="152">
        <f>VLOOKUP($B185,Hitters!$A$1:$R$401,15,FALSE)</f>
        <v>0.32862394611671936</v>
      </c>
      <c r="T185" s="154">
        <f>VLOOKUP($B185,Hitters!$A$1:$R$401,9,FALSE)</f>
        <v>117.56333333333333</v>
      </c>
      <c r="U185" s="154">
        <f>VLOOKUP($B185,Hitters!$A$1:$R$401,10,FALSE)</f>
        <v>27.425555555555558</v>
      </c>
      <c r="V185" s="154">
        <f>VLOOKUP($B185,Hitters!$A$1:$R$401,11,FALSE)</f>
        <v>1.0216666666666667</v>
      </c>
      <c r="W185" s="154">
        <f>VLOOKUP($B185,Hitters!$A$1:$R$401,12,FALSE)</f>
        <v>49.99</v>
      </c>
      <c r="X185" s="154">
        <f>VLOOKUP($B185,Hitters!$A$1:$R$401,13,FALSE)</f>
        <v>119.08999999999999</v>
      </c>
      <c r="Y185" s="152">
        <f>VLOOKUP($B185,Hitters!$A$1:$R$401,16,FALSE)</f>
        <v>0.43618316321752976</v>
      </c>
      <c r="Z185" s="152">
        <f>VLOOKUP($B185,Hitters!$A$1:$R$401,17,FALSE)</f>
        <v>0.76480710933424911</v>
      </c>
      <c r="AA185" s="31">
        <f>VLOOKUP($B185,Hitters!$A1:$R401,18,FALSE)</f>
        <v>0</v>
      </c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</row>
    <row r="186" spans="1:44" ht="18.600000000000001" customHeight="1">
      <c r="A186" s="25">
        <f ca="1">RANK(I186,I$2:I$651)</f>
        <v>185</v>
      </c>
      <c r="B186" s="26" t="s">
        <v>215</v>
      </c>
      <c r="C186" s="27" t="s">
        <v>120</v>
      </c>
      <c r="D186" s="27" t="s">
        <v>74</v>
      </c>
      <c r="E186" s="28" t="s">
        <v>23</v>
      </c>
      <c r="F186" s="29">
        <f ca="1">VLOOKUP(B186,OF!A1:I139,IF(Settings!$J$13="points",4,7),FALSE)</f>
        <v>39</v>
      </c>
      <c r="G186" s="30">
        <f>(M186*Settings!$B$2)+(N186*Settings!$B$3)+(O186*Settings!$B$4)+(P186*Settings!$B$5)+(Q186*Settings!$B$6)+((T186-U186-V186-O186)*Settings!$B$9)+(U186*Settings!$B$10)+(V186*Settings!$B$11)+(W186*Settings!$B$12)+(X186*Settings!$B$13)+(AA186*Settings!$B$16)</f>
        <v>322.22666666666669</v>
      </c>
      <c r="H186" s="31">
        <f>VLOOKUP(B186,'Standard Deviations'!$A1:$D651,4,FALSE)</f>
        <v>2.1763944914278768</v>
      </c>
      <c r="I186" s="32">
        <f ca="1">VLOOKUP(B186,OF!A1:I139,IF(Settings!$J$13="points",6,9),FALSE)</f>
        <v>2.3333268323365464</v>
      </c>
      <c r="J186" s="31"/>
      <c r="K186" s="31">
        <f ca="1">J186-A186</f>
        <v>-185</v>
      </c>
      <c r="L186" s="31"/>
      <c r="M186" s="31">
        <f>VLOOKUP($B186,Hitters!$A1:$R401,4,FALSE)</f>
        <v>482.85000000000008</v>
      </c>
      <c r="N186" s="31">
        <f>VLOOKUP($B186,Hitters!$A1:$R401,5,FALSE)</f>
        <v>58.95333333333334</v>
      </c>
      <c r="O186" s="31">
        <f>VLOOKUP($B186,Hitters!$A1:$R401,6,FALSE)</f>
        <v>12.925555555555556</v>
      </c>
      <c r="P186" s="31">
        <f>VLOOKUP($B186,Hitters!$A1:$R401,7,FALSE)</f>
        <v>62.176666666666669</v>
      </c>
      <c r="Q186" s="31">
        <f>VLOOKUP($B186,Hitters!$A1:$R401,8,FALSE)</f>
        <v>4.8600000000000003</v>
      </c>
      <c r="R186" s="152">
        <f>VLOOKUP($B186,Hitters!$A$1:$R$401,14,FALSE)</f>
        <v>0.27953815884850364</v>
      </c>
      <c r="S186" s="152">
        <f>VLOOKUP($B186,Hitters!$A$1:$R$401,15,FALSE)</f>
        <v>0.33406212597702883</v>
      </c>
      <c r="T186" s="154">
        <f>VLOOKUP($B186,Hitters!$A$1:$R$401,9,FALSE)</f>
        <v>134.97499999999999</v>
      </c>
      <c r="U186" s="154">
        <f>VLOOKUP($B186,Hitters!$A$1:$R$401,10,FALSE)</f>
        <v>28.866666666666671</v>
      </c>
      <c r="V186" s="154">
        <f>VLOOKUP($B186,Hitters!$A$1:$R$401,11,FALSE)</f>
        <v>1.9955555555555555</v>
      </c>
      <c r="W186" s="154">
        <f>VLOOKUP($B186,Hitters!$A$1:$R$401,12,FALSE)</f>
        <v>32.306666666666665</v>
      </c>
      <c r="X186" s="154">
        <f>VLOOKUP($B186,Hitters!$A$1:$R$401,13,FALSE)</f>
        <v>95.078888888888898</v>
      </c>
      <c r="Y186" s="152">
        <f>VLOOKUP($B186,Hitters!$A$1:$R$401,16,FALSE)</f>
        <v>0.42789571180375774</v>
      </c>
      <c r="Z186" s="152">
        <f>VLOOKUP($B186,Hitters!$A$1:$R$401,17,FALSE)</f>
        <v>0.76195783778078652</v>
      </c>
      <c r="AA186" s="31">
        <f>VLOOKUP($B186,Hitters!$A1:$R401,18,FALSE)</f>
        <v>0</v>
      </c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</row>
    <row r="187" spans="1:44" ht="18.600000000000001" customHeight="1">
      <c r="A187" s="25">
        <f ca="1">RANK(I187,I$2:I$651)</f>
        <v>186</v>
      </c>
      <c r="B187" s="26" t="s">
        <v>216</v>
      </c>
      <c r="C187" s="27" t="s">
        <v>217</v>
      </c>
      <c r="D187" s="27" t="s">
        <v>74</v>
      </c>
      <c r="E187" s="28" t="s">
        <v>23</v>
      </c>
      <c r="F187" s="29">
        <f ca="1">VLOOKUP(B187,OF!A1:I139,IF(Settings!$J$13="points",4,7),FALSE)</f>
        <v>40</v>
      </c>
      <c r="G187" s="30">
        <f>(M187*Settings!$B$2)+(N187*Settings!$B$3)+(O187*Settings!$B$4)+(P187*Settings!$B$5)+(Q187*Settings!$B$6)+((T187-U187-V187-O187)*Settings!$B$9)+(U187*Settings!$B$10)+(V187*Settings!$B$11)+(W187*Settings!$B$12)+(X187*Settings!$B$13)+(AA187*Settings!$B$16)</f>
        <v>335.47999999999996</v>
      </c>
      <c r="H187" s="31">
        <f>VLOOKUP(B187,'Standard Deviations'!$A1:$D651,4,FALSE)</f>
        <v>2.1555914804261267</v>
      </c>
      <c r="I187" s="32">
        <f ca="1">VLOOKUP(B187,OF!A1:I139,IF(Settings!$J$13="points",6,9),FALSE)</f>
        <v>2.3125191015309241</v>
      </c>
      <c r="J187" s="31"/>
      <c r="K187" s="31">
        <f ca="1">J187-A187</f>
        <v>-186</v>
      </c>
      <c r="L187" s="31"/>
      <c r="M187" s="31">
        <f>VLOOKUP($B187,Hitters!$A1:$R401,4,FALSE)</f>
        <v>476.93333333333339</v>
      </c>
      <c r="N187" s="31">
        <f>VLOOKUP($B187,Hitters!$A1:$R401,5,FALSE)</f>
        <v>68.896666666666661</v>
      </c>
      <c r="O187" s="31">
        <f>VLOOKUP($B187,Hitters!$A1:$R401,6,FALSE)</f>
        <v>21.891666666666666</v>
      </c>
      <c r="P187" s="31">
        <f>VLOOKUP($B187,Hitters!$A1:$R401,7,FALSE)</f>
        <v>70.516666666666666</v>
      </c>
      <c r="Q187" s="31">
        <f>VLOOKUP($B187,Hitters!$A1:$R401,8,FALSE)</f>
        <v>1.1883333333333332</v>
      </c>
      <c r="R187" s="152">
        <f>VLOOKUP($B187,Hitters!$A$1:$R$401,14,FALSE)</f>
        <v>0.25161448140900194</v>
      </c>
      <c r="S187" s="152">
        <f>VLOOKUP($B187,Hitters!$A$1:$R$401,15,FALSE)</f>
        <v>0.32727224887731443</v>
      </c>
      <c r="T187" s="154">
        <f>VLOOKUP($B187,Hitters!$A$1:$R$401,9,FALSE)</f>
        <v>120.00333333333334</v>
      </c>
      <c r="U187" s="154">
        <f>VLOOKUP($B187,Hitters!$A$1:$R$401,10,FALSE)</f>
        <v>21.511666666666667</v>
      </c>
      <c r="V187" s="154">
        <f>VLOOKUP($B187,Hitters!$A$1:$R$401,11,FALSE)</f>
        <v>1.9866666666666666</v>
      </c>
      <c r="W187" s="154">
        <f>VLOOKUP($B187,Hitters!$A$1:$R$401,12,FALSE)</f>
        <v>46.354999999999997</v>
      </c>
      <c r="X187" s="154">
        <f>VLOOKUP($B187,Hitters!$A$1:$R$401,13,FALSE)</f>
        <v>127.65666666666668</v>
      </c>
      <c r="Y187" s="152">
        <f>VLOOKUP($B187,Hitters!$A$1:$R$401,16,FALSE)</f>
        <v>0.44275230640201285</v>
      </c>
      <c r="Z187" s="152">
        <f>VLOOKUP($B187,Hitters!$A$1:$R$401,17,FALSE)</f>
        <v>0.77002455527932723</v>
      </c>
      <c r="AA187" s="31">
        <f>VLOOKUP($B187,Hitters!$A1:$R401,18,FALSE)</f>
        <v>0</v>
      </c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</row>
    <row r="188" spans="1:44" ht="18.600000000000001" customHeight="1">
      <c r="A188" s="25">
        <f ca="1">RANK(I188,I$2:I$651)</f>
        <v>187</v>
      </c>
      <c r="B188" s="26" t="s">
        <v>273</v>
      </c>
      <c r="C188" s="27" t="s">
        <v>86</v>
      </c>
      <c r="D188" s="27" t="s">
        <v>69</v>
      </c>
      <c r="E188" s="36" t="s">
        <v>31</v>
      </c>
      <c r="F188" s="37">
        <f ca="1">VLOOKUP(B188,SP!A1:I161,IF(Settings!$J$13="points",4,7),FALSE)</f>
        <v>55</v>
      </c>
      <c r="G188" s="30">
        <f>(AC188*Settings!$F$2)+(AF188*Settings!$F$5)+(AG188*Settings!$F$6)+(AH188*Settings!$F$7)+(AI188*Settings!$F$8)+(AJ188*Settings!$F$9)+(AK188*Settings!$F$10)+(AL188*Settings!$F$11)+(AM188*Settings!$F$12)+(AN188*Settings!$F$13)+(AO188*Settings!$F$14)+(AP188*Settings!$F$15)+(AQ188*Settings!$F$16)+(AR188*Settings!$F$17)</f>
        <v>322.71000000000009</v>
      </c>
      <c r="H188" s="31">
        <f>VLOOKUP(B188,'Standard Deviations'!$A1:$D651,4,FALSE)</f>
        <v>1.4133971671178882</v>
      </c>
      <c r="I188" s="32">
        <f ca="1">IF(Settings!$J$16="no",VLOOKUP(B188,SP!A1:I161,IF(Settings!$J$13="points",6,9),FALSE),VLOOKUP(B188,'SP+RP'!$A1:$I251,IF(Settings!$J$13="points",6,9),FALSE))</f>
        <v>2.2809742304327427</v>
      </c>
      <c r="J188" s="31"/>
      <c r="K188" s="31">
        <f ca="1">J188-A188</f>
        <v>-187</v>
      </c>
      <c r="L188" s="31"/>
      <c r="M188" s="31"/>
      <c r="N188" s="31"/>
      <c r="O188" s="31"/>
      <c r="P188" s="31"/>
      <c r="Q188" s="31"/>
      <c r="R188" s="152"/>
      <c r="S188" s="152"/>
      <c r="T188" s="154"/>
      <c r="U188" s="154"/>
      <c r="V188" s="154"/>
      <c r="W188" s="154"/>
      <c r="X188" s="154"/>
      <c r="Y188" s="152"/>
      <c r="Z188" s="152"/>
      <c r="AA188" s="31"/>
      <c r="AB188" s="31"/>
      <c r="AC188" s="31">
        <f>VLOOKUP($B188,Pitchers!$A1:$S251,4,FALSE)</f>
        <v>133.3077777777778</v>
      </c>
      <c r="AD188" s="33">
        <f>VLOOKUP($B188,Pitchers!$A1:$S251,5,FALSE)</f>
        <v>3.8530384990456494</v>
      </c>
      <c r="AE188" s="33">
        <f>VLOOKUP($B188,Pitchers!$A1:$S251,6,FALSE)</f>
        <v>1.1476949748701832</v>
      </c>
      <c r="AF188" s="31">
        <f>VLOOKUP($B188,Pitchers!$A1:$S251,7,FALSE)</f>
        <v>158.6577777777778</v>
      </c>
      <c r="AG188" s="31">
        <f>VLOOKUP($B188,Pitchers!$A1:$S251,8,FALSE)</f>
        <v>7.7822222222222228</v>
      </c>
      <c r="AH188" s="31">
        <f>VLOOKUP($B188,Pitchers!$A1:$S251,9,FALSE)</f>
        <v>0</v>
      </c>
      <c r="AI188" s="31">
        <f>VLOOKUP($B188,Pitchers!$A1:$S251,10,FALSE)</f>
        <v>57.071111111111115</v>
      </c>
      <c r="AJ188" s="31">
        <f>VLOOKUP($B188,Pitchers!$A1:$S251,11,FALSE)</f>
        <v>115.88</v>
      </c>
      <c r="AK188" s="31">
        <f>VLOOKUP($B188,Pitchers!$A1:$S251,12,FALSE)</f>
        <v>37.116666666666667</v>
      </c>
      <c r="AL188" s="31">
        <f>VLOOKUP($B188,Pitchers!$A1:$S251,13,FALSE)</f>
        <v>19.95</v>
      </c>
      <c r="AM188" s="31">
        <f>VLOOKUP($B188,Pitchers!$A1:$S251,14,FALSE)</f>
        <v>25.941666666666666</v>
      </c>
      <c r="AN188" s="31">
        <f>VLOOKUP($B188,Pitchers!$A1:$S251,15,FALSE)</f>
        <v>25.941666666666666</v>
      </c>
      <c r="AO188" s="31">
        <f>VLOOKUP($B188,Pitchers!$A1:$S251,16,FALSE)</f>
        <v>7.9899999999999993</v>
      </c>
      <c r="AP188" s="31">
        <f>VLOOKUP($B188,Pitchers!$A1:$S251,17,FALSE)</f>
        <v>13</v>
      </c>
      <c r="AQ188" s="31">
        <f>VLOOKUP($B188,Pitchers!$A1:$S251,18,FALSE)</f>
        <v>0</v>
      </c>
      <c r="AR188" s="31">
        <f>VLOOKUP($B188,Pitchers!$A1:$S251,19,FALSE)</f>
        <v>0</v>
      </c>
    </row>
    <row r="189" spans="1:44" ht="18.600000000000001" customHeight="1">
      <c r="A189" s="25">
        <f ca="1">RANK(I189,I$2:I$651)</f>
        <v>188</v>
      </c>
      <c r="B189" s="26" t="s">
        <v>366</v>
      </c>
      <c r="C189" s="27" t="s">
        <v>81</v>
      </c>
      <c r="D189" s="27" t="s">
        <v>74</v>
      </c>
      <c r="E189" s="40" t="s">
        <v>7</v>
      </c>
      <c r="F189" s="41">
        <f ca="1">VLOOKUP(B189,'1B'!A1:I63,IF(Settings!$J$13="points",4,7),FALSE)</f>
        <v>20</v>
      </c>
      <c r="G189" s="30">
        <f>(M189*Settings!$B$2)+(N189*Settings!$B$3)+(O189*Settings!$B$4)+(P189*Settings!$B$5)+(Q189*Settings!$B$6)+((T189-U189-V189-O189)*Settings!$B$9)+(U189*Settings!$B$10)+(V189*Settings!$B$11)+(W189*Settings!$B$12)+(X189*Settings!$B$13)+(AA189*Settings!$B$16)</f>
        <v>388.28611111111115</v>
      </c>
      <c r="H189" s="31">
        <f>VLOOKUP(B189,'Standard Deviations'!$A1:$D651,4,FALSE)</f>
        <v>2.4772588685216395</v>
      </c>
      <c r="I189" s="32">
        <f ca="1">IF(Settings!$J$15="no",VLOOKUP(B189,'1B'!A1:I63,IF(Settings!$J$13="points",6,9),FALSE),VLOOKUP(B189,'1B+3B'!$A1:$I104,IF(Settings!$J$13="points",6,9),FALSE))</f>
        <v>2.2517838704154673</v>
      </c>
      <c r="J189" s="31"/>
      <c r="K189" s="31">
        <f ca="1">J189-A189</f>
        <v>-188</v>
      </c>
      <c r="L189" s="31"/>
      <c r="M189" s="31">
        <f>VLOOKUP($B189,Hitters!$A1:$R401,4,FALSE)</f>
        <v>481.17777777777775</v>
      </c>
      <c r="N189" s="31">
        <f>VLOOKUP($B189,Hitters!$A1:$R401,5,FALSE)</f>
        <v>77.447777777777773</v>
      </c>
      <c r="O189" s="31">
        <f>VLOOKUP($B189,Hitters!$A1:$R401,6,FALSE)</f>
        <v>25.929999999999996</v>
      </c>
      <c r="P189" s="31">
        <f>VLOOKUP($B189,Hitters!$A1:$R401,7,FALSE)</f>
        <v>78.581111111111113</v>
      </c>
      <c r="Q189" s="31">
        <f>VLOOKUP($B189,Hitters!$A1:$R401,8,FALSE)</f>
        <v>1.9988888888888889</v>
      </c>
      <c r="R189" s="152">
        <f>VLOOKUP($B189,Hitters!$A$1:$R$401,14,FALSE)</f>
        <v>0.23130744007758741</v>
      </c>
      <c r="S189" s="152">
        <f>VLOOKUP($B189,Hitters!$A$1:$R$401,15,FALSE)</f>
        <v>0.35106247353102288</v>
      </c>
      <c r="T189" s="154">
        <f>VLOOKUP($B189,Hitters!$A$1:$R$401,9,FALSE)</f>
        <v>111.3</v>
      </c>
      <c r="U189" s="154">
        <f>VLOOKUP($B189,Hitters!$A$1:$R$401,10,FALSE)</f>
        <v>22.709999999999997</v>
      </c>
      <c r="V189" s="154">
        <f>VLOOKUP($B189,Hitters!$A$1:$R$401,11,FALSE)</f>
        <v>1.0016666666666667</v>
      </c>
      <c r="W189" s="154">
        <f>VLOOKUP($B189,Hitters!$A$1:$R$401,12,FALSE)</f>
        <v>81.973333333333343</v>
      </c>
      <c r="X189" s="154">
        <f>VLOOKUP($B189,Hitters!$A$1:$R$401,13,FALSE)</f>
        <v>135.03444444444446</v>
      </c>
      <c r="Y189" s="152">
        <f>VLOOKUP($B189,Hitters!$A$1:$R$401,16,FALSE)</f>
        <v>0.44433334872765901</v>
      </c>
      <c r="Z189" s="152">
        <f>VLOOKUP($B189,Hitters!$A$1:$R$401,17,FALSE)</f>
        <v>0.79539582225868188</v>
      </c>
      <c r="AA189" s="31">
        <f>VLOOKUP($B189,Hitters!$A1:$R401,18,FALSE)</f>
        <v>0</v>
      </c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</row>
    <row r="190" spans="1:44" ht="18.600000000000001" customHeight="1">
      <c r="A190" s="25">
        <f ca="1">RANK(I190,I$2:I$651)</f>
        <v>189</v>
      </c>
      <c r="B190" s="26" t="s">
        <v>352</v>
      </c>
      <c r="C190" s="27" t="s">
        <v>101</v>
      </c>
      <c r="D190" s="27" t="s">
        <v>69</v>
      </c>
      <c r="E190" s="42" t="s">
        <v>34</v>
      </c>
      <c r="F190" s="43">
        <f ca="1">VLOOKUP(B190,RP!A1:I91,IF(Settings!$J$13="points",4,7),FALSE)</f>
        <v>20</v>
      </c>
      <c r="G190" s="30">
        <f>(AC190*Settings!$F$2)+(AF190*Settings!$F$5)+(AG190*Settings!$F$6)+(AH190*Settings!$F$7)+(AI190*Settings!$F$8)+(AJ190*Settings!$F$9)+(AK190*Settings!$F$10)+(AL190*Settings!$F$11)+(AM190*Settings!$F$12)+(AN190*Settings!$F$13)+(AO190*Settings!$F$14)+(AP190*Settings!$F$15)+(AQ190*Settings!$F$16)+(AR190*Settings!$F$17)</f>
        <v>204.64277777777781</v>
      </c>
      <c r="H190" s="31">
        <f>VLOOKUP(B190,'Standard Deviations'!$A1:$D651,4,FALSE)</f>
        <v>1.3727206620167185</v>
      </c>
      <c r="I190" s="32">
        <f ca="1">IF(Settings!$J$16="no",VLOOKUP(B190,RP!A1:I91,IF(Settings!$J$13="points",6,9),FALSE),VLOOKUP(B190,'SP+RP'!$A1:$I251,IF(Settings!$J$13="points",6,9),FALSE))</f>
        <v>2.2402980985667726</v>
      </c>
      <c r="J190" s="31"/>
      <c r="K190" s="31">
        <f ca="1">J190-A190</f>
        <v>-189</v>
      </c>
      <c r="L190" s="31"/>
      <c r="M190" s="31"/>
      <c r="N190" s="31"/>
      <c r="O190" s="31"/>
      <c r="P190" s="31"/>
      <c r="Q190" s="31"/>
      <c r="R190" s="152"/>
      <c r="S190" s="152"/>
      <c r="T190" s="154"/>
      <c r="U190" s="154"/>
      <c r="V190" s="154"/>
      <c r="W190" s="154"/>
      <c r="X190" s="154"/>
      <c r="Y190" s="152"/>
      <c r="Z190" s="152"/>
      <c r="AA190" s="31"/>
      <c r="AB190" s="31"/>
      <c r="AC190" s="31">
        <f>VLOOKUP($B190,Pitchers!$A1:$S251,4,FALSE)</f>
        <v>62.135555555555555</v>
      </c>
      <c r="AD190" s="33">
        <f>VLOOKUP($B190,Pitchers!$A1:$S251,5,FALSE)</f>
        <v>3.2565895354243413</v>
      </c>
      <c r="AE190" s="33">
        <f>VLOOKUP($B190,Pitchers!$A1:$S251,6,FALSE)</f>
        <v>1.0983512749901649</v>
      </c>
      <c r="AF190" s="31">
        <f>VLOOKUP($B190,Pitchers!$A1:$S251,7,FALSE)</f>
        <v>73.792222222222222</v>
      </c>
      <c r="AG190" s="31">
        <f>VLOOKUP($B190,Pitchers!$A1:$S251,8,FALSE)</f>
        <v>2.9933333333333336</v>
      </c>
      <c r="AH190" s="31">
        <f>VLOOKUP($B190,Pitchers!$A1:$S251,9,FALSE)</f>
        <v>9.4333333333333336</v>
      </c>
      <c r="AI190" s="31">
        <f>VLOOKUP($B190,Pitchers!$A1:$S251,10,FALSE)</f>
        <v>22.483333333333334</v>
      </c>
      <c r="AJ190" s="31">
        <f>VLOOKUP($B190,Pitchers!$A1:$S251,11,FALSE)</f>
        <v>46.774444444444441</v>
      </c>
      <c r="AK190" s="31">
        <f>VLOOKUP($B190,Pitchers!$A1:$S251,12,FALSE)</f>
        <v>21.472222222222225</v>
      </c>
      <c r="AL190" s="31">
        <f>VLOOKUP($B190,Pitchers!$A1:$S251,13,FALSE)</f>
        <v>6.7</v>
      </c>
      <c r="AM190" s="31">
        <f>VLOOKUP($B190,Pitchers!$A1:$S251,14,FALSE)</f>
        <v>64.186666666666667</v>
      </c>
      <c r="AN190" s="31">
        <f>VLOOKUP($B190,Pitchers!$A1:$S251,15,FALSE)</f>
        <v>0</v>
      </c>
      <c r="AO190" s="31">
        <f>VLOOKUP($B190,Pitchers!$A1:$S251,16,FALSE)</f>
        <v>2.9833333333333329</v>
      </c>
      <c r="AP190" s="31">
        <f>VLOOKUP($B190,Pitchers!$A1:$S251,17,FALSE)</f>
        <v>0</v>
      </c>
      <c r="AQ190" s="31">
        <f>VLOOKUP($B190,Pitchers!$A1:$S251,18,FALSE)</f>
        <v>15.5</v>
      </c>
      <c r="AR190" s="31">
        <f>VLOOKUP($B190,Pitchers!$A1:$S251,19,FALSE)</f>
        <v>5</v>
      </c>
    </row>
    <row r="191" spans="1:44" ht="18.600000000000001" customHeight="1">
      <c r="A191" s="25">
        <f ca="1">RANK(I191,I$2:I$651)</f>
        <v>190</v>
      </c>
      <c r="B191" s="26" t="s">
        <v>296</v>
      </c>
      <c r="C191" s="27" t="s">
        <v>95</v>
      </c>
      <c r="D191" s="27" t="s">
        <v>74</v>
      </c>
      <c r="E191" s="36" t="s">
        <v>31</v>
      </c>
      <c r="F191" s="37">
        <f ca="1">VLOOKUP(B191,SP!A1:I161,IF(Settings!$J$13="points",4,7),FALSE)</f>
        <v>56</v>
      </c>
      <c r="G191" s="30">
        <f>(AC191*Settings!$F$2)+(AF191*Settings!$F$5)+(AG191*Settings!$F$6)+(AH191*Settings!$F$7)+(AI191*Settings!$F$8)+(AJ191*Settings!$F$9)+(AK191*Settings!$F$10)+(AL191*Settings!$F$11)+(AM191*Settings!$F$12)+(AN191*Settings!$F$13)+(AO191*Settings!$F$14)+(AP191*Settings!$F$15)+(AQ191*Settings!$F$16)+(AR191*Settings!$F$17)</f>
        <v>378.15933333333328</v>
      </c>
      <c r="H191" s="31">
        <f>VLOOKUP(B191,'Standard Deviations'!$A1:$D651,4,FALSE)</f>
        <v>1.3272169434199195</v>
      </c>
      <c r="I191" s="32">
        <f ca="1">IF(Settings!$J$16="no",VLOOKUP(B191,SP!A1:I161,IF(Settings!$J$13="points",6,9),FALSE),VLOOKUP(B191,'SP+RP'!$A1:$I251,IF(Settings!$J$13="points",6,9),FALSE))</f>
        <v>2.1948021618704976</v>
      </c>
      <c r="J191" s="31"/>
      <c r="K191" s="31">
        <f ca="1">J191-A191</f>
        <v>-190</v>
      </c>
      <c r="L191" s="31"/>
      <c r="M191" s="31"/>
      <c r="N191" s="31"/>
      <c r="O191" s="31"/>
      <c r="P191" s="31"/>
      <c r="Q191" s="31"/>
      <c r="R191" s="152"/>
      <c r="S191" s="152"/>
      <c r="T191" s="154"/>
      <c r="U191" s="154"/>
      <c r="V191" s="154"/>
      <c r="W191" s="154"/>
      <c r="X191" s="154"/>
      <c r="Y191" s="152"/>
      <c r="Z191" s="152"/>
      <c r="AA191" s="31"/>
      <c r="AB191" s="31"/>
      <c r="AC191" s="31">
        <f>VLOOKUP($B191,Pitchers!$A1:$S251,4,FALSE)</f>
        <v>157.352</v>
      </c>
      <c r="AD191" s="33">
        <f>VLOOKUP($B191,Pitchers!$A1:$S251,5,FALSE)</f>
        <v>3.8440884132391071</v>
      </c>
      <c r="AE191" s="33">
        <f>VLOOKUP($B191,Pitchers!$A1:$S251,6,FALSE)</f>
        <v>1.2430686189774094</v>
      </c>
      <c r="AF191" s="31">
        <f>VLOOKUP($B191,Pitchers!$A1:$S251,7,FALSE)</f>
        <v>165.82333333333332</v>
      </c>
      <c r="AG191" s="31">
        <f>VLOOKUP($B191,Pitchers!$A1:$S251,8,FALSE)</f>
        <v>10.503</v>
      </c>
      <c r="AH191" s="31">
        <f>VLOOKUP($B191,Pitchers!$A1:$S251,9,FALSE)</f>
        <v>0</v>
      </c>
      <c r="AI191" s="31">
        <f>VLOOKUP($B191,Pitchers!$A1:$S251,10,FALSE)</f>
        <v>67.208333333333329</v>
      </c>
      <c r="AJ191" s="31">
        <f>VLOOKUP($B191,Pitchers!$A1:$S251,11,FALSE)</f>
        <v>136.345</v>
      </c>
      <c r="AK191" s="31">
        <f>VLOOKUP($B191,Pitchers!$A1:$S251,12,FALSE)</f>
        <v>59.254333333333328</v>
      </c>
      <c r="AL191" s="31">
        <f>VLOOKUP($B191,Pitchers!$A1:$S251,13,FALSE)</f>
        <v>18.866666666666667</v>
      </c>
      <c r="AM191" s="31">
        <f>VLOOKUP($B191,Pitchers!$A1:$S251,14,FALSE)</f>
        <v>28.760999999999999</v>
      </c>
      <c r="AN191" s="31">
        <f>VLOOKUP($B191,Pitchers!$A1:$S251,15,FALSE)</f>
        <v>27.157666666666668</v>
      </c>
      <c r="AO191" s="31">
        <f>VLOOKUP($B191,Pitchers!$A1:$S251,16,FALSE)</f>
        <v>8.4243333333333332</v>
      </c>
      <c r="AP191" s="31">
        <f>VLOOKUP($B191,Pitchers!$A1:$S251,17,FALSE)</f>
        <v>18.2</v>
      </c>
      <c r="AQ191" s="31">
        <f>VLOOKUP($B191,Pitchers!$A1:$S251,18,FALSE)</f>
        <v>0</v>
      </c>
      <c r="AR191" s="31">
        <f>VLOOKUP($B191,Pitchers!$A1:$S251,19,FALSE)</f>
        <v>0</v>
      </c>
    </row>
    <row r="192" spans="1:44" ht="18.600000000000001" customHeight="1">
      <c r="A192" s="25">
        <f ca="1">RANK(I192,I$2:I$651)</f>
        <v>191</v>
      </c>
      <c r="B192" s="26" t="s">
        <v>279</v>
      </c>
      <c r="C192" s="27" t="s">
        <v>217</v>
      </c>
      <c r="D192" s="27" t="s">
        <v>74</v>
      </c>
      <c r="E192" s="28" t="s">
        <v>23</v>
      </c>
      <c r="F192" s="29">
        <f ca="1">VLOOKUP(B192,OF!A1:I139,IF(Settings!$J$13="points",4,7),FALSE)</f>
        <v>41</v>
      </c>
      <c r="G192" s="30">
        <f>(M192*Settings!$B$2)+(N192*Settings!$B$3)+(O192*Settings!$B$4)+(P192*Settings!$B$5)+(Q192*Settings!$B$6)+((T192-U192-V192-O192)*Settings!$B$9)+(U192*Settings!$B$10)+(V192*Settings!$B$11)+(W192*Settings!$B$12)+(X192*Settings!$B$13)+(AA192*Settings!$B$16)</f>
        <v>362.07194444444451</v>
      </c>
      <c r="H192" s="31">
        <f>VLOOKUP(B192,'Standard Deviations'!$A1:$D651,4,FALSE)</f>
        <v>2.0116536285793485</v>
      </c>
      <c r="I192" s="32">
        <f ca="1">VLOOKUP(B192,OF!A1:I139,IF(Settings!$J$13="points",6,9),FALSE)</f>
        <v>2.1685832113033916</v>
      </c>
      <c r="J192" s="31"/>
      <c r="K192" s="31">
        <f ca="1">J192-A192</f>
        <v>-191</v>
      </c>
      <c r="L192" s="31"/>
      <c r="M192" s="31">
        <f>VLOOKUP($B192,Hitters!$A1:$R401,4,FALSE)</f>
        <v>509.68666666666672</v>
      </c>
      <c r="N192" s="31">
        <f>VLOOKUP($B192,Hitters!$A1:$R401,5,FALSE)</f>
        <v>70.522499999999994</v>
      </c>
      <c r="O192" s="31">
        <f>VLOOKUP($B192,Hitters!$A1:$R401,6,FALSE)</f>
        <v>18.198666666666664</v>
      </c>
      <c r="P192" s="31">
        <f>VLOOKUP($B192,Hitters!$A1:$R401,7,FALSE)</f>
        <v>69.251166666666663</v>
      </c>
      <c r="Q192" s="31">
        <f>VLOOKUP($B192,Hitters!$A1:$R401,8,FALSE)</f>
        <v>4.0111666666666661</v>
      </c>
      <c r="R192" s="152">
        <f>VLOOKUP($B192,Hitters!$A$1:$R$401,14,FALSE)</f>
        <v>0.24970799053012957</v>
      </c>
      <c r="S192" s="152">
        <f>VLOOKUP($B192,Hitters!$A$1:$R$401,15,FALSE)</f>
        <v>0.34341059900391879</v>
      </c>
      <c r="T192" s="154">
        <f>VLOOKUP($B192,Hitters!$A$1:$R$401,9,FALSE)</f>
        <v>127.27283333333332</v>
      </c>
      <c r="U192" s="154">
        <f>VLOOKUP($B192,Hitters!$A$1:$R$401,10,FALSE)</f>
        <v>26.865666666666666</v>
      </c>
      <c r="V192" s="154">
        <f>VLOOKUP($B192,Hitters!$A$1:$R$401,11,FALSE)</f>
        <v>1.1543333333333332</v>
      </c>
      <c r="W192" s="154">
        <f>VLOOKUP($B192,Hitters!$A$1:$R$401,12,FALSE)</f>
        <v>65.327333333333328</v>
      </c>
      <c r="X192" s="154">
        <f>VLOOKUP($B192,Hitters!$A$1:$R$401,13,FALSE)</f>
        <v>124.1891111111111</v>
      </c>
      <c r="Y192" s="152">
        <f>VLOOKUP($B192,Hitters!$A$1:$R$401,16,FALSE)</f>
        <v>0.4140645233018978</v>
      </c>
      <c r="Z192" s="152">
        <f>VLOOKUP($B192,Hitters!$A$1:$R$401,17,FALSE)</f>
        <v>0.75747512230581659</v>
      </c>
      <c r="AA192" s="31">
        <f>VLOOKUP($B192,Hitters!$A1:$R401,18,FALSE)</f>
        <v>0</v>
      </c>
      <c r="AB192" s="31"/>
      <c r="AC192" s="31"/>
      <c r="AD192" s="33"/>
      <c r="AE192" s="33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</row>
    <row r="193" spans="1:44" ht="20.100000000000001" customHeight="1">
      <c r="A193" s="25">
        <f ca="1">RANK(I193,I$2:I$651)</f>
        <v>192</v>
      </c>
      <c r="B193" s="26" t="s">
        <v>358</v>
      </c>
      <c r="C193" s="27" t="s">
        <v>81</v>
      </c>
      <c r="D193" s="27" t="s">
        <v>74</v>
      </c>
      <c r="E193" s="42" t="s">
        <v>34</v>
      </c>
      <c r="F193" s="43">
        <f ca="1">VLOOKUP(B193,RP!A1:I91,IF(Settings!$J$13="points",4,7),FALSE)</f>
        <v>21</v>
      </c>
      <c r="G193" s="30">
        <f>(AC193*Settings!$F$2)+(AF193*Settings!$F$5)+(AG193*Settings!$F$6)+(AH193*Settings!$F$7)+(AI193*Settings!$F$8)+(AJ193*Settings!$F$9)+(AK193*Settings!$F$10)+(AL193*Settings!$F$11)+(AM193*Settings!$F$12)+(AN193*Settings!$F$13)+(AO193*Settings!$F$14)+(AP193*Settings!$F$15)+(AQ193*Settings!$F$16)+(AR193*Settings!$F$17)</f>
        <v>211.2405555555556</v>
      </c>
      <c r="H193" s="31">
        <f>VLOOKUP(B193,'Standard Deviations'!$A1:$D651,4,FALSE)</f>
        <v>1.2857448881208757</v>
      </c>
      <c r="I193" s="32">
        <f ca="1">IF(Settings!$J$16="no",VLOOKUP(B193,RP!A1:I91,IF(Settings!$J$13="points",6,9),FALSE),VLOOKUP(B193,'SP+RP'!$A1:$I251,IF(Settings!$J$13="points",6,9),FALSE))</f>
        <v>2.1533257855598915</v>
      </c>
      <c r="J193" s="31"/>
      <c r="K193" s="31">
        <f ca="1">J193-A193</f>
        <v>-192</v>
      </c>
      <c r="L193" s="31"/>
      <c r="M193" s="31"/>
      <c r="N193" s="31"/>
      <c r="O193" s="31"/>
      <c r="P193" s="31"/>
      <c r="Q193" s="31"/>
      <c r="R193" s="152"/>
      <c r="S193" s="152"/>
      <c r="T193" s="154"/>
      <c r="U193" s="154"/>
      <c r="V193" s="154"/>
      <c r="W193" s="154"/>
      <c r="X193" s="154"/>
      <c r="Y193" s="152"/>
      <c r="Z193" s="152"/>
      <c r="AA193" s="31"/>
      <c r="AB193" s="31"/>
      <c r="AC193" s="31">
        <f>VLOOKUP($B193,Pitchers!$A1:$S251,4,FALSE)</f>
        <v>63.145555555555553</v>
      </c>
      <c r="AD193" s="33">
        <f>VLOOKUP($B193,Pitchers!$A1:$S251,5,FALSE)</f>
        <v>3.216140838626806</v>
      </c>
      <c r="AE193" s="33">
        <f>VLOOKUP($B193,Pitchers!$A1:$S251,6,FALSE)</f>
        <v>1.1422639052629726</v>
      </c>
      <c r="AF193" s="31">
        <f>VLOOKUP($B193,Pitchers!$A1:$S251,7,FALSE)</f>
        <v>75.040000000000006</v>
      </c>
      <c r="AG193" s="31">
        <f>VLOOKUP($B193,Pitchers!$A1:$S251,8,FALSE)</f>
        <v>3.9944444444444449</v>
      </c>
      <c r="AH193" s="31">
        <f>VLOOKUP($B193,Pitchers!$A1:$S251,9,FALSE)</f>
        <v>9.3333333333333339</v>
      </c>
      <c r="AI193" s="31">
        <f>VLOOKUP($B193,Pitchers!$A1:$S251,10,FALSE)</f>
        <v>22.565000000000001</v>
      </c>
      <c r="AJ193" s="31">
        <f>VLOOKUP($B193,Pitchers!$A1:$S251,11,FALSE)</f>
        <v>49.708888888888886</v>
      </c>
      <c r="AK193" s="31">
        <f>VLOOKUP($B193,Pitchers!$A1:$S251,12,FALSE)</f>
        <v>22.419999999999998</v>
      </c>
      <c r="AL193" s="31">
        <f>VLOOKUP($B193,Pitchers!$A1:$S251,13,FALSE)</f>
        <v>5.95</v>
      </c>
      <c r="AM193" s="31">
        <f>VLOOKUP($B193,Pitchers!$A1:$S251,14,FALSE)</f>
        <v>61.94222222222222</v>
      </c>
      <c r="AN193" s="31">
        <f>VLOOKUP($B193,Pitchers!$A1:$S251,15,FALSE)</f>
        <v>0</v>
      </c>
      <c r="AO193" s="31">
        <f>VLOOKUP($B193,Pitchers!$A1:$S251,16,FALSE)</f>
        <v>2.8633333333333333</v>
      </c>
      <c r="AP193" s="31">
        <f>VLOOKUP($B193,Pitchers!$A1:$S251,17,FALSE)</f>
        <v>0</v>
      </c>
      <c r="AQ193" s="31">
        <f>VLOOKUP($B193,Pitchers!$A1:$S251,18,FALSE)</f>
        <v>14.5</v>
      </c>
      <c r="AR193" s="31">
        <f>VLOOKUP($B193,Pitchers!$A1:$S251,19,FALSE)</f>
        <v>6</v>
      </c>
    </row>
    <row r="194" spans="1:44" ht="18.600000000000001" customHeight="1">
      <c r="A194" s="25">
        <f ca="1">RANK(I194,I$2:I$651)</f>
        <v>193</v>
      </c>
      <c r="B194" s="26" t="s">
        <v>236</v>
      </c>
      <c r="C194" s="27" t="s">
        <v>73</v>
      </c>
      <c r="D194" s="27" t="s">
        <v>74</v>
      </c>
      <c r="E194" s="36" t="s">
        <v>31</v>
      </c>
      <c r="F194" s="37">
        <f ca="1">VLOOKUP(B194,SP!A1:I161,IF(Settings!$J$13="points",4,7),FALSE)</f>
        <v>57</v>
      </c>
      <c r="G194" s="30">
        <f>(AC194*Settings!$F$2)+(AF194*Settings!$F$5)+(AG194*Settings!$F$6)+(AH194*Settings!$F$7)+(AI194*Settings!$F$8)+(AJ194*Settings!$F$9)+(AK194*Settings!$F$10)+(AL194*Settings!$F$11)+(AM194*Settings!$F$12)+(AN194*Settings!$F$13)+(AO194*Settings!$F$14)+(AP194*Settings!$F$15)+(AQ194*Settings!$F$16)+(AR194*Settings!$F$17)</f>
        <v>397.73539999999991</v>
      </c>
      <c r="H194" s="31">
        <f>VLOOKUP(B194,'Standard Deviations'!$A1:$D651,4,FALSE)</f>
        <v>1.2721588381220803</v>
      </c>
      <c r="I194" s="32">
        <f ca="1">IF(Settings!$J$16="no",VLOOKUP(B194,SP!A1:I161,IF(Settings!$J$13="points",6,9),FALSE),VLOOKUP(B194,'SP+RP'!$A1:$I251,IF(Settings!$J$13="points",6,9),FALSE))</f>
        <v>2.1397407357837031</v>
      </c>
      <c r="J194" s="31"/>
      <c r="K194" s="31">
        <f ca="1">J194-A194</f>
        <v>-193</v>
      </c>
      <c r="L194" s="31"/>
      <c r="M194" s="31"/>
      <c r="N194" s="31"/>
      <c r="O194" s="31"/>
      <c r="P194" s="31"/>
      <c r="Q194" s="31"/>
      <c r="R194" s="152"/>
      <c r="S194" s="152"/>
      <c r="T194" s="154"/>
      <c r="U194" s="154"/>
      <c r="V194" s="154"/>
      <c r="W194" s="154"/>
      <c r="X194" s="154"/>
      <c r="Y194" s="152"/>
      <c r="Z194" s="152"/>
      <c r="AA194" s="31"/>
      <c r="AB194" s="31"/>
      <c r="AC194" s="31">
        <f>VLOOKUP($B194,Pitchers!$A1:$S251,4,FALSE)</f>
        <v>172.13333333333333</v>
      </c>
      <c r="AD194" s="33">
        <f>VLOOKUP($B194,Pitchers!$A1:$S251,5,FALSE)</f>
        <v>3.9355038729666925</v>
      </c>
      <c r="AE194" s="33">
        <f>VLOOKUP($B194,Pitchers!$A1:$S251,6,FALSE)</f>
        <v>1.2890782339271882</v>
      </c>
      <c r="AF194" s="31">
        <f>VLOOKUP($B194,Pitchers!$A1:$S251,7,FALSE)</f>
        <v>163.1</v>
      </c>
      <c r="AG194" s="31">
        <f>VLOOKUP($B194,Pitchers!$A1:$S251,8,FALSE)</f>
        <v>12.968888888888889</v>
      </c>
      <c r="AH194" s="31">
        <f>VLOOKUP($B194,Pitchers!$A1:$S251,9,FALSE)</f>
        <v>0</v>
      </c>
      <c r="AI194" s="31">
        <f>VLOOKUP($B194,Pitchers!$A1:$S251,10,FALSE)</f>
        <v>75.270155555555547</v>
      </c>
      <c r="AJ194" s="31">
        <f>VLOOKUP($B194,Pitchers!$A1:$S251,11,FALSE)</f>
        <v>165.01555555555555</v>
      </c>
      <c r="AK194" s="31">
        <f>VLOOKUP($B194,Pitchers!$A1:$S251,12,FALSE)</f>
        <v>56.877777777777773</v>
      </c>
      <c r="AL194" s="31">
        <f>VLOOKUP($B194,Pitchers!$A1:$S251,13,FALSE)</f>
        <v>19.466666666666665</v>
      </c>
      <c r="AM194" s="31">
        <f>VLOOKUP($B194,Pitchers!$A1:$S251,14,FALSE)</f>
        <v>29.64222222222222</v>
      </c>
      <c r="AN194" s="31">
        <f>VLOOKUP($B194,Pitchers!$A1:$S251,15,FALSE)</f>
        <v>29.308888888888887</v>
      </c>
      <c r="AO194" s="31">
        <f>VLOOKUP($B194,Pitchers!$A1:$S251,16,FALSE)</f>
        <v>8.9666666666666668</v>
      </c>
      <c r="AP194" s="31">
        <f>VLOOKUP($B194,Pitchers!$A1:$S251,17,FALSE)</f>
        <v>17</v>
      </c>
      <c r="AQ194" s="31">
        <f>VLOOKUP($B194,Pitchers!$A1:$S251,18,FALSE)</f>
        <v>0</v>
      </c>
      <c r="AR194" s="31">
        <f>VLOOKUP($B194,Pitchers!$A1:$S251,19,FALSE)</f>
        <v>0</v>
      </c>
    </row>
    <row r="195" spans="1:44" ht="20.100000000000001" customHeight="1">
      <c r="A195" s="25">
        <f ca="1">RANK(I195,I$2:I$651)</f>
        <v>194</v>
      </c>
      <c r="B195" s="26" t="s">
        <v>331</v>
      </c>
      <c r="C195" s="27" t="s">
        <v>123</v>
      </c>
      <c r="D195" s="27" t="s">
        <v>74</v>
      </c>
      <c r="E195" s="42" t="s">
        <v>34</v>
      </c>
      <c r="F195" s="43">
        <f ca="1">VLOOKUP(B195,RP!A1:I91,IF(Settings!$J$13="points",4,7),FALSE)</f>
        <v>22</v>
      </c>
      <c r="G195" s="30">
        <f>(AC195*Settings!$F$2)+(AF195*Settings!$F$5)+(AG195*Settings!$F$6)+(AH195*Settings!$F$7)+(AI195*Settings!$F$8)+(AJ195*Settings!$F$9)+(AK195*Settings!$F$10)+(AL195*Settings!$F$11)+(AM195*Settings!$F$12)+(AN195*Settings!$F$13)+(AO195*Settings!$F$14)+(AP195*Settings!$F$15)+(AQ195*Settings!$F$16)+(AR195*Settings!$F$17)</f>
        <v>194.38833333333338</v>
      </c>
      <c r="H195" s="31">
        <f>VLOOKUP(B195,'Standard Deviations'!$A1:$D651,4,FALSE)</f>
        <v>1.2699669248517642</v>
      </c>
      <c r="I195" s="32">
        <f ca="1">IF(Settings!$J$16="no",VLOOKUP(B195,RP!A1:I91,IF(Settings!$J$13="points",6,9),FALSE),VLOOKUP(B195,'SP+RP'!$A1:$I251,IF(Settings!$J$13="points",6,9),FALSE))</f>
        <v>2.1375471757230509</v>
      </c>
      <c r="J195" s="31"/>
      <c r="K195" s="31">
        <f ca="1">J195-A195</f>
        <v>-194</v>
      </c>
      <c r="L195" s="31"/>
      <c r="M195" s="31"/>
      <c r="N195" s="31"/>
      <c r="O195" s="31"/>
      <c r="P195" s="31"/>
      <c r="Q195" s="31"/>
      <c r="R195" s="152"/>
      <c r="S195" s="152"/>
      <c r="T195" s="154"/>
      <c r="U195" s="154"/>
      <c r="V195" s="154"/>
      <c r="W195" s="154"/>
      <c r="X195" s="154"/>
      <c r="Y195" s="152"/>
      <c r="Z195" s="152"/>
      <c r="AA195" s="31"/>
      <c r="AB195" s="31"/>
      <c r="AC195" s="31">
        <f>VLOOKUP($B195,Pitchers!$A1:$S251,4,FALSE)</f>
        <v>64.578888888888898</v>
      </c>
      <c r="AD195" s="33">
        <f>VLOOKUP($B195,Pitchers!$A1:$S251,5,FALSE)</f>
        <v>3.3577536518642139</v>
      </c>
      <c r="AE195" s="33">
        <f>VLOOKUP($B195,Pitchers!$A1:$S251,6,FALSE)</f>
        <v>1.0776483542953492</v>
      </c>
      <c r="AF195" s="31">
        <f>VLOOKUP($B195,Pitchers!$A1:$S251,7,FALSE)</f>
        <v>75.047777777777782</v>
      </c>
      <c r="AG195" s="31">
        <f>VLOOKUP($B195,Pitchers!$A1:$S251,8,FALSE)</f>
        <v>3.9933333333333336</v>
      </c>
      <c r="AH195" s="31">
        <f>VLOOKUP($B195,Pitchers!$A1:$S251,9,FALSE)</f>
        <v>6.2888888888888888</v>
      </c>
      <c r="AI195" s="31">
        <f>VLOOKUP($B195,Pitchers!$A1:$S251,10,FALSE)</f>
        <v>24.093333333333334</v>
      </c>
      <c r="AJ195" s="31">
        <f>VLOOKUP($B195,Pitchers!$A1:$S251,11,FALSE)</f>
        <v>51.095555555555556</v>
      </c>
      <c r="AK195" s="31">
        <f>VLOOKUP($B195,Pitchers!$A1:$S251,12,FALSE)</f>
        <v>18.497777777777777</v>
      </c>
      <c r="AL195" s="31">
        <f>VLOOKUP($B195,Pitchers!$A1:$S251,13,FALSE)</f>
        <v>7.5</v>
      </c>
      <c r="AM195" s="31">
        <f>VLOOKUP($B195,Pitchers!$A1:$S251,14,FALSE)</f>
        <v>64.76444444444445</v>
      </c>
      <c r="AN195" s="31">
        <f>VLOOKUP($B195,Pitchers!$A1:$S251,15,FALSE)</f>
        <v>0</v>
      </c>
      <c r="AO195" s="31">
        <f>VLOOKUP($B195,Pitchers!$A1:$S251,16,FALSE)</f>
        <v>3.0322222222222224</v>
      </c>
      <c r="AP195" s="31">
        <f>VLOOKUP($B195,Pitchers!$A1:$S251,17,FALSE)</f>
        <v>0</v>
      </c>
      <c r="AQ195" s="31">
        <f>VLOOKUP($B195,Pitchers!$A1:$S251,18,FALSE)</f>
        <v>16.5</v>
      </c>
      <c r="AR195" s="31">
        <f>VLOOKUP($B195,Pitchers!$A1:$S251,19,FALSE)</f>
        <v>2</v>
      </c>
    </row>
    <row r="196" spans="1:44" ht="20.100000000000001" customHeight="1">
      <c r="A196" s="25">
        <f ca="1">RANK(I196,I$2:I$651)</f>
        <v>195</v>
      </c>
      <c r="B196" s="26" t="s">
        <v>200</v>
      </c>
      <c r="C196" s="27" t="s">
        <v>117</v>
      </c>
      <c r="D196" s="27" t="s">
        <v>69</v>
      </c>
      <c r="E196" s="46" t="s">
        <v>19</v>
      </c>
      <c r="F196" s="47">
        <f ca="1">VLOOKUP(B196,'C'!A1:I54,IF(Settings!$J$13="points",4,7),FALSE)</f>
        <v>9</v>
      </c>
      <c r="G196" s="30">
        <f>(M196*Settings!$B$2)+(N196*Settings!$B$3)+(O196*Settings!$B$4)+(P196*Settings!$B$5)+(Q196*Settings!$B$6)+((T196-U196-V196-O196)*Settings!$B$9)+(U196*Settings!$B$10)+(V196*Settings!$B$11)+(W196*Settings!$B$12)+(X196*Settings!$B$13)+(AA196*Settings!$B$16)</f>
        <v>342.64638888888896</v>
      </c>
      <c r="H196" s="31">
        <f>VLOOKUP(B196,'Standard Deviations'!$A1:$D651,4,FALSE)</f>
        <v>1.3232336724924585</v>
      </c>
      <c r="I196" s="32">
        <f ca="1">VLOOKUP(B196,'C'!A1:I54,IF(Settings!$J$13="points",6,9),FALSE)</f>
        <v>2.1097532345067749</v>
      </c>
      <c r="J196" s="31"/>
      <c r="K196" s="31">
        <f ca="1">J196-A196</f>
        <v>-195</v>
      </c>
      <c r="L196" s="31"/>
      <c r="M196" s="31">
        <f>VLOOKUP($B196,Hitters!$A1:$R401,4,FALSE)</f>
        <v>481.16666666666657</v>
      </c>
      <c r="N196" s="31">
        <f>VLOOKUP($B196,Hitters!$A1:$R401,5,FALSE)</f>
        <v>68.48277777777777</v>
      </c>
      <c r="O196" s="31">
        <f>VLOOKUP($B196,Hitters!$A1:$R401,6,FALSE)</f>
        <v>20.580555555555556</v>
      </c>
      <c r="P196" s="31">
        <f>VLOOKUP($B196,Hitters!$A1:$R401,7,FALSE)</f>
        <v>65.701666666666668</v>
      </c>
      <c r="Q196" s="31">
        <f>VLOOKUP($B196,Hitters!$A1:$R401,8,FALSE)</f>
        <v>4.597777777777778</v>
      </c>
      <c r="R196" s="152">
        <f>VLOOKUP($B196,Hitters!$A$1:$R$401,14,FALSE)</f>
        <v>0.23409421544856257</v>
      </c>
      <c r="S196" s="152">
        <f>VLOOKUP($B196,Hitters!$A$1:$R$401,15,FALSE)</f>
        <v>0.32877152032329116</v>
      </c>
      <c r="T196" s="154">
        <f>VLOOKUP($B196,Hitters!$A$1:$R$401,9,FALSE)</f>
        <v>112.63833333333334</v>
      </c>
      <c r="U196" s="154">
        <f>VLOOKUP($B196,Hitters!$A$1:$R$401,10,FALSE)</f>
        <v>25.036666666666665</v>
      </c>
      <c r="V196" s="154">
        <f>VLOOKUP($B196,Hitters!$A$1:$R$401,11,FALSE)</f>
        <v>3.0150000000000001</v>
      </c>
      <c r="W196" s="154">
        <f>VLOOKUP($B196,Hitters!$A$1:$R$401,12,FALSE)</f>
        <v>60.553333333333335</v>
      </c>
      <c r="X196" s="154">
        <f>VLOOKUP($B196,Hitters!$A$1:$R$401,13,FALSE)</f>
        <v>133.4672222222222</v>
      </c>
      <c r="Y196" s="152">
        <f>VLOOKUP($B196,Hitters!$A$1:$R$401,16,FALSE)</f>
        <v>0.42697609975753381</v>
      </c>
      <c r="Z196" s="152">
        <f>VLOOKUP($B196,Hitters!$A$1:$R$401,17,FALSE)</f>
        <v>0.75574762008082497</v>
      </c>
      <c r="AA196" s="31">
        <f>VLOOKUP($B196,Hitters!$A1:$R401,18,FALSE)</f>
        <v>0</v>
      </c>
      <c r="AB196" s="31"/>
      <c r="AC196" s="31"/>
      <c r="AD196" s="33"/>
      <c r="AE196" s="33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</row>
    <row r="197" spans="1:44" ht="18.600000000000001" customHeight="1">
      <c r="A197" s="25">
        <f ca="1">RANK(I197,I$2:I$651)</f>
        <v>196</v>
      </c>
      <c r="B197" s="26" t="s">
        <v>204</v>
      </c>
      <c r="C197" s="27" t="s">
        <v>76</v>
      </c>
      <c r="D197" s="27" t="s">
        <v>69</v>
      </c>
      <c r="E197" s="28" t="s">
        <v>23</v>
      </c>
      <c r="F197" s="29">
        <f ca="1">VLOOKUP(B197,OF!A1:I139,IF(Settings!$J$13="points",4,7),FALSE)</f>
        <v>42</v>
      </c>
      <c r="G197" s="30">
        <f>(M197*Settings!$B$2)+(N197*Settings!$B$3)+(O197*Settings!$B$4)+(P197*Settings!$B$5)+(Q197*Settings!$B$6)+((T197-U197-V197-O197)*Settings!$B$9)+(U197*Settings!$B$10)+(V197*Settings!$B$11)+(W197*Settings!$B$12)+(X197*Settings!$B$13)+(AA197*Settings!$B$16)</f>
        <v>312.63388888888881</v>
      </c>
      <c r="H197" s="31">
        <f>VLOOKUP(B197,'Standard Deviations'!$A1:$D651,4,FALSE)</f>
        <v>1.9388241476823103</v>
      </c>
      <c r="I197" s="32">
        <f ca="1">VLOOKUP(B197,OF!A1:I139,IF(Settings!$J$13="points",6,9),FALSE)</f>
        <v>2.0957558302389323</v>
      </c>
      <c r="J197" s="31"/>
      <c r="K197" s="31">
        <f ca="1">J197-A197</f>
        <v>-196</v>
      </c>
      <c r="L197" s="31"/>
      <c r="M197" s="31">
        <f>VLOOKUP($B197,Hitters!$A1:$R401,4,FALSE)</f>
        <v>491.56666666666666</v>
      </c>
      <c r="N197" s="31">
        <f>VLOOKUP($B197,Hitters!$A1:$R401,5,FALSE)</f>
        <v>57.101666666666667</v>
      </c>
      <c r="O197" s="31">
        <f>VLOOKUP($B197,Hitters!$A1:$R401,6,FALSE)</f>
        <v>16.88</v>
      </c>
      <c r="P197" s="31">
        <f>VLOOKUP($B197,Hitters!$A1:$R401,7,FALSE)</f>
        <v>66.899999999999991</v>
      </c>
      <c r="Q197" s="31">
        <f>VLOOKUP($B197,Hitters!$A1:$R401,8,FALSE)</f>
        <v>2.3083333333333331</v>
      </c>
      <c r="R197" s="152">
        <f>VLOOKUP($B197,Hitters!$A$1:$R$401,14,FALSE)</f>
        <v>0.2699294771817996</v>
      </c>
      <c r="S197" s="152">
        <f>VLOOKUP($B197,Hitters!$A$1:$R$401,15,FALSE)</f>
        <v>0.3119169121486931</v>
      </c>
      <c r="T197" s="154">
        <f>VLOOKUP($B197,Hitters!$A$1:$R$401,9,FALSE)</f>
        <v>132.6883333333333</v>
      </c>
      <c r="U197" s="154">
        <f>VLOOKUP($B197,Hitters!$A$1:$R$401,10,FALSE)</f>
        <v>27.83</v>
      </c>
      <c r="V197" s="154">
        <f>VLOOKUP($B197,Hitters!$A$1:$R$401,11,FALSE)</f>
        <v>1.2916666666666667</v>
      </c>
      <c r="W197" s="154">
        <f>VLOOKUP($B197,Hitters!$A$1:$R$401,12,FALSE)</f>
        <v>22.16333333333333</v>
      </c>
      <c r="X197" s="154">
        <f>VLOOKUP($B197,Hitters!$A$1:$R$401,13,FALSE)</f>
        <v>103.7788888888889</v>
      </c>
      <c r="Y197" s="152">
        <f>VLOOKUP($B197,Hitters!$A$1:$R$401,16,FALSE)</f>
        <v>0.43481725096629814</v>
      </c>
      <c r="Z197" s="152">
        <f>VLOOKUP($B197,Hitters!$A$1:$R$401,17,FALSE)</f>
        <v>0.7467341631149913</v>
      </c>
      <c r="AA197" s="31">
        <f>VLOOKUP($B197,Hitters!$A1:$R401,18,FALSE)</f>
        <v>0</v>
      </c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</row>
    <row r="198" spans="1:44" ht="18.600000000000001" customHeight="1">
      <c r="A198" s="25">
        <f ca="1">RANK(I198,I$2:I$651)</f>
        <v>197</v>
      </c>
      <c r="B198" s="26" t="s">
        <v>205</v>
      </c>
      <c r="C198" s="27" t="s">
        <v>68</v>
      </c>
      <c r="D198" s="27" t="s">
        <v>69</v>
      </c>
      <c r="E198" s="28" t="s">
        <v>23</v>
      </c>
      <c r="F198" s="29">
        <f ca="1">VLOOKUP(B198,OF!A1:I139,IF(Settings!$J$13="points",4,7),FALSE)</f>
        <v>43</v>
      </c>
      <c r="G198" s="30">
        <f>(M198*Settings!$B$2)+(N198*Settings!$B$3)+(O198*Settings!$B$4)+(P198*Settings!$B$5)+(Q198*Settings!$B$6)+((T198-U198-V198-O198)*Settings!$B$9)+(U198*Settings!$B$10)+(V198*Settings!$B$11)+(W198*Settings!$B$12)+(X198*Settings!$B$13)+(AA198*Settings!$B$16)</f>
        <v>300.29295833333327</v>
      </c>
      <c r="H198" s="31">
        <f>VLOOKUP(B198,'Standard Deviations'!$A1:$D651,4,FALSE)</f>
        <v>1.9378582774650324</v>
      </c>
      <c r="I198" s="32">
        <f ca="1">VLOOKUP(B198,OF!A1:I139,IF(Settings!$J$13="points",6,9),FALSE)</f>
        <v>2.094784436476854</v>
      </c>
      <c r="J198" s="31"/>
      <c r="K198" s="31">
        <f ca="1">J198-A198</f>
        <v>-197</v>
      </c>
      <c r="L198" s="31"/>
      <c r="M198" s="31">
        <f>VLOOKUP($B198,Hitters!$A1:$R401,4,FALSE)</f>
        <v>432.49500000000006</v>
      </c>
      <c r="N198" s="31">
        <f>VLOOKUP($B198,Hitters!$A1:$R401,5,FALSE)</f>
        <v>57.107499999999995</v>
      </c>
      <c r="O198" s="31">
        <f>VLOOKUP($B198,Hitters!$A1:$R401,6,FALSE)</f>
        <v>13.933833333333332</v>
      </c>
      <c r="P198" s="31">
        <f>VLOOKUP($B198,Hitters!$A1:$R401,7,FALSE)</f>
        <v>52.082000000000001</v>
      </c>
      <c r="Q198" s="31">
        <f>VLOOKUP($B198,Hitters!$A1:$R401,8,FALSE)</f>
        <v>18.655000000000001</v>
      </c>
      <c r="R198" s="152">
        <f>VLOOKUP($B198,Hitters!$A$1:$R$401,14,FALSE)</f>
        <v>0.24534580361237313</v>
      </c>
      <c r="S198" s="152">
        <f>VLOOKUP($B198,Hitters!$A$1:$R$401,15,FALSE)</f>
        <v>0.30854104216313283</v>
      </c>
      <c r="T198" s="154">
        <f>VLOOKUP($B198,Hitters!$A$1:$R$401,9,FALSE)</f>
        <v>106.11083333333333</v>
      </c>
      <c r="U198" s="154">
        <f>VLOOKUP($B198,Hitters!$A$1:$R$401,10,FALSE)</f>
        <v>20.136166666666668</v>
      </c>
      <c r="V198" s="154">
        <f>VLOOKUP($B198,Hitters!$A$1:$R$401,11,FALSE)</f>
        <v>2.9015</v>
      </c>
      <c r="W198" s="154">
        <f>VLOOKUP($B198,Hitters!$A$1:$R$401,12,FALSE)</f>
        <v>32.574833333333338</v>
      </c>
      <c r="X198" s="154">
        <f>VLOOKUP($B198,Hitters!$A$1:$R$401,13,FALSE)</f>
        <v>105.26574999999998</v>
      </c>
      <c r="Y198" s="152">
        <f>VLOOKUP($B198,Hitters!$A$1:$R$401,16,FALSE)</f>
        <v>0.40197343321888107</v>
      </c>
      <c r="Z198" s="152">
        <f>VLOOKUP($B198,Hitters!$A$1:$R$401,17,FALSE)</f>
        <v>0.71051447538201384</v>
      </c>
      <c r="AA198" s="31">
        <f>VLOOKUP($B198,Hitters!$A1:$R401,18,FALSE)</f>
        <v>0</v>
      </c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</row>
    <row r="199" spans="1:44" ht="18.600000000000001" customHeight="1">
      <c r="A199" s="25">
        <f ca="1">RANK(I199,I$2:I$651)</f>
        <v>198</v>
      </c>
      <c r="B199" s="26" t="s">
        <v>254</v>
      </c>
      <c r="C199" s="27" t="s">
        <v>217</v>
      </c>
      <c r="D199" s="27" t="s">
        <v>74</v>
      </c>
      <c r="E199" s="36" t="s">
        <v>31</v>
      </c>
      <c r="F199" s="37">
        <f ca="1">VLOOKUP(B199,SP!A1:I161,IF(Settings!$J$13="points",4,7),FALSE)</f>
        <v>58</v>
      </c>
      <c r="G199" s="30">
        <f>(AC199*Settings!$F$2)+(AF199*Settings!$F$5)+(AG199*Settings!$F$6)+(AH199*Settings!$F$7)+(AI199*Settings!$F$8)+(AJ199*Settings!$F$9)+(AK199*Settings!$F$10)+(AL199*Settings!$F$11)+(AM199*Settings!$F$12)+(AN199*Settings!$F$13)+(AO199*Settings!$F$14)+(AP199*Settings!$F$15)+(AQ199*Settings!$F$16)+(AR199*Settings!$F$17)</f>
        <v>361.17130000000009</v>
      </c>
      <c r="H199" s="31">
        <f>VLOOKUP(B199,'Standard Deviations'!$A1:$D651,4,FALSE)</f>
        <v>1.1871301002647856</v>
      </c>
      <c r="I199" s="32">
        <f ca="1">IF(Settings!$J$16="no",VLOOKUP(B199,SP!A1:I161,IF(Settings!$J$13="points",6,9),FALSE),VLOOKUP(B199,'SP+RP'!$A1:$I251,IF(Settings!$J$13="points",6,9),FALSE))</f>
        <v>2.0547123421207791</v>
      </c>
      <c r="J199" s="31"/>
      <c r="K199" s="31">
        <f ca="1">J199-A199</f>
        <v>-198</v>
      </c>
      <c r="L199" s="31"/>
      <c r="M199" s="31"/>
      <c r="N199" s="31"/>
      <c r="O199" s="31"/>
      <c r="P199" s="31"/>
      <c r="Q199" s="31"/>
      <c r="R199" s="152"/>
      <c r="S199" s="152"/>
      <c r="T199" s="154"/>
      <c r="U199" s="154"/>
      <c r="V199" s="154"/>
      <c r="W199" s="154"/>
      <c r="X199" s="154"/>
      <c r="Y199" s="152"/>
      <c r="Z199" s="152"/>
      <c r="AA199" s="31"/>
      <c r="AB199" s="31"/>
      <c r="AC199" s="31">
        <f>VLOOKUP($B199,Pitchers!$A1:$S251,4,FALSE)</f>
        <v>156.89333333333335</v>
      </c>
      <c r="AD199" s="33">
        <f>VLOOKUP($B199,Pitchers!$A1:$S251,5,FALSE)</f>
        <v>3.5754278915611448</v>
      </c>
      <c r="AE199" s="33">
        <f>VLOOKUP($B199,Pitchers!$A1:$S251,6,FALSE)</f>
        <v>1.2614656808588991</v>
      </c>
      <c r="AF199" s="31">
        <f>VLOOKUP($B199,Pitchers!$A1:$S251,7,FALSE)</f>
        <v>150.93166666666664</v>
      </c>
      <c r="AG199" s="31">
        <f>VLOOKUP($B199,Pitchers!$A1:$S251,8,FALSE)</f>
        <v>9.7044444444444444</v>
      </c>
      <c r="AH199" s="31">
        <f>VLOOKUP($B199,Pitchers!$A1:$S251,9,FALSE)</f>
        <v>0</v>
      </c>
      <c r="AI199" s="31">
        <f>VLOOKUP($B199,Pitchers!$A1:$S251,10,FALSE)</f>
        <v>62.328977777777773</v>
      </c>
      <c r="AJ199" s="31">
        <f>VLOOKUP($B199,Pitchers!$A1:$S251,11,FALSE)</f>
        <v>150.37111111111111</v>
      </c>
      <c r="AK199" s="31">
        <f>VLOOKUP($B199,Pitchers!$A1:$S251,12,FALSE)</f>
        <v>47.544444444444444</v>
      </c>
      <c r="AL199" s="31">
        <f>VLOOKUP($B199,Pitchers!$A1:$S251,13,FALSE)</f>
        <v>12.133333333333333</v>
      </c>
      <c r="AM199" s="31">
        <f>VLOOKUP($B199,Pitchers!$A1:$S251,14,FALSE)</f>
        <v>28.286666666666665</v>
      </c>
      <c r="AN199" s="31">
        <f>VLOOKUP($B199,Pitchers!$A1:$S251,15,FALSE)</f>
        <v>28.286666666666665</v>
      </c>
      <c r="AO199" s="31">
        <f>VLOOKUP($B199,Pitchers!$A1:$S251,16,FALSE)</f>
        <v>8.1322222222222234</v>
      </c>
      <c r="AP199" s="31">
        <f>VLOOKUP($B199,Pitchers!$A1:$S251,17,FALSE)</f>
        <v>16</v>
      </c>
      <c r="AQ199" s="31">
        <f>VLOOKUP($B199,Pitchers!$A1:$S251,18,FALSE)</f>
        <v>0</v>
      </c>
      <c r="AR199" s="31">
        <f>VLOOKUP($B199,Pitchers!$A1:$S251,19,FALSE)</f>
        <v>0</v>
      </c>
    </row>
    <row r="200" spans="1:44" ht="18.600000000000001" customHeight="1">
      <c r="A200" s="25">
        <f ca="1">RANK(I200,I$2:I$651)</f>
        <v>199</v>
      </c>
      <c r="B200" s="26" t="s">
        <v>261</v>
      </c>
      <c r="C200" s="27" t="s">
        <v>123</v>
      </c>
      <c r="D200" s="27" t="s">
        <v>74</v>
      </c>
      <c r="E200" s="36" t="s">
        <v>31</v>
      </c>
      <c r="F200" s="37">
        <f ca="1">VLOOKUP(B200,SP!A1:I161,IF(Settings!$J$13="points",4,7),FALSE)</f>
        <v>59</v>
      </c>
      <c r="G200" s="30">
        <f>(AC200*Settings!$F$2)+(AF200*Settings!$F$5)+(AG200*Settings!$F$6)+(AH200*Settings!$F$7)+(AI200*Settings!$F$8)+(AJ200*Settings!$F$9)+(AK200*Settings!$F$10)+(AL200*Settings!$F$11)+(AM200*Settings!$F$12)+(AN200*Settings!$F$13)+(AO200*Settings!$F$14)+(AP200*Settings!$F$15)+(AQ200*Settings!$F$16)+(AR200*Settings!$F$17)</f>
        <v>398.02586666666679</v>
      </c>
      <c r="H200" s="31">
        <f>VLOOKUP(B200,'Standard Deviations'!$A1:$D651,4,FALSE)</f>
        <v>1.1344271395799435</v>
      </c>
      <c r="I200" s="32">
        <f ca="1">IF(Settings!$J$16="no",VLOOKUP(B200,SP!A1:I161,IF(Settings!$J$13="points",6,9),FALSE),VLOOKUP(B200,'SP+RP'!$A1:$I251,IF(Settings!$J$13="points",6,9),FALSE))</f>
        <v>2.0020062684071371</v>
      </c>
      <c r="J200" s="31"/>
      <c r="K200" s="31">
        <f ca="1">J200-A200</f>
        <v>-199</v>
      </c>
      <c r="L200" s="31"/>
      <c r="M200" s="31"/>
      <c r="N200" s="31"/>
      <c r="O200" s="31"/>
      <c r="P200" s="31"/>
      <c r="Q200" s="31"/>
      <c r="R200" s="152"/>
      <c r="S200" s="152"/>
      <c r="T200" s="154"/>
      <c r="U200" s="154"/>
      <c r="V200" s="154"/>
      <c r="W200" s="154"/>
      <c r="X200" s="154"/>
      <c r="Y200" s="152"/>
      <c r="Z200" s="152"/>
      <c r="AA200" s="31"/>
      <c r="AB200" s="31"/>
      <c r="AC200" s="31">
        <f>VLOOKUP($B200,Pitchers!$A1:$S251,4,FALSE)</f>
        <v>183.56888888888889</v>
      </c>
      <c r="AD200" s="33">
        <f>VLOOKUP($B200,Pitchers!$A1:$S251,5,FALSE)</f>
        <v>3.982849187710336</v>
      </c>
      <c r="AE200" s="33">
        <f>VLOOKUP($B200,Pitchers!$A1:$S251,6,FALSE)</f>
        <v>1.2163523230758055</v>
      </c>
      <c r="AF200" s="31">
        <f>VLOOKUP($B200,Pitchers!$A1:$S251,7,FALSE)</f>
        <v>137.58666666666667</v>
      </c>
      <c r="AG200" s="31">
        <f>VLOOKUP($B200,Pitchers!$A1:$S251,8,FALSE)</f>
        <v>11.973333333333334</v>
      </c>
      <c r="AH200" s="31">
        <f>VLOOKUP($B200,Pitchers!$A1:$S251,9,FALSE)</f>
        <v>0</v>
      </c>
      <c r="AI200" s="31">
        <f>VLOOKUP($B200,Pitchers!$A1:$S251,10,FALSE)</f>
        <v>81.236355555555562</v>
      </c>
      <c r="AJ200" s="31">
        <f>VLOOKUP($B200,Pitchers!$A1:$S251,11,FALSE)</f>
        <v>181.03888888888889</v>
      </c>
      <c r="AK200" s="31">
        <f>VLOOKUP($B200,Pitchers!$A1:$S251,12,FALSE)</f>
        <v>42.245555555555555</v>
      </c>
      <c r="AL200" s="31">
        <f>VLOOKUP($B200,Pitchers!$A1:$S251,13,FALSE)</f>
        <v>24.099999999999998</v>
      </c>
      <c r="AM200" s="31">
        <f>VLOOKUP($B200,Pitchers!$A1:$S251,14,FALSE)</f>
        <v>30.197777777777777</v>
      </c>
      <c r="AN200" s="31">
        <f>VLOOKUP($B200,Pitchers!$A1:$S251,15,FALSE)</f>
        <v>30.531111111111112</v>
      </c>
      <c r="AO200" s="31">
        <f>VLOOKUP($B200,Pitchers!$A1:$S251,16,FALSE)</f>
        <v>10.353333333333333</v>
      </c>
      <c r="AP200" s="31">
        <f>VLOOKUP($B200,Pitchers!$A1:$S251,17,FALSE)</f>
        <v>17</v>
      </c>
      <c r="AQ200" s="31">
        <f>VLOOKUP($B200,Pitchers!$A1:$S251,18,FALSE)</f>
        <v>0</v>
      </c>
      <c r="AR200" s="31">
        <f>VLOOKUP($B200,Pitchers!$A1:$S251,19,FALSE)</f>
        <v>0</v>
      </c>
    </row>
    <row r="201" spans="1:44" ht="18.600000000000001" customHeight="1">
      <c r="A201" s="25">
        <f ca="1">RANK(I201,I$2:I$651)</f>
        <v>200</v>
      </c>
      <c r="B201" s="26" t="s">
        <v>371</v>
      </c>
      <c r="C201" s="27" t="s">
        <v>81</v>
      </c>
      <c r="D201" s="27" t="s">
        <v>74</v>
      </c>
      <c r="E201" s="40" t="s">
        <v>7</v>
      </c>
      <c r="F201" s="41">
        <f ca="1">VLOOKUP(B201,'1B'!A1:I63,IF(Settings!$J$13="points",4,7),FALSE)</f>
        <v>21</v>
      </c>
      <c r="G201" s="30">
        <f>(M201*Settings!$B$2)+(N201*Settings!$B$3)+(O201*Settings!$B$4)+(P201*Settings!$B$5)+(Q201*Settings!$B$6)+((T201-U201-V201-O201)*Settings!$B$9)+(U201*Settings!$B$10)+(V201*Settings!$B$11)+(W201*Settings!$B$12)+(X201*Settings!$B$13)+(AA201*Settings!$B$16)</f>
        <v>331.39599999999996</v>
      </c>
      <c r="H201" s="31">
        <f>VLOOKUP(B201,'Standard Deviations'!$A1:$D651,4,FALSE)</f>
        <v>2.2252068455538709</v>
      </c>
      <c r="I201" s="32">
        <f ca="1">IF(Settings!$J$15="no",VLOOKUP(B201,'1B'!A1:I63,IF(Settings!$J$13="points",6,9),FALSE),VLOOKUP(B201,'1B+3B'!$A1:$I104,IF(Settings!$J$13="points",6,9),FALSE))</f>
        <v>1.9997249635052328</v>
      </c>
      <c r="J201" s="31"/>
      <c r="K201" s="31">
        <f ca="1">J201-A201</f>
        <v>-200</v>
      </c>
      <c r="L201" s="31"/>
      <c r="M201" s="31">
        <f>VLOOKUP($B201,Hitters!$A1:$R401,4,FALSE)</f>
        <v>455.79999999999995</v>
      </c>
      <c r="N201" s="31">
        <f>VLOOKUP($B201,Hitters!$A1:$R401,5,FALSE)</f>
        <v>63.967999999999996</v>
      </c>
      <c r="O201" s="31">
        <f>VLOOKUP($B201,Hitters!$A1:$R401,6,FALSE)</f>
        <v>13.823999999999998</v>
      </c>
      <c r="P201" s="31">
        <f>VLOOKUP($B201,Hitters!$A1:$R401,7,FALSE)</f>
        <v>62.347999999999992</v>
      </c>
      <c r="Q201" s="31">
        <f>VLOOKUP($B201,Hitters!$A1:$R401,8,FALSE)</f>
        <v>8.1479999999999997</v>
      </c>
      <c r="R201" s="152">
        <f>VLOOKUP($B201,Hitters!$A$1:$R$401,14,FALSE)</f>
        <v>0.26480035103115407</v>
      </c>
      <c r="S201" s="152">
        <f>VLOOKUP($B201,Hitters!$A$1:$R$401,15,FALSE)</f>
        <v>0.33492325913751153</v>
      </c>
      <c r="T201" s="154">
        <f>VLOOKUP($B201,Hitters!$A$1:$R$401,9,FALSE)</f>
        <v>120.69600000000001</v>
      </c>
      <c r="U201" s="154">
        <f>VLOOKUP($B201,Hitters!$A$1:$R$401,10,FALSE)</f>
        <v>26.926666666666666</v>
      </c>
      <c r="V201" s="154">
        <f>VLOOKUP($B201,Hitters!$A$1:$R$401,11,FALSE)</f>
        <v>2.0840000000000001</v>
      </c>
      <c r="W201" s="154">
        <f>VLOOKUP($B201,Hitters!$A$1:$R$401,12,FALSE)</f>
        <v>41.253333333333337</v>
      </c>
      <c r="X201" s="154">
        <f>VLOOKUP($B201,Hitters!$A$1:$R$401,13,FALSE)</f>
        <v>91.463999999999999</v>
      </c>
      <c r="Y201" s="152">
        <f>VLOOKUP($B201,Hitters!$A$1:$R$401,16,FALSE)</f>
        <v>0.42400760567500373</v>
      </c>
      <c r="Z201" s="152">
        <f>VLOOKUP($B201,Hitters!$A$1:$R$401,17,FALSE)</f>
        <v>0.75893086481251526</v>
      </c>
      <c r="AA201" s="31">
        <f>VLOOKUP($B201,Hitters!$A1:$R401,18,FALSE)</f>
        <v>0</v>
      </c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</row>
    <row r="202" spans="1:44" ht="18.600000000000001" customHeight="1">
      <c r="A202" s="25">
        <f ca="1">RANK(I202,I$2:I$651)</f>
        <v>201</v>
      </c>
      <c r="B202" s="26" t="s">
        <v>259</v>
      </c>
      <c r="C202" s="27" t="s">
        <v>217</v>
      </c>
      <c r="D202" s="27" t="s">
        <v>74</v>
      </c>
      <c r="E202" s="28" t="s">
        <v>23</v>
      </c>
      <c r="F202" s="29">
        <f ca="1">VLOOKUP(B202,OF!A1:I139,IF(Settings!$J$13="points",4,7),FALSE)</f>
        <v>44</v>
      </c>
      <c r="G202" s="30">
        <f>(M202*Settings!$B$2)+(N202*Settings!$B$3)+(O202*Settings!$B$4)+(P202*Settings!$B$5)+(Q202*Settings!$B$6)+((T202-U202-V202-O202)*Settings!$B$9)+(U202*Settings!$B$10)+(V202*Settings!$B$11)+(W202*Settings!$B$12)+(X202*Settings!$B$13)+(AA202*Settings!$B$16)</f>
        <v>327.0508333333334</v>
      </c>
      <c r="H202" s="31">
        <f>VLOOKUP(B202,'Standard Deviations'!$A1:$D651,4,FALSE)</f>
        <v>1.8287152958777</v>
      </c>
      <c r="I202" s="32">
        <f ca="1">VLOOKUP(B202,OF!A1:I139,IF(Settings!$J$13="points",6,9),FALSE)</f>
        <v>1.9856469031583222</v>
      </c>
      <c r="J202" s="31"/>
      <c r="K202" s="31">
        <f ca="1">J202-A202</f>
        <v>-201</v>
      </c>
      <c r="L202" s="31"/>
      <c r="M202" s="31">
        <f>VLOOKUP($B202,Hitters!$A1:$R401,4,FALSE)</f>
        <v>444.47777777777782</v>
      </c>
      <c r="N202" s="31">
        <f>VLOOKUP($B202,Hitters!$A1:$R401,5,FALSE)</f>
        <v>63.06444444444444</v>
      </c>
      <c r="O202" s="31">
        <f>VLOOKUP($B202,Hitters!$A1:$R401,6,FALSE)</f>
        <v>21.97111111111111</v>
      </c>
      <c r="P202" s="31">
        <f>VLOOKUP($B202,Hitters!$A1:$R401,7,FALSE)</f>
        <v>67.266666666666666</v>
      </c>
      <c r="Q202" s="31">
        <f>VLOOKUP($B202,Hitters!$A1:$R401,8,FALSE)</f>
        <v>3.7466666666666666</v>
      </c>
      <c r="R202" s="152">
        <f>VLOOKUP($B202,Hitters!$A$1:$R$401,14,FALSE)</f>
        <v>0.24612654050946176</v>
      </c>
      <c r="S202" s="152">
        <f>VLOOKUP($B202,Hitters!$A$1:$R$401,15,FALSE)</f>
        <v>0.3261743175469094</v>
      </c>
      <c r="T202" s="154">
        <f>VLOOKUP($B202,Hitters!$A$1:$R$401,9,FALSE)</f>
        <v>109.39777777777778</v>
      </c>
      <c r="U202" s="154">
        <f>VLOOKUP($B202,Hitters!$A$1:$R$401,10,FALSE)</f>
        <v>20.933333333333334</v>
      </c>
      <c r="V202" s="154">
        <f>VLOOKUP($B202,Hitters!$A$1:$R$401,11,FALSE)</f>
        <v>2.7822222222222224</v>
      </c>
      <c r="W202" s="154">
        <f>VLOOKUP($B202,Hitters!$A$1:$R$401,12,FALSE)</f>
        <v>45.993333333333339</v>
      </c>
      <c r="X202" s="154">
        <f>VLOOKUP($B202,Hitters!$A$1:$R$401,13,FALSE)</f>
        <v>117.15166666666669</v>
      </c>
      <c r="Y202" s="152">
        <f>VLOOKUP($B202,Hitters!$A$1:$R$401,16,FALSE)</f>
        <v>0.45403594730395214</v>
      </c>
      <c r="Z202" s="152">
        <f>VLOOKUP($B202,Hitters!$A$1:$R$401,17,FALSE)</f>
        <v>0.78021026485086153</v>
      </c>
      <c r="AA202" s="31">
        <f>VLOOKUP($B202,Hitters!$A1:$R401,18,FALSE)</f>
        <v>0</v>
      </c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</row>
    <row r="203" spans="1:44" ht="18.600000000000001" customHeight="1">
      <c r="A203" s="25">
        <f ca="1">RANK(I203,I$2:I$651)</f>
        <v>202</v>
      </c>
      <c r="B203" s="26" t="s">
        <v>234</v>
      </c>
      <c r="C203" s="27" t="s">
        <v>223</v>
      </c>
      <c r="D203" s="27" t="s">
        <v>74</v>
      </c>
      <c r="E203" s="46" t="s">
        <v>19</v>
      </c>
      <c r="F203" s="47">
        <f ca="1">VLOOKUP(B203,'C'!A1:I54,IF(Settings!$J$13="points",4,7),FALSE)</f>
        <v>10</v>
      </c>
      <c r="G203" s="30">
        <f>(M203*Settings!$B$2)+(N203*Settings!$B$3)+(O203*Settings!$B$4)+(P203*Settings!$B$5)+(Q203*Settings!$B$6)+((T203-U203-V203-O203)*Settings!$B$9)+(U203*Settings!$B$10)+(V203*Settings!$B$11)+(W203*Settings!$B$12)+(X203*Settings!$B$13)+(AA203*Settings!$B$16)</f>
        <v>301.98944444444442</v>
      </c>
      <c r="H203" s="31">
        <f>VLOOKUP(B203,'Standard Deviations'!$A1:$D651,4,FALSE)</f>
        <v>1.1875732052143664</v>
      </c>
      <c r="I203" s="32">
        <f ca="1">VLOOKUP(B203,'C'!A1:I54,IF(Settings!$J$13="points",6,9),FALSE)</f>
        <v>1.9740954140143256</v>
      </c>
      <c r="J203" s="31"/>
      <c r="K203" s="31">
        <f ca="1">J203-A203</f>
        <v>-202</v>
      </c>
      <c r="L203" s="31"/>
      <c r="M203" s="31">
        <f>VLOOKUP($B203,Hitters!$A1:$R401,4,FALSE)</f>
        <v>459.48888888888888</v>
      </c>
      <c r="N203" s="31">
        <f>VLOOKUP($B203,Hitters!$A1:$R401,5,FALSE)</f>
        <v>59.377777777777773</v>
      </c>
      <c r="O203" s="31">
        <f>VLOOKUP($B203,Hitters!$A1:$R401,6,FALSE)</f>
        <v>14.021666666666668</v>
      </c>
      <c r="P203" s="31">
        <f>VLOOKUP($B203,Hitters!$A1:$R401,7,FALSE)</f>
        <v>62.517777777777781</v>
      </c>
      <c r="Q203" s="31">
        <f>VLOOKUP($B203,Hitters!$A1:$R401,8,FALSE)</f>
        <v>1.9866666666666666</v>
      </c>
      <c r="R203" s="152">
        <f>VLOOKUP($B203,Hitters!$A$1:$R$401,14,FALSE)</f>
        <v>0.26513759249407554</v>
      </c>
      <c r="S203" s="152">
        <f>VLOOKUP($B203,Hitters!$A$1:$R$401,15,FALSE)</f>
        <v>0.33625989313931798</v>
      </c>
      <c r="T203" s="154">
        <f>VLOOKUP($B203,Hitters!$A$1:$R$401,9,FALSE)</f>
        <v>121.82777777777778</v>
      </c>
      <c r="U203" s="154">
        <f>VLOOKUP($B203,Hitters!$A$1:$R$401,10,FALSE)</f>
        <v>25.216666666666669</v>
      </c>
      <c r="V203" s="154">
        <f>VLOOKUP($B203,Hitters!$A$1:$R$401,11,FALSE)</f>
        <v>0.98666666666666669</v>
      </c>
      <c r="W203" s="154">
        <f>VLOOKUP($B203,Hitters!$A$1:$R$401,12,FALSE)</f>
        <v>42.404444444444444</v>
      </c>
      <c r="X203" s="154">
        <f>VLOOKUP($B203,Hitters!$A$1:$R$401,13,FALSE)</f>
        <v>114.73333333333333</v>
      </c>
      <c r="Y203" s="152">
        <f>VLOOKUP($B203,Hitters!$A$1:$R$401,16,FALSE)</f>
        <v>0.41585940900517493</v>
      </c>
      <c r="Z203" s="152">
        <f>VLOOKUP($B203,Hitters!$A$1:$R$401,17,FALSE)</f>
        <v>0.75211930214449296</v>
      </c>
      <c r="AA203" s="31">
        <f>VLOOKUP($B203,Hitters!$A1:$R401,18,FALSE)</f>
        <v>0</v>
      </c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</row>
    <row r="204" spans="1:44" ht="18.600000000000001" customHeight="1">
      <c r="A204" s="25">
        <f ca="1">RANK(I204,I$2:I$651)</f>
        <v>203</v>
      </c>
      <c r="B204" s="26" t="s">
        <v>199</v>
      </c>
      <c r="C204" s="27" t="s">
        <v>73</v>
      </c>
      <c r="D204" s="27" t="s">
        <v>74</v>
      </c>
      <c r="E204" s="48" t="s">
        <v>11</v>
      </c>
      <c r="F204" s="49">
        <f ca="1">VLOOKUP(B204,'2B'!A1:I50,IF(Settings!$J$13="points",4,7),FALSE)</f>
        <v>18</v>
      </c>
      <c r="G204" s="30">
        <f>(M204*Settings!$B$2)+(N204*Settings!$B$3)+(O204*Settings!$B$4)+(P204*Settings!$B$5)+(Q204*Settings!$B$6)+((T204-U204-V204-O204)*Settings!$B$9)+(U204*Settings!$B$10)+(V204*Settings!$B$11)+(W204*Settings!$B$12)+(X204*Settings!$B$13)+(AA204*Settings!$B$16)</f>
        <v>293.73777777777775</v>
      </c>
      <c r="H204" s="31">
        <f>VLOOKUP(B204,'Standard Deviations'!$A1:$D651,4,FALSE)</f>
        <v>1.9673240229341662</v>
      </c>
      <c r="I204" s="32">
        <f ca="1">IF(Settings!$J$16="no",VLOOKUP(B204,'2B'!A1:I50,IF(Settings!$J$13="points",6,9),FALSE),VLOOKUP(B204,'2B+SS'!$A1:$I94,IF(Settings!$J$13="points",6,9),FALSE))</f>
        <v>1.9612869123280701</v>
      </c>
      <c r="J204" s="31"/>
      <c r="K204" s="31">
        <f ca="1">J204-A204</f>
        <v>-203</v>
      </c>
      <c r="L204" s="31"/>
      <c r="M204" s="31">
        <f>VLOOKUP($B204,Hitters!$A1:$R401,4,FALSE)</f>
        <v>416.58333333333331</v>
      </c>
      <c r="N204" s="31">
        <f>VLOOKUP($B204,Hitters!$A1:$R401,5,FALSE)</f>
        <v>57.57</v>
      </c>
      <c r="O204" s="31">
        <f>VLOOKUP($B204,Hitters!$A1:$R401,6,FALSE)</f>
        <v>10.663333333333334</v>
      </c>
      <c r="P204" s="31">
        <f>VLOOKUP($B204,Hitters!$A1:$R401,7,FALSE)</f>
        <v>50.613333333333337</v>
      </c>
      <c r="Q204" s="31">
        <f>VLOOKUP($B204,Hitters!$A1:$R401,8,FALSE)</f>
        <v>12.777777777777777</v>
      </c>
      <c r="R204" s="152">
        <f>VLOOKUP($B204,Hitters!$A$1:$R$401,14,FALSE)</f>
        <v>0.2707021404280856</v>
      </c>
      <c r="S204" s="152">
        <f>VLOOKUP($B204,Hitters!$A$1:$R$401,15,FALSE)</f>
        <v>0.33050036328149091</v>
      </c>
      <c r="T204" s="154">
        <f>VLOOKUP($B204,Hitters!$A$1:$R$401,9,FALSE)</f>
        <v>112.77</v>
      </c>
      <c r="U204" s="154">
        <f>VLOOKUP($B204,Hitters!$A$1:$R$401,10,FALSE)</f>
        <v>20.58</v>
      </c>
      <c r="V204" s="154">
        <f>VLOOKUP($B204,Hitters!$A$1:$R$401,11,FALSE)</f>
        <v>1.9911111111111113</v>
      </c>
      <c r="W204" s="154">
        <f>VLOOKUP($B204,Hitters!$A$1:$R$401,12,FALSE)</f>
        <v>30.906666666666666</v>
      </c>
      <c r="X204" s="154">
        <f>VLOOKUP($B204,Hitters!$A$1:$R$401,13,FALSE)</f>
        <v>80.459999999999994</v>
      </c>
      <c r="Y204" s="152">
        <f>VLOOKUP($B204,Hitters!$A$1:$R$401,16,FALSE)</f>
        <v>0.40645462425818502</v>
      </c>
      <c r="Z204" s="152">
        <f>VLOOKUP($B204,Hitters!$A$1:$R$401,17,FALSE)</f>
        <v>0.73695498753967592</v>
      </c>
      <c r="AA204" s="31">
        <f>VLOOKUP($B204,Hitters!$A1:$R401,18,FALSE)</f>
        <v>0</v>
      </c>
      <c r="AB204" s="31"/>
      <c r="AC204" s="31"/>
      <c r="AD204" s="33"/>
      <c r="AE204" s="33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</row>
    <row r="205" spans="1:44" ht="18.600000000000001" customHeight="1">
      <c r="A205" s="25">
        <f ca="1">RANK(I205,I$2:I$651)</f>
        <v>204</v>
      </c>
      <c r="B205" s="26" t="s">
        <v>365</v>
      </c>
      <c r="C205" s="27" t="s">
        <v>156</v>
      </c>
      <c r="D205" s="27" t="s">
        <v>69</v>
      </c>
      <c r="E205" s="40" t="s">
        <v>7</v>
      </c>
      <c r="F205" s="41">
        <f ca="1">VLOOKUP(B205,'1B'!A1:I63,IF(Settings!$J$13="points",4,7),FALSE)</f>
        <v>22</v>
      </c>
      <c r="G205" s="30">
        <f>(M205*Settings!$B$2)+(N205*Settings!$B$3)+(O205*Settings!$B$4)+(P205*Settings!$B$5)+(Q205*Settings!$B$6)+((T205-U205-V205-O205)*Settings!$B$9)+(U205*Settings!$B$10)+(V205*Settings!$B$11)+(W205*Settings!$B$12)+(X205*Settings!$B$13)+(AA205*Settings!$B$16)</f>
        <v>344.37111111111102</v>
      </c>
      <c r="H205" s="31">
        <f>VLOOKUP(B205,'Standard Deviations'!$A1:$D651,4,FALSE)</f>
        <v>2.1700874912709653</v>
      </c>
      <c r="I205" s="32">
        <f ca="1">IF(Settings!$J$15="no",VLOOKUP(B205,'1B'!A1:I63,IF(Settings!$J$13="points",6,9),FALSE),VLOOKUP(B205,'1B+3B'!$A1:$I104,IF(Settings!$J$13="points",6,9),FALSE))</f>
        <v>1.9446093524315724</v>
      </c>
      <c r="J205" s="31"/>
      <c r="K205" s="31">
        <f ca="1">J205-A205</f>
        <v>-204</v>
      </c>
      <c r="L205" s="31"/>
      <c r="M205" s="31">
        <f>VLOOKUP($B205,Hitters!$A1:$R401,4,FALSE)</f>
        <v>512.62222222222226</v>
      </c>
      <c r="N205" s="31">
        <f>VLOOKUP($B205,Hitters!$A1:$R401,5,FALSE)</f>
        <v>63.629999999999995</v>
      </c>
      <c r="O205" s="31">
        <f>VLOOKUP($B205,Hitters!$A1:$R401,6,FALSE)</f>
        <v>17.461111111111112</v>
      </c>
      <c r="P205" s="31">
        <f>VLOOKUP($B205,Hitters!$A1:$R401,7,FALSE)</f>
        <v>70.808888888888887</v>
      </c>
      <c r="Q205" s="31">
        <f>VLOOKUP($B205,Hitters!$A1:$R401,8,FALSE)</f>
        <v>1.9911111111111113</v>
      </c>
      <c r="R205" s="152">
        <f>VLOOKUP($B205,Hitters!$A$1:$R$401,14,FALSE)</f>
        <v>0.26469134732096411</v>
      </c>
      <c r="S205" s="152">
        <f>VLOOKUP($B205,Hitters!$A$1:$R$401,15,FALSE)</f>
        <v>0.31975043468568226</v>
      </c>
      <c r="T205" s="154">
        <f>VLOOKUP($B205,Hitters!$A$1:$R$401,9,FALSE)</f>
        <v>135.68666666666667</v>
      </c>
      <c r="U205" s="154">
        <f>VLOOKUP($B205,Hitters!$A$1:$R$401,10,FALSE)</f>
        <v>29.90111111111111</v>
      </c>
      <c r="V205" s="154">
        <f>VLOOKUP($B205,Hitters!$A$1:$R$401,11,FALSE)</f>
        <v>0.98444444444444434</v>
      </c>
      <c r="W205" s="154">
        <f>VLOOKUP($B205,Hitters!$A$1:$R$401,12,FALSE)</f>
        <v>33.494999999999997</v>
      </c>
      <c r="X205" s="154">
        <f>VLOOKUP($B205,Hitters!$A$1:$R$401,13,FALSE)</f>
        <v>94.969999999999985</v>
      </c>
      <c r="Y205" s="152">
        <f>VLOOKUP($B205,Hitters!$A$1:$R$401,16,FALSE)</f>
        <v>0.42904889890757758</v>
      </c>
      <c r="Z205" s="152">
        <f>VLOOKUP($B205,Hitters!$A$1:$R$401,17,FALSE)</f>
        <v>0.7487993335932599</v>
      </c>
      <c r="AA205" s="31">
        <f>VLOOKUP($B205,Hitters!$A1:$R401,18,FALSE)</f>
        <v>0</v>
      </c>
      <c r="AB205" s="31"/>
      <c r="AC205" s="31"/>
      <c r="AD205" s="33"/>
      <c r="AE205" s="33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</row>
    <row r="206" spans="1:44" ht="18.600000000000001" customHeight="1">
      <c r="A206" s="25">
        <f ca="1">RANK(I206,I$2:I$651)</f>
        <v>205</v>
      </c>
      <c r="B206" s="26" t="s">
        <v>268</v>
      </c>
      <c r="C206" s="27" t="s">
        <v>117</v>
      </c>
      <c r="D206" s="27" t="s">
        <v>69</v>
      </c>
      <c r="E206" s="36" t="s">
        <v>31</v>
      </c>
      <c r="F206" s="37">
        <f ca="1">VLOOKUP(B206,SP!A1:I161,IF(Settings!$J$13="points",4,7),FALSE)</f>
        <v>60</v>
      </c>
      <c r="G206" s="30">
        <f>(AC206*Settings!$F$2)+(AF206*Settings!$F$5)+(AG206*Settings!$F$6)+(AH206*Settings!$F$7)+(AI206*Settings!$F$8)+(AJ206*Settings!$F$9)+(AK206*Settings!$F$10)+(AL206*Settings!$F$11)+(AM206*Settings!$F$12)+(AN206*Settings!$F$13)+(AO206*Settings!$F$14)+(AP206*Settings!$F$15)+(AQ206*Settings!$F$16)+(AR206*Settings!$F$17)</f>
        <v>389.71926666666661</v>
      </c>
      <c r="H206" s="31">
        <f>VLOOKUP(B206,'Standard Deviations'!$A1:$D651,4,FALSE)</f>
        <v>1.0693973196899433</v>
      </c>
      <c r="I206" s="32">
        <f ca="1">IF(Settings!$J$16="no",VLOOKUP(B206,SP!A1:I161,IF(Settings!$J$13="points",6,9),FALSE),VLOOKUP(B206,'SP+RP'!$A1:$I251,IF(Settings!$J$13="points",6,9),FALSE))</f>
        <v>1.9369812593547175</v>
      </c>
      <c r="J206" s="31"/>
      <c r="K206" s="31">
        <f ca="1">J206-A206</f>
        <v>-205</v>
      </c>
      <c r="L206" s="31"/>
      <c r="M206" s="31"/>
      <c r="N206" s="31"/>
      <c r="O206" s="31"/>
      <c r="P206" s="31"/>
      <c r="Q206" s="31"/>
      <c r="R206" s="152"/>
      <c r="S206" s="152"/>
      <c r="T206" s="154"/>
      <c r="U206" s="154"/>
      <c r="V206" s="154"/>
      <c r="W206" s="154"/>
      <c r="X206" s="154"/>
      <c r="Y206" s="152"/>
      <c r="Z206" s="152"/>
      <c r="AA206" s="31"/>
      <c r="AB206" s="31"/>
      <c r="AC206" s="31">
        <f>VLOOKUP($B206,Pitchers!$A1:$S251,4,FALSE)</f>
        <v>178.52111111111108</v>
      </c>
      <c r="AD206" s="33">
        <f>VLOOKUP($B206,Pitchers!$A1:$S251,5,FALSE)</f>
        <v>3.8476491420249093</v>
      </c>
      <c r="AE206" s="33">
        <f>VLOOKUP($B206,Pitchers!$A1:$S251,6,FALSE)</f>
        <v>1.2517349333100973</v>
      </c>
      <c r="AF206" s="31">
        <f>VLOOKUP($B206,Pitchers!$A1:$S251,7,FALSE)</f>
        <v>165.18222222222224</v>
      </c>
      <c r="AG206" s="31">
        <f>VLOOKUP($B206,Pitchers!$A1:$S251,8,FALSE)</f>
        <v>10.015000000000001</v>
      </c>
      <c r="AH206" s="31">
        <f>VLOOKUP($B206,Pitchers!$A1:$S251,9,FALSE)</f>
        <v>0</v>
      </c>
      <c r="AI206" s="31">
        <f>VLOOKUP($B206,Pitchers!$A1:$S251,10,FALSE)</f>
        <v>76.320733333333337</v>
      </c>
      <c r="AJ206" s="31">
        <f>VLOOKUP($B206,Pitchers!$A1:$S251,11,FALSE)</f>
        <v>171.20111111111112</v>
      </c>
      <c r="AK206" s="31">
        <f>VLOOKUP($B206,Pitchers!$A1:$S251,12,FALSE)</f>
        <v>52.26</v>
      </c>
      <c r="AL206" s="31">
        <f>VLOOKUP($B206,Pitchers!$A1:$S251,13,FALSE)</f>
        <v>19.466666666666665</v>
      </c>
      <c r="AM206" s="31">
        <f>VLOOKUP($B206,Pitchers!$A1:$S251,14,FALSE)</f>
        <v>30.08</v>
      </c>
      <c r="AN206" s="31">
        <f>VLOOKUP($B206,Pitchers!$A1:$S251,15,FALSE)</f>
        <v>30.08</v>
      </c>
      <c r="AO206" s="31">
        <f>VLOOKUP($B206,Pitchers!$A1:$S251,16,FALSE)</f>
        <v>9.9516666666666662</v>
      </c>
      <c r="AP206" s="31">
        <f>VLOOKUP($B206,Pitchers!$A1:$S251,17,FALSE)</f>
        <v>17</v>
      </c>
      <c r="AQ206" s="31">
        <f>VLOOKUP($B206,Pitchers!$A1:$S251,18,FALSE)</f>
        <v>0</v>
      </c>
      <c r="AR206" s="31">
        <f>VLOOKUP($B206,Pitchers!$A1:$S251,19,FALSE)</f>
        <v>0</v>
      </c>
    </row>
    <row r="207" spans="1:44" ht="18.600000000000001" customHeight="1">
      <c r="A207" s="25">
        <f ca="1">RANK(I207,I$2:I$651)</f>
        <v>206</v>
      </c>
      <c r="B207" s="26" t="s">
        <v>230</v>
      </c>
      <c r="C207" s="27" t="s">
        <v>81</v>
      </c>
      <c r="D207" s="27" t="s">
        <v>74</v>
      </c>
      <c r="E207" s="36" t="s">
        <v>31</v>
      </c>
      <c r="F207" s="37">
        <f ca="1">VLOOKUP(B207,SP!A1:I161,IF(Settings!$J$13="points",4,7),FALSE)</f>
        <v>61</v>
      </c>
      <c r="G207" s="30">
        <f>(AC207*Settings!$F$2)+(AF207*Settings!$F$5)+(AG207*Settings!$F$6)+(AH207*Settings!$F$7)+(AI207*Settings!$F$8)+(AJ207*Settings!$F$9)+(AK207*Settings!$F$10)+(AL207*Settings!$F$11)+(AM207*Settings!$F$12)+(AN207*Settings!$F$13)+(AO207*Settings!$F$14)+(AP207*Settings!$F$15)+(AQ207*Settings!$F$16)+(AR207*Settings!$F$17)</f>
        <v>335.04626666666661</v>
      </c>
      <c r="H207" s="31">
        <f>VLOOKUP(B207,'Standard Deviations'!$A1:$D651,4,FALSE)</f>
        <v>1.0302112353223676</v>
      </c>
      <c r="I207" s="32">
        <f ca="1">IF(Settings!$J$16="no",VLOOKUP(B207,SP!A1:I161,IF(Settings!$J$13="points",6,9),FALSE),VLOOKUP(B207,'SP+RP'!$A1:$I251,IF(Settings!$J$13="points",6,9),FALSE))</f>
        <v>1.8977939193922766</v>
      </c>
      <c r="J207" s="31"/>
      <c r="K207" s="31">
        <f ca="1">J207-A207</f>
        <v>-206</v>
      </c>
      <c r="L207" s="31"/>
      <c r="M207" s="31"/>
      <c r="N207" s="31"/>
      <c r="O207" s="31"/>
      <c r="P207" s="31"/>
      <c r="Q207" s="31"/>
      <c r="R207" s="152"/>
      <c r="S207" s="152"/>
      <c r="T207" s="154"/>
      <c r="U207" s="154"/>
      <c r="V207" s="154"/>
      <c r="W207" s="154"/>
      <c r="X207" s="154"/>
      <c r="Y207" s="152"/>
      <c r="Z207" s="152"/>
      <c r="AA207" s="31"/>
      <c r="AB207" s="31"/>
      <c r="AC207" s="31">
        <f>VLOOKUP($B207,Pitchers!$A1:$S251,4,FALSE)</f>
        <v>140.17111111111112</v>
      </c>
      <c r="AD207" s="33">
        <f>VLOOKUP($B207,Pitchers!$A1:$S251,5,FALSE)</f>
        <v>3.843720690584524</v>
      </c>
      <c r="AE207" s="33">
        <f>VLOOKUP($B207,Pitchers!$A1:$S251,6,FALSE)</f>
        <v>1.2124229116793761</v>
      </c>
      <c r="AF207" s="31">
        <f>VLOOKUP($B207,Pitchers!$A1:$S251,7,FALSE)</f>
        <v>133.25888888888889</v>
      </c>
      <c r="AG207" s="31">
        <f>VLOOKUP($B207,Pitchers!$A1:$S251,8,FALSE)</f>
        <v>10.693333333333333</v>
      </c>
      <c r="AH207" s="31">
        <f>VLOOKUP($B207,Pitchers!$A1:$S251,9,FALSE)</f>
        <v>0</v>
      </c>
      <c r="AI207" s="31">
        <f>VLOOKUP($B207,Pitchers!$A1:$S251,10,FALSE)</f>
        <v>59.864288888888893</v>
      </c>
      <c r="AJ207" s="31">
        <f>VLOOKUP($B207,Pitchers!$A1:$S251,11,FALSE)</f>
        <v>122.9088888888889</v>
      </c>
      <c r="AK207" s="31">
        <f>VLOOKUP($B207,Pitchers!$A1:$S251,12,FALSE)</f>
        <v>47.037777777777784</v>
      </c>
      <c r="AL207" s="31">
        <f>VLOOKUP($B207,Pitchers!$A1:$S251,13,FALSE)</f>
        <v>18.666666666666668</v>
      </c>
      <c r="AM207" s="31">
        <f>VLOOKUP($B207,Pitchers!$A1:$S251,14,FALSE)</f>
        <v>26.624444444444446</v>
      </c>
      <c r="AN207" s="31">
        <f>VLOOKUP($B207,Pitchers!$A1:$S251,15,FALSE)</f>
        <v>26.624444444444446</v>
      </c>
      <c r="AO207" s="31">
        <f>VLOOKUP($B207,Pitchers!$A1:$S251,16,FALSE)</f>
        <v>6.6277777777777773</v>
      </c>
      <c r="AP207" s="31">
        <f>VLOOKUP($B207,Pitchers!$A1:$S251,17,FALSE)</f>
        <v>12</v>
      </c>
      <c r="AQ207" s="31">
        <f>VLOOKUP($B207,Pitchers!$A1:$S251,18,FALSE)</f>
        <v>0</v>
      </c>
      <c r="AR207" s="31">
        <f>VLOOKUP($B207,Pitchers!$A1:$S251,19,FALSE)</f>
        <v>0</v>
      </c>
    </row>
    <row r="208" spans="1:44" ht="20.100000000000001" customHeight="1">
      <c r="A208" s="25">
        <f ca="1">RANK(I208,I$2:I$651)</f>
        <v>207</v>
      </c>
      <c r="B208" s="26" t="s">
        <v>212</v>
      </c>
      <c r="C208" s="27" t="s">
        <v>176</v>
      </c>
      <c r="D208" s="27" t="s">
        <v>74</v>
      </c>
      <c r="E208" s="28" t="s">
        <v>23</v>
      </c>
      <c r="F208" s="29">
        <f ca="1">VLOOKUP(B208,OF!A1:I139,IF(Settings!$J$13="points",4,7),FALSE)</f>
        <v>45</v>
      </c>
      <c r="G208" s="30">
        <f>(M208*Settings!$B$2)+(N208*Settings!$B$3)+(O208*Settings!$B$4)+(P208*Settings!$B$5)+(Q208*Settings!$B$6)+((T208-U208-V208-O208)*Settings!$B$9)+(U208*Settings!$B$10)+(V208*Settings!$B$11)+(W208*Settings!$B$12)+(X208*Settings!$B$13)+(AA208*Settings!$B$16)</f>
        <v>319.76444444444445</v>
      </c>
      <c r="H208" s="31">
        <f>VLOOKUP(B208,'Standard Deviations'!$A1:$D651,4,FALSE)</f>
        <v>1.7356110584836966</v>
      </c>
      <c r="I208" s="32">
        <f ca="1">VLOOKUP(B208,OF!A1:I139,IF(Settings!$J$13="points",6,9),FALSE)</f>
        <v>1.8925468273445263</v>
      </c>
      <c r="J208" s="31"/>
      <c r="K208" s="31">
        <f ca="1">J208-A208</f>
        <v>-207</v>
      </c>
      <c r="L208" s="31"/>
      <c r="M208" s="31">
        <f>VLOOKUP($B208,Hitters!$A1:$R401,4,FALSE)</f>
        <v>472.78888888888895</v>
      </c>
      <c r="N208" s="31">
        <f>VLOOKUP($B208,Hitters!$A1:$R401,5,FALSE)</f>
        <v>62.625555555555557</v>
      </c>
      <c r="O208" s="31">
        <f>VLOOKUP($B208,Hitters!$A1:$R401,6,FALSE)</f>
        <v>13.078333333333333</v>
      </c>
      <c r="P208" s="31">
        <f>VLOOKUP($B208,Hitters!$A1:$R401,7,FALSE)</f>
        <v>62.843333333333334</v>
      </c>
      <c r="Q208" s="31">
        <f>VLOOKUP($B208,Hitters!$A1:$R401,8,FALSE)</f>
        <v>3.5266666666666668</v>
      </c>
      <c r="R208" s="152">
        <f>VLOOKUP($B208,Hitters!$A$1:$R$401,14,FALSE)</f>
        <v>0.270571784446899</v>
      </c>
      <c r="S208" s="152">
        <f>VLOOKUP($B208,Hitters!$A$1:$R$401,15,FALSE)</f>
        <v>0.33152236630230358</v>
      </c>
      <c r="T208" s="154">
        <f>VLOOKUP($B208,Hitters!$A$1:$R$401,9,FALSE)</f>
        <v>127.92333333333333</v>
      </c>
      <c r="U208" s="154">
        <f>VLOOKUP($B208,Hitters!$A$1:$R$401,10,FALSE)</f>
        <v>23.14833333333333</v>
      </c>
      <c r="V208" s="154">
        <f>VLOOKUP($B208,Hitters!$A$1:$R$401,11,FALSE)</f>
        <v>4.0233333333333334</v>
      </c>
      <c r="W208" s="154">
        <f>VLOOKUP($B208,Hitters!$A$1:$R$401,12,FALSE)</f>
        <v>35.977777777777781</v>
      </c>
      <c r="X208" s="154">
        <f>VLOOKUP($B208,Hitters!$A$1:$R$401,13,FALSE)</f>
        <v>94.177777777777763</v>
      </c>
      <c r="Y208" s="152">
        <f>VLOOKUP($B208,Hitters!$A$1:$R$401,16,FALSE)</f>
        <v>0.41953890625367202</v>
      </c>
      <c r="Z208" s="152">
        <f>VLOOKUP($B208,Hitters!$A$1:$R$401,17,FALSE)</f>
        <v>0.75106127255597555</v>
      </c>
      <c r="AA208" s="31">
        <f>VLOOKUP($B208,Hitters!$A1:$R401,18,FALSE)</f>
        <v>0</v>
      </c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</row>
    <row r="209" spans="1:44" ht="18.600000000000001" customHeight="1">
      <c r="A209" s="25">
        <f ca="1">RANK(I209,I$2:I$651)</f>
        <v>208</v>
      </c>
      <c r="B209" s="26" t="s">
        <v>301</v>
      </c>
      <c r="C209" s="27" t="s">
        <v>117</v>
      </c>
      <c r="D209" s="27" t="s">
        <v>69</v>
      </c>
      <c r="E209" s="42" t="s">
        <v>34</v>
      </c>
      <c r="F209" s="43">
        <f ca="1">VLOOKUP(B209,RP!A1:I91,IF(Settings!$J$13="points",4,7),FALSE)</f>
        <v>23</v>
      </c>
      <c r="G209" s="30">
        <f>(AC209*Settings!$F$2)+(AF209*Settings!$F$5)+(AG209*Settings!$F$6)+(AH209*Settings!$F$7)+(AI209*Settings!$F$8)+(AJ209*Settings!$F$9)+(AK209*Settings!$F$10)+(AL209*Settings!$F$11)+(AM209*Settings!$F$12)+(AN209*Settings!$F$13)+(AO209*Settings!$F$14)+(AP209*Settings!$F$15)+(AQ209*Settings!$F$16)+(AR209*Settings!$F$17)</f>
        <v>286.89333333333337</v>
      </c>
      <c r="H209" s="31">
        <f>VLOOKUP(B209,'Standard Deviations'!$A1:$D651,4,FALSE)</f>
        <v>0.97939334336374007</v>
      </c>
      <c r="I209" s="32">
        <f ca="1">IF(Settings!$J$16="no",VLOOKUP(B209,RP!A1:I91,IF(Settings!$J$13="points",6,9),FALSE),VLOOKUP(B209,'SP+RP'!$A1:$I251,IF(Settings!$J$13="points",6,9),FALSE))</f>
        <v>1.8469778600827715</v>
      </c>
      <c r="J209" s="31"/>
      <c r="K209" s="31">
        <f ca="1">J209-A209</f>
        <v>-208</v>
      </c>
      <c r="L209" s="31"/>
      <c r="M209" s="31"/>
      <c r="N209" s="31"/>
      <c r="O209" s="31"/>
      <c r="P209" s="31"/>
      <c r="Q209" s="31"/>
      <c r="R209" s="152"/>
      <c r="S209" s="152"/>
      <c r="T209" s="154"/>
      <c r="U209" s="154"/>
      <c r="V209" s="154"/>
      <c r="W209" s="154"/>
      <c r="X209" s="154"/>
      <c r="Y209" s="152"/>
      <c r="Z209" s="152"/>
      <c r="AA209" s="31"/>
      <c r="AB209" s="31"/>
      <c r="AC209" s="31">
        <f>VLOOKUP($B209,Pitchers!$A1:$S251,4,FALSE)</f>
        <v>69.426666666666662</v>
      </c>
      <c r="AD209" s="33">
        <f>VLOOKUP($B209,Pitchers!$A1:$S251,5,FALSE)</f>
        <v>3.5270309199154988</v>
      </c>
      <c r="AE209" s="33">
        <f>VLOOKUP($B209,Pitchers!$A1:$S251,6,FALSE)</f>
        <v>1.2238333013251392</v>
      </c>
      <c r="AF209" s="31">
        <f>VLOOKUP($B209,Pitchers!$A1:$S251,7,FALSE)</f>
        <v>75.095555555555549</v>
      </c>
      <c r="AG209" s="31">
        <f>VLOOKUP($B209,Pitchers!$A1:$S251,8,FALSE)</f>
        <v>3.1477777777777778</v>
      </c>
      <c r="AH209" s="31">
        <f>VLOOKUP($B209,Pitchers!$A1:$S251,9,FALSE)</f>
        <v>20.911111111111111</v>
      </c>
      <c r="AI209" s="31">
        <f>VLOOKUP($B209,Pitchers!$A1:$S251,10,FALSE)</f>
        <v>27.207777777777778</v>
      </c>
      <c r="AJ209" s="31">
        <f>VLOOKUP($B209,Pitchers!$A1:$S251,11,FALSE)</f>
        <v>60.864444444444445</v>
      </c>
      <c r="AK209" s="31">
        <f>VLOOKUP($B209,Pitchers!$A1:$S251,12,FALSE)</f>
        <v>24.102222222222224</v>
      </c>
      <c r="AL209" s="31">
        <f>VLOOKUP($B209,Pitchers!$A1:$S251,13,FALSE)</f>
        <v>8</v>
      </c>
      <c r="AM209" s="31">
        <f>VLOOKUP($B209,Pitchers!$A1:$S251,14,FALSE)</f>
        <v>68.25333333333333</v>
      </c>
      <c r="AN209" s="31">
        <f>VLOOKUP($B209,Pitchers!$A1:$S251,15,FALSE)</f>
        <v>0</v>
      </c>
      <c r="AO209" s="31">
        <f>VLOOKUP($B209,Pitchers!$A1:$S251,16,FALSE)</f>
        <v>3.0344444444444445</v>
      </c>
      <c r="AP209" s="31">
        <f>VLOOKUP($B209,Pitchers!$A1:$S251,17,FALSE)</f>
        <v>0</v>
      </c>
      <c r="AQ209" s="31">
        <f>VLOOKUP($B209,Pitchers!$A1:$S251,18,FALSE)</f>
        <v>12</v>
      </c>
      <c r="AR209" s="31">
        <f>VLOOKUP($B209,Pitchers!$A1:$S251,19,FALSE)</f>
        <v>4</v>
      </c>
    </row>
    <row r="210" spans="1:44" ht="18.600000000000001" customHeight="1">
      <c r="A210" s="25">
        <f ca="1">RANK(I210,I$2:I$651)</f>
        <v>209</v>
      </c>
      <c r="B210" s="26" t="s">
        <v>235</v>
      </c>
      <c r="C210" s="27" t="s">
        <v>99</v>
      </c>
      <c r="D210" s="27" t="s">
        <v>69</v>
      </c>
      <c r="E210" s="28" t="s">
        <v>23</v>
      </c>
      <c r="F210" s="29">
        <f ca="1">VLOOKUP(B210,OF!A1:I139,IF(Settings!$J$13="points",4,7),FALSE)</f>
        <v>46</v>
      </c>
      <c r="G210" s="30">
        <f>(M210*Settings!$B$2)+(N210*Settings!$B$3)+(O210*Settings!$B$4)+(P210*Settings!$B$5)+(Q210*Settings!$B$6)+((T210-U210-V210-O210)*Settings!$B$9)+(U210*Settings!$B$10)+(V210*Settings!$B$11)+(W210*Settings!$B$12)+(X210*Settings!$B$13)+(AA210*Settings!$B$16)</f>
        <v>329.02833333333342</v>
      </c>
      <c r="H210" s="31">
        <f>VLOOKUP(B210,'Standard Deviations'!$A1:$D651,4,FALSE)</f>
        <v>1.6678348948137605</v>
      </c>
      <c r="I210" s="32">
        <f ca="1">VLOOKUP(B210,OF!A1:I139,IF(Settings!$J$13="points",6,9),FALSE)</f>
        <v>1.8247618688508183</v>
      </c>
      <c r="J210" s="31"/>
      <c r="K210" s="31">
        <f ca="1">J210-A210</f>
        <v>-209</v>
      </c>
      <c r="L210" s="31"/>
      <c r="M210" s="31">
        <f>VLOOKUP($B210,Hitters!$A1:$R401,4,FALSE)</f>
        <v>511.24444444444447</v>
      </c>
      <c r="N210" s="31">
        <f>VLOOKUP($B210,Hitters!$A1:$R401,5,FALSE)</f>
        <v>64.435555555555553</v>
      </c>
      <c r="O210" s="31">
        <f>VLOOKUP($B210,Hitters!$A1:$R401,6,FALSE)</f>
        <v>17.616666666666667</v>
      </c>
      <c r="P210" s="31">
        <f>VLOOKUP($B210,Hitters!$A1:$R401,7,FALSE)</f>
        <v>65.525555555555556</v>
      </c>
      <c r="Q210" s="31">
        <f>VLOOKUP($B210,Hitters!$A1:$R401,8,FALSE)</f>
        <v>4.9833333333333334</v>
      </c>
      <c r="R210" s="152">
        <f>VLOOKUP($B210,Hitters!$A$1:$R$401,14,FALSE)</f>
        <v>0.25045640267756236</v>
      </c>
      <c r="S210" s="152">
        <f>VLOOKUP($B210,Hitters!$A$1:$R$401,15,FALSE)</f>
        <v>0.30527179918629754</v>
      </c>
      <c r="T210" s="154">
        <f>VLOOKUP($B210,Hitters!$A$1:$R$401,9,FALSE)</f>
        <v>128.04444444444445</v>
      </c>
      <c r="U210" s="154">
        <f>VLOOKUP($B210,Hitters!$A$1:$R$401,10,FALSE)</f>
        <v>27.372222222222224</v>
      </c>
      <c r="V210" s="154">
        <f>VLOOKUP($B210,Hitters!$A$1:$R$401,11,FALSE)</f>
        <v>2.0183333333333335</v>
      </c>
      <c r="W210" s="154">
        <f>VLOOKUP($B210,Hitters!$A$1:$R$401,12,FALSE)</f>
        <v>32.049999999999997</v>
      </c>
      <c r="X210" s="154">
        <f>VLOOKUP($B210,Hitters!$A$1:$R$401,13,FALSE)</f>
        <v>110.50555555555555</v>
      </c>
      <c r="Y210" s="152">
        <f>VLOOKUP($B210,Hitters!$A$1:$R$401,16,FALSE)</f>
        <v>0.41526775623750328</v>
      </c>
      <c r="Z210" s="152">
        <f>VLOOKUP($B210,Hitters!$A$1:$R$401,17,FALSE)</f>
        <v>0.72053955542380077</v>
      </c>
      <c r="AA210" s="31">
        <f>VLOOKUP($B210,Hitters!$A1:$R401,18,FALSE)</f>
        <v>0</v>
      </c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</row>
    <row r="211" spans="1:44" ht="18.600000000000001" customHeight="1">
      <c r="A211" s="25">
        <f ca="1">RANK(I211,I$2:I$651)</f>
        <v>210</v>
      </c>
      <c r="B211" s="26" t="s">
        <v>399</v>
      </c>
      <c r="C211" s="27" t="s">
        <v>306</v>
      </c>
      <c r="D211" s="27" t="s">
        <v>74</v>
      </c>
      <c r="E211" s="40" t="s">
        <v>7</v>
      </c>
      <c r="F211" s="41">
        <f ca="1">VLOOKUP(B211,'1B'!A1:I63,IF(Settings!$J$13="points",4,7),FALSE)</f>
        <v>23</v>
      </c>
      <c r="G211" s="30">
        <f>(M211*Settings!$B$2)+(N211*Settings!$B$3)+(O211*Settings!$B$4)+(P211*Settings!$B$5)+(Q211*Settings!$B$6)+((T211-U211-V211-O211)*Settings!$B$9)+(U211*Settings!$B$10)+(V211*Settings!$B$11)+(W211*Settings!$B$12)+(X211*Settings!$B$13)+(AA211*Settings!$B$16)</f>
        <v>327.95666666666671</v>
      </c>
      <c r="H211" s="31">
        <f>VLOOKUP(B211,'Standard Deviations'!$A1:$D651,4,FALSE)</f>
        <v>2.0056059795570249</v>
      </c>
      <c r="I211" s="32">
        <f ca="1">IF(Settings!$J$15="no",VLOOKUP(B211,'1B'!A1:I63,IF(Settings!$J$13="points",6,9),FALSE),VLOOKUP(B211,'1B+3B'!$A1:$I104,IF(Settings!$J$13="points",6,9),FALSE))</f>
        <v>1.7801266764058796</v>
      </c>
      <c r="J211" s="31"/>
      <c r="K211" s="31">
        <f ca="1">J211-A211</f>
        <v>-210</v>
      </c>
      <c r="L211" s="31"/>
      <c r="M211" s="31">
        <f>VLOOKUP($B211,Hitters!$A1:$R401,4,FALSE)</f>
        <v>514.4</v>
      </c>
      <c r="N211" s="31">
        <f>VLOOKUP($B211,Hitters!$A1:$R401,5,FALSE)</f>
        <v>61.026666666666664</v>
      </c>
      <c r="O211" s="31">
        <f>VLOOKUP($B211,Hitters!$A1:$R401,6,FALSE)</f>
        <v>21.04</v>
      </c>
      <c r="P211" s="31">
        <f>VLOOKUP($B211,Hitters!$A1:$R401,7,FALSE)</f>
        <v>70.91</v>
      </c>
      <c r="Q211" s="31">
        <f>VLOOKUP($B211,Hitters!$A1:$R401,8,FALSE)</f>
        <v>1.0216666666666667</v>
      </c>
      <c r="R211" s="152">
        <f>VLOOKUP($B211,Hitters!$A$1:$R$401,14,FALSE)</f>
        <v>0.25777820978054261</v>
      </c>
      <c r="S211" s="152">
        <f>VLOOKUP($B211,Hitters!$A$1:$R$401,15,FALSE)</f>
        <v>0.31479189474366898</v>
      </c>
      <c r="T211" s="154">
        <f>VLOOKUP($B211,Hitters!$A$1:$R$401,9,FALSE)</f>
        <v>132.60111111111112</v>
      </c>
      <c r="U211" s="154">
        <f>VLOOKUP($B211,Hitters!$A$1:$R$401,10,FALSE)</f>
        <v>26.152222222222221</v>
      </c>
      <c r="V211" s="154">
        <f>VLOOKUP($B211,Hitters!$A$1:$R$401,11,FALSE)</f>
        <v>0.99111111111111116</v>
      </c>
      <c r="W211" s="154">
        <f>VLOOKUP($B211,Hitters!$A$1:$R$401,12,FALSE)</f>
        <v>34.667777777777779</v>
      </c>
      <c r="X211" s="154">
        <f>VLOOKUP($B211,Hitters!$A$1:$R$401,13,FALSE)</f>
        <v>129.09333333333333</v>
      </c>
      <c r="Y211" s="152">
        <f>VLOOKUP($B211,Hitters!$A$1:$R$401,16,FALSE)</f>
        <v>0.43517798513910488</v>
      </c>
      <c r="Z211" s="152">
        <f>VLOOKUP($B211,Hitters!$A$1:$R$401,17,FALSE)</f>
        <v>0.74996987988277386</v>
      </c>
      <c r="AA211" s="31">
        <f>VLOOKUP($B211,Hitters!$A1:$R401,18,FALSE)</f>
        <v>0</v>
      </c>
      <c r="AB211" s="31"/>
      <c r="AC211" s="31"/>
      <c r="AD211" s="33"/>
      <c r="AE211" s="33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</row>
    <row r="212" spans="1:44" ht="18.600000000000001" customHeight="1">
      <c r="A212" s="25">
        <f ca="1">RANK(I212,I$2:I$651)</f>
        <v>211</v>
      </c>
      <c r="B212" s="26" t="s">
        <v>473</v>
      </c>
      <c r="C212" s="27" t="s">
        <v>306</v>
      </c>
      <c r="D212" s="27" t="s">
        <v>74</v>
      </c>
      <c r="E212" s="38" t="s">
        <v>27</v>
      </c>
      <c r="F212" s="39">
        <f ca="1">VLOOKUP(B212,SS!A1:I45,IF(Settings!$J$13="points",4,7),FALSE)</f>
        <v>19</v>
      </c>
      <c r="G212" s="30">
        <f>(M212*Settings!$B$2)+(N212*Settings!$B$3)+(O212*Settings!$B$4)+(P212*Settings!$B$5)+(Q212*Settings!$B$6)+((T212-U212-V212-O212)*Settings!$B$9)+(U212*Settings!$B$10)+(V212*Settings!$B$11)+(W212*Settings!$B$12)+(X212*Settings!$B$13)+(AA212*Settings!$B$16)</f>
        <v>302.78444444444449</v>
      </c>
      <c r="H212" s="31">
        <f>VLOOKUP(B212,'Standard Deviations'!$A1:$D651,4,FALSE)</f>
        <v>1.7140930626702875</v>
      </c>
      <c r="I212" s="32">
        <f ca="1">IF(Settings!$J$16="no",VLOOKUP(B212,SS!A1:I45,IF(Settings!$J$13="points",6,9),FALSE),VLOOKUP(B212,'2B+SS'!$A1:$I94,IF(Settings!$J$13="points",6,9),FALSE))</f>
        <v>1.7080537782820959</v>
      </c>
      <c r="J212" s="31"/>
      <c r="K212" s="31">
        <f ca="1">J212-A212</f>
        <v>-211</v>
      </c>
      <c r="L212" s="31"/>
      <c r="M212" s="31">
        <f>VLOOKUP($B212,Hitters!$A1:$R401,4,FALSE)</f>
        <v>498.28888888888895</v>
      </c>
      <c r="N212" s="31">
        <f>VLOOKUP($B212,Hitters!$A1:$R401,5,FALSE)</f>
        <v>59.885555555555555</v>
      </c>
      <c r="O212" s="31">
        <f>VLOOKUP($B212,Hitters!$A1:$R401,6,FALSE)</f>
        <v>8.4266666666666659</v>
      </c>
      <c r="P212" s="31">
        <f>VLOOKUP($B212,Hitters!$A1:$R401,7,FALSE)</f>
        <v>49.26</v>
      </c>
      <c r="Q212" s="31">
        <f>VLOOKUP($B212,Hitters!$A1:$R401,8,FALSE)</f>
        <v>18.066666666666666</v>
      </c>
      <c r="R212" s="152">
        <f>VLOOKUP($B212,Hitters!$A$1:$R$401,14,FALSE)</f>
        <v>0.25594255897961915</v>
      </c>
      <c r="S212" s="152">
        <f>VLOOKUP($B212,Hitters!$A$1:$R$401,15,FALSE)</f>
        <v>0.29587715745366061</v>
      </c>
      <c r="T212" s="154">
        <f>VLOOKUP($B212,Hitters!$A$1:$R$401,9,FALSE)</f>
        <v>127.53333333333335</v>
      </c>
      <c r="U212" s="154">
        <f>VLOOKUP($B212,Hitters!$A$1:$R$401,10,FALSE)</f>
        <v>26.504444444444445</v>
      </c>
      <c r="V212" s="154">
        <f>VLOOKUP($B212,Hitters!$A$1:$R$401,11,FALSE)</f>
        <v>2.9988888888888887</v>
      </c>
      <c r="W212" s="154">
        <f>VLOOKUP($B212,Hitters!$A$1:$R$401,12,FALSE)</f>
        <v>19.991111111111113</v>
      </c>
      <c r="X212" s="154">
        <f>VLOOKUP($B212,Hitters!$A$1:$R$401,13,FALSE)</f>
        <v>95.602222222222224</v>
      </c>
      <c r="Y212" s="152">
        <f>VLOOKUP($B212,Hitters!$A$1:$R$401,16,FALSE)</f>
        <v>0.37190384872675381</v>
      </c>
      <c r="Z212" s="152">
        <f>VLOOKUP($B212,Hitters!$A$1:$R$401,17,FALSE)</f>
        <v>0.66778100618041436</v>
      </c>
      <c r="AA212" s="31">
        <f>VLOOKUP($B212,Hitters!$A1:$R401,18,FALSE)</f>
        <v>0</v>
      </c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</row>
    <row r="213" spans="1:44" ht="18.600000000000001" customHeight="1">
      <c r="A213" s="25">
        <f ca="1">RANK(I213,I$2:I$651)</f>
        <v>212</v>
      </c>
      <c r="B213" s="26" t="s">
        <v>390</v>
      </c>
      <c r="C213" s="27" t="s">
        <v>71</v>
      </c>
      <c r="D213" s="27" t="s">
        <v>69</v>
      </c>
      <c r="E213" s="48" t="s">
        <v>11</v>
      </c>
      <c r="F213" s="49">
        <f ca="1">VLOOKUP(B213,'2B'!A1:I50,IF(Settings!$J$13="points",4,7),FALSE)</f>
        <v>19</v>
      </c>
      <c r="G213" s="30">
        <f>(M213*Settings!$B$2)+(N213*Settings!$B$3)+(O213*Settings!$B$4)+(P213*Settings!$B$5)+(Q213*Settings!$B$6)+((T213-U213-V213-O213)*Settings!$B$9)+(U213*Settings!$B$10)+(V213*Settings!$B$11)+(W213*Settings!$B$12)+(X213*Settings!$B$13)+(AA213*Settings!$B$16)</f>
        <v>315.16750000000002</v>
      </c>
      <c r="H213" s="31">
        <f>VLOOKUP(B213,'Standard Deviations'!$A1:$D651,4,FALSE)</f>
        <v>1.6937487371033115</v>
      </c>
      <c r="I213" s="32">
        <f ca="1">IF(Settings!$J$16="no",VLOOKUP(B213,'2B'!A1:I50,IF(Settings!$J$13="points",6,9),FALSE),VLOOKUP(B213,'2B+SS'!$A1:$I94,IF(Settings!$J$13="points",6,9),FALSE))</f>
        <v>1.6877059415039355</v>
      </c>
      <c r="J213" s="31"/>
      <c r="K213" s="31">
        <f ca="1">J213-A213</f>
        <v>-212</v>
      </c>
      <c r="L213" s="31"/>
      <c r="M213" s="31">
        <f>VLOOKUP($B213,Hitters!$A1:$R401,4,FALSE)</f>
        <v>454.75555555555553</v>
      </c>
      <c r="N213" s="31">
        <f>VLOOKUP($B213,Hitters!$A1:$R401,5,FALSE)</f>
        <v>62.598888888888894</v>
      </c>
      <c r="O213" s="31">
        <f>VLOOKUP($B213,Hitters!$A1:$R401,6,FALSE)</f>
        <v>11.934444444444445</v>
      </c>
      <c r="P213" s="31">
        <f>VLOOKUP($B213,Hitters!$A1:$R401,7,FALSE)</f>
        <v>48.115000000000002</v>
      </c>
      <c r="Q213" s="31">
        <f>VLOOKUP($B213,Hitters!$A1:$R401,8,FALSE)</f>
        <v>16.997777777777777</v>
      </c>
      <c r="R213" s="152">
        <f>VLOOKUP($B213,Hitters!$A$1:$R$401,14,FALSE)</f>
        <v>0.24867816653635652</v>
      </c>
      <c r="S213" s="152">
        <f>VLOOKUP($B213,Hitters!$A$1:$R$401,15,FALSE)</f>
        <v>0.31942621551282563</v>
      </c>
      <c r="T213" s="154">
        <f>VLOOKUP($B213,Hitters!$A$1:$R$401,9,FALSE)</f>
        <v>113.08777777777777</v>
      </c>
      <c r="U213" s="154">
        <f>VLOOKUP($B213,Hitters!$A$1:$R$401,10,FALSE)</f>
        <v>23.284444444444443</v>
      </c>
      <c r="V213" s="154">
        <f>VLOOKUP($B213,Hitters!$A$1:$R$401,11,FALSE)</f>
        <v>2.0499999999999998</v>
      </c>
      <c r="W213" s="154">
        <f>VLOOKUP($B213,Hitters!$A$1:$R$401,12,FALSE)</f>
        <v>40.173333333333332</v>
      </c>
      <c r="X213" s="154">
        <f>VLOOKUP($B213,Hitters!$A$1:$R$401,13,FALSE)</f>
        <v>91.981666666666669</v>
      </c>
      <c r="Y213" s="152">
        <f>VLOOKUP($B213,Hitters!$A$1:$R$401,16,FALSE)</f>
        <v>0.3876270523846756</v>
      </c>
      <c r="Z213" s="152">
        <f>VLOOKUP($B213,Hitters!$A$1:$R$401,17,FALSE)</f>
        <v>0.70705326789750123</v>
      </c>
      <c r="AA213" s="31">
        <f>VLOOKUP($B213,Hitters!$A1:$R401,18,FALSE)</f>
        <v>0</v>
      </c>
      <c r="AB213" s="31"/>
      <c r="AC213" s="31"/>
      <c r="AD213" s="33"/>
      <c r="AE213" s="33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</row>
    <row r="214" spans="1:44" ht="18.600000000000001" customHeight="1">
      <c r="A214" s="25">
        <f ca="1">RANK(I214,I$2:I$651)</f>
        <v>213</v>
      </c>
      <c r="B214" s="26" t="s">
        <v>257</v>
      </c>
      <c r="C214" s="27" t="s">
        <v>258</v>
      </c>
      <c r="D214" s="27" t="s">
        <v>69</v>
      </c>
      <c r="E214" s="28" t="s">
        <v>23</v>
      </c>
      <c r="F214" s="29">
        <f ca="1">VLOOKUP(B214,OF!A1:I139,IF(Settings!$J$13="points",4,7),FALSE)</f>
        <v>47</v>
      </c>
      <c r="G214" s="30">
        <f>(M214*Settings!$B$2)+(N214*Settings!$B$3)+(O214*Settings!$B$4)+(P214*Settings!$B$5)+(Q214*Settings!$B$6)+((T214-U214-V214-O214)*Settings!$B$9)+(U214*Settings!$B$10)+(V214*Settings!$B$11)+(W214*Settings!$B$12)+(X214*Settings!$B$13)+(AA214*Settings!$B$16)</f>
        <v>326.48611111111114</v>
      </c>
      <c r="H214" s="31">
        <f>VLOOKUP(B214,'Standard Deviations'!$A1:$D651,4,FALSE)</f>
        <v>1.4920979055112722</v>
      </c>
      <c r="I214" s="32">
        <f ca="1">VLOOKUP(B214,OF!A1:I139,IF(Settings!$J$13="points",6,9),FALSE)</f>
        <v>1.6490258948757583</v>
      </c>
      <c r="J214" s="31"/>
      <c r="K214" s="31">
        <f ca="1">J214-A214</f>
        <v>-213</v>
      </c>
      <c r="L214" s="31"/>
      <c r="M214" s="31">
        <f>VLOOKUP($B214,Hitters!$A1:$R401,4,FALSE)</f>
        <v>530.86666666666667</v>
      </c>
      <c r="N214" s="31">
        <f>VLOOKUP($B214,Hitters!$A1:$R401,5,FALSE)</f>
        <v>70.583333333333343</v>
      </c>
      <c r="O214" s="31">
        <f>VLOOKUP($B214,Hitters!$A1:$R401,6,FALSE)</f>
        <v>12.945555555555556</v>
      </c>
      <c r="P214" s="31">
        <f>VLOOKUP($B214,Hitters!$A1:$R401,7,FALSE)</f>
        <v>58.506666666666668</v>
      </c>
      <c r="Q214" s="31">
        <f>VLOOKUP($B214,Hitters!$A1:$R401,8,FALSE)</f>
        <v>7.87</v>
      </c>
      <c r="R214" s="152">
        <f>VLOOKUP($B214,Hitters!$A$1:$R$401,14,FALSE)</f>
        <v>0.25121185482858222</v>
      </c>
      <c r="S214" s="152">
        <f>VLOOKUP($B214,Hitters!$A$1:$R$401,15,FALSE)</f>
        <v>0.32817140909996284</v>
      </c>
      <c r="T214" s="154">
        <f>VLOOKUP($B214,Hitters!$A$1:$R$401,9,FALSE)</f>
        <v>133.36000000000001</v>
      </c>
      <c r="U214" s="154">
        <f>VLOOKUP($B214,Hitters!$A$1:$R$401,10,FALSE)</f>
        <v>24.874444444444446</v>
      </c>
      <c r="V214" s="154">
        <f>VLOOKUP($B214,Hitters!$A$1:$R$401,11,FALSE)</f>
        <v>5.0233333333333334</v>
      </c>
      <c r="W214" s="154">
        <f>VLOOKUP($B214,Hitters!$A$1:$R$401,12,FALSE)</f>
        <v>52.726666666666667</v>
      </c>
      <c r="X214" s="154">
        <f>VLOOKUP($B214,Hitters!$A$1:$R$401,13,FALSE)</f>
        <v>156.37666666666667</v>
      </c>
      <c r="Y214" s="152">
        <f>VLOOKUP($B214,Hitters!$A$1:$R$401,16,FALSE)</f>
        <v>0.3901502783707983</v>
      </c>
      <c r="Z214" s="152">
        <f>VLOOKUP($B214,Hitters!$A$1:$R$401,17,FALSE)</f>
        <v>0.71832168747076119</v>
      </c>
      <c r="AA214" s="31">
        <f>VLOOKUP($B214,Hitters!$A1:$R401,18,FALSE)</f>
        <v>0</v>
      </c>
      <c r="AB214" s="31"/>
      <c r="AC214" s="31"/>
      <c r="AD214" s="33"/>
      <c r="AE214" s="33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</row>
    <row r="215" spans="1:44" ht="18.600000000000001" customHeight="1">
      <c r="A215" s="25">
        <f ca="1">RANK(I215,I$2:I$651)</f>
        <v>214</v>
      </c>
      <c r="B215" s="26" t="s">
        <v>381</v>
      </c>
      <c r="C215" s="27" t="s">
        <v>120</v>
      </c>
      <c r="D215" s="27" t="s">
        <v>74</v>
      </c>
      <c r="E215" s="48" t="s">
        <v>11</v>
      </c>
      <c r="F215" s="49">
        <f ca="1">VLOOKUP(B215,'2B'!A1:I50,IF(Settings!$J$13="points",4,7),FALSE)</f>
        <v>20</v>
      </c>
      <c r="G215" s="30">
        <f>(M215*Settings!$B$2)+(N215*Settings!$B$3)+(O215*Settings!$B$4)+(P215*Settings!$B$5)+(Q215*Settings!$B$6)+((T215-U215-V215-O215)*Settings!$B$9)+(U215*Settings!$B$10)+(V215*Settings!$B$11)+(W215*Settings!$B$12)+(X215*Settings!$B$13)+(AA215*Settings!$B$16)</f>
        <v>309.6583333333333</v>
      </c>
      <c r="H215" s="31">
        <f>VLOOKUP(B215,'Standard Deviations'!$A1:$D651,4,FALSE)</f>
        <v>1.6064665252558252</v>
      </c>
      <c r="I215" s="32">
        <f ca="1">IF(Settings!$J$16="no",VLOOKUP(B215,'2B'!A1:I50,IF(Settings!$J$13="points",6,9),FALSE),VLOOKUP(B215,'2B+SS'!$A1:$I94,IF(Settings!$J$13="points",6,9),FALSE))</f>
        <v>1.6004244500612952</v>
      </c>
      <c r="J215" s="31"/>
      <c r="K215" s="31">
        <f ca="1">J215-A215</f>
        <v>-214</v>
      </c>
      <c r="L215" s="31"/>
      <c r="M215" s="31">
        <f>VLOOKUP($B215,Hitters!$A1:$R401,4,FALSE)</f>
        <v>432.74444444444447</v>
      </c>
      <c r="N215" s="31">
        <f>VLOOKUP($B215,Hitters!$A1:$R401,5,FALSE)</f>
        <v>59.734444444444442</v>
      </c>
      <c r="O215" s="31">
        <f>VLOOKUP($B215,Hitters!$A1:$R401,6,FALSE)</f>
        <v>9.4522222222222219</v>
      </c>
      <c r="P215" s="31">
        <f>VLOOKUP($B215,Hitters!$A1:$R401,7,FALSE)</f>
        <v>48.527777777777779</v>
      </c>
      <c r="Q215" s="31">
        <f>VLOOKUP($B215,Hitters!$A1:$R401,8,FALSE)</f>
        <v>17.187777777777779</v>
      </c>
      <c r="R215" s="152">
        <f>VLOOKUP($B215,Hitters!$A$1:$R$401,14,FALSE)</f>
        <v>0.25459213803373815</v>
      </c>
      <c r="S215" s="152">
        <f>VLOOKUP($B215,Hitters!$A$1:$R$401,15,FALSE)</f>
        <v>0.34193459089869055</v>
      </c>
      <c r="T215" s="154">
        <f>VLOOKUP($B215,Hitters!$A$1:$R$401,9,FALSE)</f>
        <v>110.17333333333333</v>
      </c>
      <c r="U215" s="154">
        <f>VLOOKUP($B215,Hitters!$A$1:$R$401,10,FALSE)</f>
        <v>24.157777777777778</v>
      </c>
      <c r="V215" s="154">
        <f>VLOOKUP($B215,Hitters!$A$1:$R$401,11,FALSE)</f>
        <v>1.9977777777777777</v>
      </c>
      <c r="W215" s="154">
        <f>VLOOKUP($B215,Hitters!$A$1:$R$401,12,FALSE)</f>
        <v>51.115000000000002</v>
      </c>
      <c r="X215" s="154">
        <f>VLOOKUP($B215,Hitters!$A$1:$R$401,13,FALSE)</f>
        <v>101.55555555555556</v>
      </c>
      <c r="Y215" s="152">
        <f>VLOOKUP($B215,Hitters!$A$1:$R$401,16,FALSE)</f>
        <v>0.38517729221762909</v>
      </c>
      <c r="Z215" s="152">
        <f>VLOOKUP($B215,Hitters!$A$1:$R$401,17,FALSE)</f>
        <v>0.72711188311631969</v>
      </c>
      <c r="AA215" s="31">
        <f>VLOOKUP($B215,Hitters!$A1:$R401,18,FALSE)</f>
        <v>0</v>
      </c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</row>
    <row r="216" spans="1:44" ht="18.600000000000001" customHeight="1">
      <c r="A216" s="25">
        <f ca="1">RANK(I216,I$2:I$651)</f>
        <v>215</v>
      </c>
      <c r="B216" s="26" t="s">
        <v>298</v>
      </c>
      <c r="C216" s="27" t="s">
        <v>86</v>
      </c>
      <c r="D216" s="27" t="s">
        <v>69</v>
      </c>
      <c r="E216" s="36" t="s">
        <v>31</v>
      </c>
      <c r="F216" s="37">
        <f ca="1">VLOOKUP(B216,SP!A1:I161,IF(Settings!$J$13="points",4,7),FALSE)</f>
        <v>62</v>
      </c>
      <c r="G216" s="30">
        <f>(AC216*Settings!$F$2)+(AF216*Settings!$F$5)+(AG216*Settings!$F$6)+(AH216*Settings!$F$7)+(AI216*Settings!$F$8)+(AJ216*Settings!$F$9)+(AK216*Settings!$F$10)+(AL216*Settings!$F$11)+(AM216*Settings!$F$12)+(AN216*Settings!$F$13)+(AO216*Settings!$F$14)+(AP216*Settings!$F$15)+(AQ216*Settings!$F$16)+(AR216*Settings!$F$17)</f>
        <v>360.58333333333337</v>
      </c>
      <c r="H216" s="31">
        <f>VLOOKUP(B216,'Standard Deviations'!$A1:$D651,4,FALSE)</f>
        <v>0.7226501806249519</v>
      </c>
      <c r="I216" s="32">
        <f ca="1">IF(Settings!$J$16="no",VLOOKUP(B216,SP!A1:I161,IF(Settings!$J$13="points",6,9),FALSE),VLOOKUP(B216,'SP+RP'!$A1:$I251,IF(Settings!$J$13="points",6,9),FALSE))</f>
        <v>1.5902340479096628</v>
      </c>
      <c r="J216" s="31"/>
      <c r="K216" s="31">
        <f ca="1">J216-A216</f>
        <v>-215</v>
      </c>
      <c r="L216" s="31"/>
      <c r="M216" s="31"/>
      <c r="N216" s="31"/>
      <c r="O216" s="31"/>
      <c r="P216" s="31"/>
      <c r="Q216" s="31"/>
      <c r="R216" s="152"/>
      <c r="S216" s="152"/>
      <c r="T216" s="154"/>
      <c r="U216" s="154"/>
      <c r="V216" s="154"/>
      <c r="W216" s="154"/>
      <c r="X216" s="154"/>
      <c r="Y216" s="152"/>
      <c r="Z216" s="152"/>
      <c r="AA216" s="31"/>
      <c r="AB216" s="31"/>
      <c r="AC216" s="31">
        <f>VLOOKUP($B216,Pitchers!$A1:$S251,4,FALSE)</f>
        <v>161.61444444444444</v>
      </c>
      <c r="AD216" s="33">
        <f>VLOOKUP($B216,Pitchers!$A1:$S251,5,FALSE)</f>
        <v>3.9917842877080574</v>
      </c>
      <c r="AE216" s="33">
        <f>VLOOKUP($B216,Pitchers!$A1:$S251,6,FALSE)</f>
        <v>1.2387300365066378</v>
      </c>
      <c r="AF216" s="31">
        <f>VLOOKUP($B216,Pitchers!$A1:$S251,7,FALSE)</f>
        <v>161.89333333333335</v>
      </c>
      <c r="AG216" s="31">
        <f>VLOOKUP($B216,Pitchers!$A1:$S251,8,FALSE)</f>
        <v>9.6911111111111108</v>
      </c>
      <c r="AH216" s="31">
        <f>VLOOKUP($B216,Pitchers!$A1:$S251,9,FALSE)</f>
        <v>0</v>
      </c>
      <c r="AI216" s="31">
        <f>VLOOKUP($B216,Pitchers!$A1:$S251,10,FALSE)</f>
        <v>71.681111111111122</v>
      </c>
      <c r="AJ216" s="31">
        <f>VLOOKUP($B216,Pitchers!$A1:$S251,11,FALSE)</f>
        <v>146.82555555555555</v>
      </c>
      <c r="AK216" s="31">
        <f>VLOOKUP($B216,Pitchers!$A1:$S251,12,FALSE)</f>
        <v>53.371111111111112</v>
      </c>
      <c r="AL216" s="31">
        <f>VLOOKUP($B216,Pitchers!$A1:$S251,13,FALSE)</f>
        <v>20.599999999999998</v>
      </c>
      <c r="AM216" s="31">
        <f>VLOOKUP($B216,Pitchers!$A1:$S251,14,FALSE)</f>
        <v>29.731111111111108</v>
      </c>
      <c r="AN216" s="31">
        <f>VLOOKUP($B216,Pitchers!$A1:$S251,15,FALSE)</f>
        <v>29.731111111111108</v>
      </c>
      <c r="AO216" s="31">
        <f>VLOOKUP($B216,Pitchers!$A1:$S251,16,FALSE)</f>
        <v>9.2333333333333325</v>
      </c>
      <c r="AP216" s="31">
        <f>VLOOKUP($B216,Pitchers!$A1:$S251,17,FALSE)</f>
        <v>15</v>
      </c>
      <c r="AQ216" s="31">
        <f>VLOOKUP($B216,Pitchers!$A1:$S251,18,FALSE)</f>
        <v>0</v>
      </c>
      <c r="AR216" s="31">
        <f>VLOOKUP($B216,Pitchers!$A1:$S251,19,FALSE)</f>
        <v>0</v>
      </c>
    </row>
    <row r="217" spans="1:44" ht="18.600000000000001" customHeight="1">
      <c r="A217" s="25">
        <f ca="1">RANK(I217,I$2:I$651)</f>
        <v>216</v>
      </c>
      <c r="B217" s="26" t="s">
        <v>248</v>
      </c>
      <c r="C217" s="27" t="s">
        <v>103</v>
      </c>
      <c r="D217" s="27" t="s">
        <v>69</v>
      </c>
      <c r="E217" s="34" t="s">
        <v>15</v>
      </c>
      <c r="F217" s="35">
        <f ca="1">VLOOKUP(B217,'3B'!A1:I55,IF(Settings!$J$13="points",4,7),FALSE)</f>
        <v>13</v>
      </c>
      <c r="G217" s="30">
        <f>(M217*Settings!$B$2)+(N217*Settings!$B$3)+(O217*Settings!$B$4)+(P217*Settings!$B$5)+(Q217*Settings!$B$6)+((T217-U217-V217-O217)*Settings!$B$9)+(U217*Settings!$B$10)+(V217*Settings!$B$11)+(W217*Settings!$B$12)+(X217*Settings!$B$13)+(AA217*Settings!$B$16)</f>
        <v>332.25444444444446</v>
      </c>
      <c r="H217" s="31">
        <f>VLOOKUP(B217,'Standard Deviations'!$A1:$D651,4,FALSE)</f>
        <v>1.8133433266709869</v>
      </c>
      <c r="I217" s="32">
        <f ca="1">IF(Settings!$J$15="no",VLOOKUP(B217,'3B'!A1:I55,IF(Settings!$J$13="points",6,9),FALSE),VLOOKUP(B217,'1B+3B'!$A1:$I104,IF(Settings!$J$13="points",6,9),FALSE))</f>
        <v>1.5878634155169427</v>
      </c>
      <c r="J217" s="31"/>
      <c r="K217" s="31">
        <f ca="1">J217-A217</f>
        <v>-216</v>
      </c>
      <c r="L217" s="31"/>
      <c r="M217" s="31">
        <f>VLOOKUP($B217,Hitters!$A1:$R401,4,FALSE)</f>
        <v>466.56666666666666</v>
      </c>
      <c r="N217" s="31">
        <f>VLOOKUP($B217,Hitters!$A1:$R401,5,FALSE)</f>
        <v>62.756666666666668</v>
      </c>
      <c r="O217" s="31">
        <f>VLOOKUP($B217,Hitters!$A1:$R401,6,FALSE)</f>
        <v>14.422222222222222</v>
      </c>
      <c r="P217" s="31">
        <f>VLOOKUP($B217,Hitters!$A1:$R401,7,FALSE)</f>
        <v>66.323333333333338</v>
      </c>
      <c r="Q217" s="31">
        <f>VLOOKUP($B217,Hitters!$A1:$R401,8,FALSE)</f>
        <v>2.9911111111111111</v>
      </c>
      <c r="R217" s="152">
        <f>VLOOKUP($B217,Hitters!$A$1:$R$401,14,FALSE)</f>
        <v>0.26712628896668333</v>
      </c>
      <c r="S217" s="152">
        <f>VLOOKUP($B217,Hitters!$A$1:$R$401,15,FALSE)</f>
        <v>0.34318966843501464</v>
      </c>
      <c r="T217" s="154">
        <f>VLOOKUP($B217,Hitters!$A$1:$R$401,9,FALSE)</f>
        <v>124.63222222222221</v>
      </c>
      <c r="U217" s="154">
        <f>VLOOKUP($B217,Hitters!$A$1:$R$401,10,FALSE)</f>
        <v>26.788888888888891</v>
      </c>
      <c r="V217" s="154">
        <f>VLOOKUP($B217,Hitters!$A$1:$R$401,11,FALSE)</f>
        <v>0.12833333333333333</v>
      </c>
      <c r="W217" s="154">
        <f>VLOOKUP($B217,Hitters!$A$1:$R$401,12,FALSE)</f>
        <v>47.243333333333339</v>
      </c>
      <c r="X217" s="154">
        <f>VLOOKUP($B217,Hitters!$A$1:$R$401,13,FALSE)</f>
        <v>89.991111111111124</v>
      </c>
      <c r="Y217" s="152">
        <f>VLOOKUP($B217,Hitters!$A$1:$R$401,16,FALSE)</f>
        <v>0.41782762973018023</v>
      </c>
      <c r="Z217" s="152">
        <f>VLOOKUP($B217,Hitters!$A$1:$R$401,17,FALSE)</f>
        <v>0.76101729816519481</v>
      </c>
      <c r="AA217" s="31">
        <f>VLOOKUP($B217,Hitters!$A1:$R401,18,FALSE)</f>
        <v>0</v>
      </c>
      <c r="AB217" s="31"/>
      <c r="AC217" s="31"/>
      <c r="AD217" s="33"/>
      <c r="AE217" s="33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</row>
    <row r="218" spans="1:44" ht="18.600000000000001" customHeight="1">
      <c r="A218" s="25">
        <f ca="1">RANK(I218,I$2:I$651)</f>
        <v>217</v>
      </c>
      <c r="B218" s="26" t="s">
        <v>313</v>
      </c>
      <c r="C218" s="27" t="s">
        <v>84</v>
      </c>
      <c r="D218" s="27" t="s">
        <v>69</v>
      </c>
      <c r="E218" s="36" t="s">
        <v>31</v>
      </c>
      <c r="F218" s="37">
        <f ca="1">VLOOKUP(B218,SP!A1:I161,IF(Settings!$J$13="points",4,7),FALSE)</f>
        <v>63</v>
      </c>
      <c r="G218" s="30">
        <f>(AC218*Settings!$F$2)+(AF218*Settings!$F$5)+(AG218*Settings!$F$6)+(AH218*Settings!$F$7)+(AI218*Settings!$F$8)+(AJ218*Settings!$F$9)+(AK218*Settings!$F$10)+(AL218*Settings!$F$11)+(AM218*Settings!$F$12)+(AN218*Settings!$F$13)+(AO218*Settings!$F$14)+(AP218*Settings!$F$15)+(AQ218*Settings!$F$16)+(AR218*Settings!$F$17)</f>
        <v>358.60999999999984</v>
      </c>
      <c r="H218" s="31">
        <f>VLOOKUP(B218,'Standard Deviations'!$A1:$D651,4,FALSE)</f>
        <v>0.68899010198890753</v>
      </c>
      <c r="I218" s="32">
        <f ca="1">IF(Settings!$J$16="no",VLOOKUP(B218,SP!A1:I161,IF(Settings!$J$13="points",6,9),FALSE),VLOOKUP(B218,'SP+RP'!$A1:$I251,IF(Settings!$J$13="points",6,9),FALSE))</f>
        <v>1.5565709069279956</v>
      </c>
      <c r="J218" s="31"/>
      <c r="K218" s="31">
        <f ca="1">J218-A218</f>
        <v>-217</v>
      </c>
      <c r="L218" s="31"/>
      <c r="M218" s="31"/>
      <c r="N218" s="31"/>
      <c r="O218" s="31"/>
      <c r="P218" s="31"/>
      <c r="Q218" s="31"/>
      <c r="R218" s="152"/>
      <c r="S218" s="152"/>
      <c r="T218" s="154"/>
      <c r="U218" s="154"/>
      <c r="V218" s="154"/>
      <c r="W218" s="154"/>
      <c r="X218" s="154"/>
      <c r="Y218" s="152"/>
      <c r="Z218" s="152"/>
      <c r="AA218" s="31"/>
      <c r="AB218" s="31"/>
      <c r="AC218" s="31">
        <f>VLOOKUP($B218,Pitchers!$A1:$S251,4,FALSE)</f>
        <v>160.06888888888886</v>
      </c>
      <c r="AD218" s="33">
        <f>VLOOKUP($B218,Pitchers!$A1:$S251,5,FALSE)</f>
        <v>3.6938470936124737</v>
      </c>
      <c r="AE218" s="33">
        <f>VLOOKUP($B218,Pitchers!$A1:$S251,6,FALSE)</f>
        <v>1.2936929932945538</v>
      </c>
      <c r="AF218" s="31">
        <f>VLOOKUP($B218,Pitchers!$A1:$S251,7,FALSE)</f>
        <v>159.14444444444445</v>
      </c>
      <c r="AG218" s="31">
        <f>VLOOKUP($B218,Pitchers!$A1:$S251,8,FALSE)</f>
        <v>9.5288888888888881</v>
      </c>
      <c r="AH218" s="31">
        <f>VLOOKUP($B218,Pitchers!$A1:$S251,9,FALSE)</f>
        <v>0</v>
      </c>
      <c r="AI218" s="31">
        <f>VLOOKUP($B218,Pitchers!$A1:$S251,10,FALSE)</f>
        <v>65.696666666666673</v>
      </c>
      <c r="AJ218" s="31">
        <f>VLOOKUP($B218,Pitchers!$A1:$S251,11,FALSE)</f>
        <v>146.3411111111111</v>
      </c>
      <c r="AK218" s="31">
        <f>VLOOKUP($B218,Pitchers!$A1:$S251,12,FALSE)</f>
        <v>60.738888888888887</v>
      </c>
      <c r="AL218" s="31">
        <f>VLOOKUP($B218,Pitchers!$A1:$S251,13,FALSE)</f>
        <v>17.2</v>
      </c>
      <c r="AM218" s="31">
        <f>VLOOKUP($B218,Pitchers!$A1:$S251,14,FALSE)</f>
        <v>28.653333333333336</v>
      </c>
      <c r="AN218" s="31">
        <f>VLOOKUP($B218,Pitchers!$A1:$S251,15,FALSE)</f>
        <v>28.653333333333336</v>
      </c>
      <c r="AO218" s="31">
        <f>VLOOKUP($B218,Pitchers!$A1:$S251,16,FALSE)</f>
        <v>8.0188888888888883</v>
      </c>
      <c r="AP218" s="31">
        <f>VLOOKUP($B218,Pitchers!$A1:$S251,17,FALSE)</f>
        <v>15</v>
      </c>
      <c r="AQ218" s="31">
        <f>VLOOKUP($B218,Pitchers!$A1:$S251,18,FALSE)</f>
        <v>0</v>
      </c>
      <c r="AR218" s="31">
        <f>VLOOKUP($B218,Pitchers!$A1:$S251,19,FALSE)</f>
        <v>0</v>
      </c>
    </row>
    <row r="219" spans="1:44" ht="18.600000000000001" customHeight="1">
      <c r="A219" s="25">
        <f ca="1">RANK(I219,I$2:I$651)</f>
        <v>218</v>
      </c>
      <c r="B219" s="26" t="s">
        <v>229</v>
      </c>
      <c r="C219" s="27" t="s">
        <v>176</v>
      </c>
      <c r="D219" s="27" t="s">
        <v>74</v>
      </c>
      <c r="E219" s="28" t="s">
        <v>23</v>
      </c>
      <c r="F219" s="29">
        <f ca="1">VLOOKUP(B219,OF!A1:I139,IF(Settings!$J$13="points",4,7),FALSE)</f>
        <v>48</v>
      </c>
      <c r="G219" s="30">
        <f>(M219*Settings!$B$2)+(N219*Settings!$B$3)+(O219*Settings!$B$4)+(P219*Settings!$B$5)+(Q219*Settings!$B$6)+((T219-U219-V219-O219)*Settings!$B$9)+(U219*Settings!$B$10)+(V219*Settings!$B$11)+(W219*Settings!$B$12)+(X219*Settings!$B$13)+(AA219*Settings!$B$16)</f>
        <v>292.91777777777787</v>
      </c>
      <c r="H219" s="31">
        <f>VLOOKUP(B219,'Standard Deviations'!$A1:$D651,4,FALSE)</f>
        <v>1.3907903187239401</v>
      </c>
      <c r="I219" s="32">
        <f ca="1">VLOOKUP(B219,OF!A1:I139,IF(Settings!$J$13="points",6,9),FALSE)</f>
        <v>1.5477234179724546</v>
      </c>
      <c r="J219" s="31"/>
      <c r="K219" s="31">
        <f ca="1">J219-A219</f>
        <v>-218</v>
      </c>
      <c r="L219" s="31"/>
      <c r="M219" s="31">
        <f>VLOOKUP($B219,Hitters!$A1:$R401,4,FALSE)</f>
        <v>433.48333333333335</v>
      </c>
      <c r="N219" s="31">
        <f>VLOOKUP($B219,Hitters!$A1:$R401,5,FALSE)</f>
        <v>56.774999999999999</v>
      </c>
      <c r="O219" s="31">
        <f>VLOOKUP($B219,Hitters!$A1:$R401,6,FALSE)</f>
        <v>18.563333333333333</v>
      </c>
      <c r="P219" s="31">
        <f>VLOOKUP($B219,Hitters!$A1:$R401,7,FALSE)</f>
        <v>62.55833333333333</v>
      </c>
      <c r="Q219" s="31">
        <f>VLOOKUP($B219,Hitters!$A1:$R401,8,FALSE)</f>
        <v>2.7544444444444447</v>
      </c>
      <c r="R219" s="152">
        <f>VLOOKUP($B219,Hitters!$A$1:$R$401,14,FALSE)</f>
        <v>0.25826444692221923</v>
      </c>
      <c r="S219" s="152">
        <f>VLOOKUP($B219,Hitters!$A$1:$R$401,15,FALSE)</f>
        <v>0.30787613094261801</v>
      </c>
      <c r="T219" s="154">
        <f>VLOOKUP($B219,Hitters!$A$1:$R$401,9,FALSE)</f>
        <v>111.95333333333333</v>
      </c>
      <c r="U219" s="154">
        <f>VLOOKUP($B219,Hitters!$A$1:$R$401,10,FALSE)</f>
        <v>22.456666666666667</v>
      </c>
      <c r="V219" s="154">
        <f>VLOOKUP($B219,Hitters!$A$1:$R$401,11,FALSE)</f>
        <v>2.4566666666666666</v>
      </c>
      <c r="W219" s="154">
        <f>VLOOKUP($B219,Hitters!$A$1:$R$401,12,FALSE)</f>
        <v>24.091666666666669</v>
      </c>
      <c r="X219" s="154">
        <f>VLOOKUP($B219,Hitters!$A$1:$R$401,13,FALSE)</f>
        <v>102.05888888888889</v>
      </c>
      <c r="Y219" s="152">
        <f>VLOOKUP($B219,Hitters!$A$1:$R$401,16,FALSE)</f>
        <v>0.44987504325425814</v>
      </c>
      <c r="Z219" s="152">
        <f>VLOOKUP($B219,Hitters!$A$1:$R$401,17,FALSE)</f>
        <v>0.7577511741968761</v>
      </c>
      <c r="AA219" s="31">
        <f>VLOOKUP($B219,Hitters!$A1:$R401,18,FALSE)</f>
        <v>0</v>
      </c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</row>
    <row r="220" spans="1:44" ht="18.600000000000001" customHeight="1">
      <c r="A220" s="25">
        <f ca="1">RANK(I220,I$2:I$651)</f>
        <v>219</v>
      </c>
      <c r="B220" s="26" t="s">
        <v>294</v>
      </c>
      <c r="C220" s="27" t="s">
        <v>158</v>
      </c>
      <c r="D220" s="27" t="s">
        <v>74</v>
      </c>
      <c r="E220" s="28" t="s">
        <v>23</v>
      </c>
      <c r="F220" s="29">
        <f ca="1">VLOOKUP(B220,OF!A1:I139,IF(Settings!$J$13="points",4,7),FALSE)</f>
        <v>49</v>
      </c>
      <c r="G220" s="30">
        <f>(M220*Settings!$B$2)+(N220*Settings!$B$3)+(O220*Settings!$B$4)+(P220*Settings!$B$5)+(Q220*Settings!$B$6)+((T220-U220-V220-O220)*Settings!$B$9)+(U220*Settings!$B$10)+(V220*Settings!$B$11)+(W220*Settings!$B$12)+(X220*Settings!$B$13)+(AA220*Settings!$B$16)</f>
        <v>316.95333333333332</v>
      </c>
      <c r="H220" s="31">
        <f>VLOOKUP(B220,'Standard Deviations'!$A1:$D651,4,FALSE)</f>
        <v>1.3734609580910089</v>
      </c>
      <c r="I220" s="32">
        <f ca="1">VLOOKUP(B220,OF!A1:I139,IF(Settings!$J$13="points",6,9),FALSE)</f>
        <v>1.5303950010199499</v>
      </c>
      <c r="J220" s="31"/>
      <c r="K220" s="31">
        <f ca="1">J220-A220</f>
        <v>-219</v>
      </c>
      <c r="L220" s="31"/>
      <c r="M220" s="31">
        <f>VLOOKUP($B220,Hitters!$A1:$R401,4,FALSE)</f>
        <v>460.06666666666661</v>
      </c>
      <c r="N220" s="31">
        <f>VLOOKUP($B220,Hitters!$A1:$R401,5,FALSE)</f>
        <v>61.441111111111105</v>
      </c>
      <c r="O220" s="31">
        <f>VLOOKUP($B220,Hitters!$A1:$R401,6,FALSE)</f>
        <v>18.003333333333334</v>
      </c>
      <c r="P220" s="31">
        <f>VLOOKUP($B220,Hitters!$A1:$R401,7,FALSE)</f>
        <v>60.901666666666664</v>
      </c>
      <c r="Q220" s="31">
        <f>VLOOKUP($B220,Hitters!$A1:$R401,8,FALSE)</f>
        <v>12.82</v>
      </c>
      <c r="R220" s="152">
        <f>VLOOKUP($B220,Hitters!$A$1:$R$401,14,FALSE)</f>
        <v>0.22916244022605425</v>
      </c>
      <c r="S220" s="152">
        <f>VLOOKUP($B220,Hitters!$A$1:$R$401,15,FALSE)</f>
        <v>0.30925316764903554</v>
      </c>
      <c r="T220" s="154">
        <f>VLOOKUP($B220,Hitters!$A$1:$R$401,9,FALSE)</f>
        <v>105.43</v>
      </c>
      <c r="U220" s="154">
        <f>VLOOKUP($B220,Hitters!$A$1:$R$401,10,FALSE)</f>
        <v>21.423333333333332</v>
      </c>
      <c r="V220" s="154">
        <f>VLOOKUP($B220,Hitters!$A$1:$R$401,11,FALSE)</f>
        <v>2.9888888888888889</v>
      </c>
      <c r="W220" s="154">
        <f>VLOOKUP($B220,Hitters!$A$1:$R$401,12,FALSE)</f>
        <v>45.961666666666666</v>
      </c>
      <c r="X220" s="154">
        <f>VLOOKUP($B220,Hitters!$A$1:$R$401,13,FALSE)</f>
        <v>127.66444444444444</v>
      </c>
      <c r="Y220" s="152">
        <f>VLOOKUP($B220,Hitters!$A$1:$R$401,16,FALSE)</f>
        <v>0.40611747089793754</v>
      </c>
      <c r="Z220" s="152">
        <f>VLOOKUP($B220,Hitters!$A$1:$R$401,17,FALSE)</f>
        <v>0.71537063854697314</v>
      </c>
      <c r="AA220" s="31">
        <f>VLOOKUP($B220,Hitters!$A1:$R401,18,FALSE)</f>
        <v>0</v>
      </c>
      <c r="AB220" s="31"/>
      <c r="AC220" s="31"/>
      <c r="AD220" s="33"/>
      <c r="AE220" s="33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</row>
    <row r="221" spans="1:44" ht="18.600000000000001" customHeight="1">
      <c r="A221" s="25">
        <f ca="1">RANK(I221,I$2:I$651)</f>
        <v>220</v>
      </c>
      <c r="B221" s="26" t="s">
        <v>293</v>
      </c>
      <c r="C221" s="27" t="s">
        <v>86</v>
      </c>
      <c r="D221" s="27" t="s">
        <v>69</v>
      </c>
      <c r="E221" s="36" t="s">
        <v>31</v>
      </c>
      <c r="F221" s="37">
        <f ca="1">VLOOKUP(B221,SP!A1:I161,IF(Settings!$J$13="points",4,7),FALSE)</f>
        <v>64</v>
      </c>
      <c r="G221" s="30">
        <f>(AC221*Settings!$F$2)+(AF221*Settings!$F$5)+(AG221*Settings!$F$6)+(AH221*Settings!$F$7)+(AI221*Settings!$F$8)+(AJ221*Settings!$F$9)+(AK221*Settings!$F$10)+(AL221*Settings!$F$11)+(AM221*Settings!$F$12)+(AN221*Settings!$F$13)+(AO221*Settings!$F$14)+(AP221*Settings!$F$15)+(AQ221*Settings!$F$16)+(AR221*Settings!$F$17)</f>
        <v>339.04411111111102</v>
      </c>
      <c r="H221" s="31">
        <f>VLOOKUP(B221,'Standard Deviations'!$A1:$D651,4,FALSE)</f>
        <v>0.63916994002374217</v>
      </c>
      <c r="I221" s="32">
        <f ca="1">IF(Settings!$J$16="no",VLOOKUP(B221,SP!A1:I161,IF(Settings!$J$13="points",6,9),FALSE),VLOOKUP(B221,'SP+RP'!$A1:$I251,IF(Settings!$J$13="points",6,9),FALSE))</f>
        <v>1.5067556419595678</v>
      </c>
      <c r="J221" s="31"/>
      <c r="K221" s="31">
        <f ca="1">J221-A221</f>
        <v>-220</v>
      </c>
      <c r="L221" s="31"/>
      <c r="M221" s="31"/>
      <c r="N221" s="31"/>
      <c r="O221" s="31"/>
      <c r="P221" s="31"/>
      <c r="Q221" s="31"/>
      <c r="R221" s="152"/>
      <c r="S221" s="152"/>
      <c r="T221" s="154"/>
      <c r="U221" s="154"/>
      <c r="V221" s="154"/>
      <c r="W221" s="154"/>
      <c r="X221" s="154"/>
      <c r="Y221" s="152"/>
      <c r="Z221" s="152"/>
      <c r="AA221" s="31"/>
      <c r="AB221" s="31"/>
      <c r="AC221" s="31">
        <f>VLOOKUP($B221,Pitchers!$A1:$S251,4,FALSE)</f>
        <v>152.69000000000003</v>
      </c>
      <c r="AD221" s="33">
        <f>VLOOKUP($B221,Pitchers!$A1:$S251,5,FALSE)</f>
        <v>3.888224507171393</v>
      </c>
      <c r="AE221" s="33">
        <f>VLOOKUP($B221,Pitchers!$A1:$S251,6,FALSE)</f>
        <v>1.2002896209458525</v>
      </c>
      <c r="AF221" s="31">
        <f>VLOOKUP($B221,Pitchers!$A1:$S251,7,FALSE)</f>
        <v>141.50222222222223</v>
      </c>
      <c r="AG221" s="31">
        <f>VLOOKUP($B221,Pitchers!$A1:$S251,8,FALSE)</f>
        <v>8.6277777777777782</v>
      </c>
      <c r="AH221" s="31">
        <f>VLOOKUP($B221,Pitchers!$A1:$S251,9,FALSE)</f>
        <v>0</v>
      </c>
      <c r="AI221" s="31">
        <f>VLOOKUP($B221,Pitchers!$A1:$S251,10,FALSE)</f>
        <v>65.965888888888898</v>
      </c>
      <c r="AJ221" s="31">
        <f>VLOOKUP($B221,Pitchers!$A1:$S251,11,FALSE)</f>
        <v>149.01333333333335</v>
      </c>
      <c r="AK221" s="31">
        <f>VLOOKUP($B221,Pitchers!$A1:$S251,12,FALSE)</f>
        <v>34.25888888888889</v>
      </c>
      <c r="AL221" s="31">
        <f>VLOOKUP($B221,Pitchers!$A1:$S251,13,FALSE)</f>
        <v>20.666666666666668</v>
      </c>
      <c r="AM221" s="31">
        <f>VLOOKUP($B221,Pitchers!$A1:$S251,14,FALSE)</f>
        <v>27.653333333333336</v>
      </c>
      <c r="AN221" s="31">
        <f>VLOOKUP($B221,Pitchers!$A1:$S251,15,FALSE)</f>
        <v>27.653333333333336</v>
      </c>
      <c r="AO221" s="31">
        <f>VLOOKUP($B221,Pitchers!$A1:$S251,16,FALSE)</f>
        <v>7.9866666666666672</v>
      </c>
      <c r="AP221" s="31">
        <f>VLOOKUP($B221,Pitchers!$A1:$S251,17,FALSE)</f>
        <v>13</v>
      </c>
      <c r="AQ221" s="31">
        <f>VLOOKUP($B221,Pitchers!$A1:$S251,18,FALSE)</f>
        <v>0</v>
      </c>
      <c r="AR221" s="31">
        <f>VLOOKUP($B221,Pitchers!$A1:$S251,19,FALSE)</f>
        <v>0</v>
      </c>
    </row>
    <row r="222" spans="1:44" ht="18.600000000000001" customHeight="1">
      <c r="A222" s="25">
        <f ca="1">RANK(I222,I$2:I$651)</f>
        <v>221</v>
      </c>
      <c r="B222" s="26" t="s">
        <v>297</v>
      </c>
      <c r="C222" s="27" t="s">
        <v>101</v>
      </c>
      <c r="D222" s="27" t="s">
        <v>69</v>
      </c>
      <c r="E222" s="28" t="s">
        <v>23</v>
      </c>
      <c r="F222" s="29">
        <f ca="1">VLOOKUP(B222,OF!A1:I139,IF(Settings!$J$13="points",4,7),FALSE)</f>
        <v>50</v>
      </c>
      <c r="G222" s="30">
        <f>(M222*Settings!$B$2)+(N222*Settings!$B$3)+(O222*Settings!$B$4)+(P222*Settings!$B$5)+(Q222*Settings!$B$6)+((T222-U222-V222-O222)*Settings!$B$9)+(U222*Settings!$B$10)+(V222*Settings!$B$11)+(W222*Settings!$B$12)+(X222*Settings!$B$13)+(AA222*Settings!$B$16)</f>
        <v>305.45805555555563</v>
      </c>
      <c r="H222" s="31">
        <f>VLOOKUP(B222,'Standard Deviations'!$A1:$D651,4,FALSE)</f>
        <v>1.3232888423359752</v>
      </c>
      <c r="I222" s="32">
        <f ca="1">VLOOKUP(B222,OF!A1:I139,IF(Settings!$J$13="points",6,9),FALSE)</f>
        <v>1.480215090195367</v>
      </c>
      <c r="J222" s="31"/>
      <c r="K222" s="31">
        <f ca="1">J222-A222</f>
        <v>-221</v>
      </c>
      <c r="L222" s="31"/>
      <c r="M222" s="31">
        <f>VLOOKUP($B222,Hitters!$A1:$R401,4,FALSE)</f>
        <v>457.14444444444445</v>
      </c>
      <c r="N222" s="31">
        <f>VLOOKUP($B222,Hitters!$A1:$R401,5,FALSE)</f>
        <v>55.993333333333332</v>
      </c>
      <c r="O222" s="31">
        <f>VLOOKUP($B222,Hitters!$A1:$R401,6,FALSE)</f>
        <v>9.6788888888888902</v>
      </c>
      <c r="P222" s="31">
        <f>VLOOKUP($B222,Hitters!$A1:$R401,7,FALSE)</f>
        <v>52.292222222222222</v>
      </c>
      <c r="Q222" s="31">
        <f>VLOOKUP($B222,Hitters!$A1:$R401,8,FALSE)</f>
        <v>15.234444444444444</v>
      </c>
      <c r="R222" s="152">
        <f>VLOOKUP($B222,Hitters!$A$1:$R$401,14,FALSE)</f>
        <v>0.25392411831903361</v>
      </c>
      <c r="S222" s="152">
        <f>VLOOKUP($B222,Hitters!$A$1:$R$401,15,FALSE)</f>
        <v>0.32007722370032848</v>
      </c>
      <c r="T222" s="154">
        <f>VLOOKUP($B222,Hitters!$A$1:$R$401,9,FALSE)</f>
        <v>116.08</v>
      </c>
      <c r="U222" s="154">
        <f>VLOOKUP($B222,Hitters!$A$1:$R$401,10,FALSE)</f>
        <v>22.704444444444444</v>
      </c>
      <c r="V222" s="154">
        <f>VLOOKUP($B222,Hitters!$A$1:$R$401,11,FALSE)</f>
        <v>2.4733333333333336</v>
      </c>
      <c r="W222" s="154">
        <f>VLOOKUP($B222,Hitters!$A$1:$R$401,12,FALSE)</f>
        <v>37.353333333333332</v>
      </c>
      <c r="X222" s="154">
        <f>VLOOKUP($B222,Hitters!$A$1:$R$401,13,FALSE)</f>
        <v>86.834999999999994</v>
      </c>
      <c r="Y222" s="152">
        <f>VLOOKUP($B222,Hitters!$A$1:$R$401,16,FALSE)</f>
        <v>0.37792820163818874</v>
      </c>
      <c r="Z222" s="152">
        <f>VLOOKUP($B222,Hitters!$A$1:$R$401,17,FALSE)</f>
        <v>0.69800542533851728</v>
      </c>
      <c r="AA222" s="31">
        <f>VLOOKUP($B222,Hitters!$A1:$R401,18,FALSE)</f>
        <v>0</v>
      </c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</row>
    <row r="223" spans="1:44" ht="18.600000000000001" customHeight="1">
      <c r="A223" s="25">
        <f ca="1">RANK(I223,I$2:I$651)</f>
        <v>222</v>
      </c>
      <c r="B223" s="26" t="s">
        <v>336</v>
      </c>
      <c r="C223" s="27" t="s">
        <v>94</v>
      </c>
      <c r="D223" s="27" t="s">
        <v>69</v>
      </c>
      <c r="E223" s="36" t="s">
        <v>31</v>
      </c>
      <c r="F223" s="37">
        <f ca="1">VLOOKUP(B223,SP!A1:I161,IF(Settings!$J$13="points",4,7),FALSE)</f>
        <v>65</v>
      </c>
      <c r="G223" s="30">
        <f>(AC223*Settings!$F$2)+(AF223*Settings!$F$5)+(AG223*Settings!$F$6)+(AH223*Settings!$F$7)+(AI223*Settings!$F$8)+(AJ223*Settings!$F$9)+(AK223*Settings!$F$10)+(AL223*Settings!$F$11)+(AM223*Settings!$F$12)+(AN223*Settings!$F$13)+(AO223*Settings!$F$14)+(AP223*Settings!$F$15)+(AQ223*Settings!$F$16)+(AR223*Settings!$F$17)</f>
        <v>375.78477777777783</v>
      </c>
      <c r="H223" s="31">
        <f>VLOOKUP(B223,'Standard Deviations'!$A1:$D651,4,FALSE)</f>
        <v>0.61040734944314201</v>
      </c>
      <c r="I223" s="32">
        <f ca="1">IF(Settings!$J$16="no",VLOOKUP(B223,SP!A1:I161,IF(Settings!$J$13="points",6,9),FALSE),VLOOKUP(B223,'SP+RP'!$A1:$I251,IF(Settings!$J$13="points",6,9),FALSE))</f>
        <v>1.4779835102254166</v>
      </c>
      <c r="J223" s="31"/>
      <c r="K223" s="31">
        <f ca="1">J223-A223</f>
        <v>-222</v>
      </c>
      <c r="L223" s="31"/>
      <c r="M223" s="31"/>
      <c r="N223" s="31"/>
      <c r="O223" s="31"/>
      <c r="P223" s="31"/>
      <c r="Q223" s="31"/>
      <c r="R223" s="152"/>
      <c r="S223" s="152"/>
      <c r="T223" s="154"/>
      <c r="U223" s="154"/>
      <c r="V223" s="154"/>
      <c r="W223" s="154"/>
      <c r="X223" s="154"/>
      <c r="Y223" s="152"/>
      <c r="Z223" s="152"/>
      <c r="AA223" s="31"/>
      <c r="AB223" s="31"/>
      <c r="AC223" s="31">
        <f>VLOOKUP($B223,Pitchers!$A1:$S251,4,FALSE)</f>
        <v>172.035</v>
      </c>
      <c r="AD223" s="33">
        <f>VLOOKUP($B223,Pitchers!$A1:$S251,5,FALSE)</f>
        <v>4.1622460545819164</v>
      </c>
      <c r="AE223" s="33">
        <f>VLOOKUP($B223,Pitchers!$A1:$S251,6,FALSE)</f>
        <v>1.2357498312681852</v>
      </c>
      <c r="AF223" s="31">
        <f>VLOOKUP($B223,Pitchers!$A1:$S251,7,FALSE)</f>
        <v>155.17999999999998</v>
      </c>
      <c r="AG223" s="31">
        <f>VLOOKUP($B223,Pitchers!$A1:$S251,8,FALSE)</f>
        <v>11.013333333333334</v>
      </c>
      <c r="AH223" s="31">
        <f>VLOOKUP($B223,Pitchers!$A1:$S251,9,FALSE)</f>
        <v>0</v>
      </c>
      <c r="AI223" s="31">
        <f>VLOOKUP($B223,Pitchers!$A1:$S251,10,FALSE)</f>
        <v>79.561333333333337</v>
      </c>
      <c r="AJ223" s="31">
        <f>VLOOKUP($B223,Pitchers!$A1:$S251,11,FALSE)</f>
        <v>167.99666666666667</v>
      </c>
      <c r="AK223" s="31">
        <f>VLOOKUP($B223,Pitchers!$A1:$S251,12,FALSE)</f>
        <v>44.595555555555556</v>
      </c>
      <c r="AL223" s="31">
        <f>VLOOKUP($B223,Pitchers!$A1:$S251,13,FALSE)</f>
        <v>24.833333333333332</v>
      </c>
      <c r="AM223" s="31">
        <f>VLOOKUP($B223,Pitchers!$A1:$S251,14,FALSE)</f>
        <v>30.396666666666665</v>
      </c>
      <c r="AN223" s="31">
        <f>VLOOKUP($B223,Pitchers!$A1:$S251,15,FALSE)</f>
        <v>30.046666666666667</v>
      </c>
      <c r="AO223" s="31">
        <f>VLOOKUP($B223,Pitchers!$A1:$S251,16,FALSE)</f>
        <v>8.9700000000000006</v>
      </c>
      <c r="AP223" s="31">
        <f>VLOOKUP($B223,Pitchers!$A1:$S251,17,FALSE)</f>
        <v>14</v>
      </c>
      <c r="AQ223" s="31">
        <f>VLOOKUP($B223,Pitchers!$A1:$S251,18,FALSE)</f>
        <v>0</v>
      </c>
      <c r="AR223" s="31">
        <f>VLOOKUP($B223,Pitchers!$A1:$S251,19,FALSE)</f>
        <v>0</v>
      </c>
    </row>
    <row r="224" spans="1:44" ht="18.600000000000001" customHeight="1">
      <c r="A224" s="25">
        <f ca="1">RANK(I224,I$2:I$651)</f>
        <v>223</v>
      </c>
      <c r="B224" s="26" t="s">
        <v>334</v>
      </c>
      <c r="C224" s="27" t="s">
        <v>97</v>
      </c>
      <c r="D224" s="27" t="s">
        <v>74</v>
      </c>
      <c r="E224" s="46" t="s">
        <v>19</v>
      </c>
      <c r="F224" s="47">
        <f ca="1">VLOOKUP(B224,'C'!A1:I54,IF(Settings!$J$13="points",4,7),FALSE)</f>
        <v>11</v>
      </c>
      <c r="G224" s="30">
        <f>(M224*Settings!$B$2)+(N224*Settings!$B$3)+(O224*Settings!$B$4)+(P224*Settings!$B$5)+(Q224*Settings!$B$6)+((T224-U224-V224-O224)*Settings!$B$9)+(U224*Settings!$B$10)+(V224*Settings!$B$11)+(W224*Settings!$B$12)+(X224*Settings!$B$13)+(AA224*Settings!$B$16)</f>
        <v>281.83611111111111</v>
      </c>
      <c r="H224" s="31">
        <f>VLOOKUP(B224,'Standard Deviations'!$A1:$D651,4,FALSE)</f>
        <v>0.62097436204523637</v>
      </c>
      <c r="I224" s="32">
        <f ca="1">VLOOKUP(B224,'C'!A1:I54,IF(Settings!$J$13="points",6,9),FALSE)</f>
        <v>1.4074944140928161</v>
      </c>
      <c r="J224" s="31"/>
      <c r="K224" s="31">
        <f ca="1">J224-A224</f>
        <v>-223</v>
      </c>
      <c r="L224" s="31"/>
      <c r="M224" s="31">
        <f>VLOOKUP($B224,Hitters!$A1:$R401,4,FALSE)</f>
        <v>417.17777777777775</v>
      </c>
      <c r="N224" s="31">
        <f>VLOOKUP($B224,Hitters!$A1:$R401,5,FALSE)</f>
        <v>55.449999999999996</v>
      </c>
      <c r="O224" s="31">
        <f>VLOOKUP($B224,Hitters!$A1:$R401,6,FALSE)</f>
        <v>19.133333333333333</v>
      </c>
      <c r="P224" s="31">
        <f>VLOOKUP($B224,Hitters!$A1:$R401,7,FALSE)</f>
        <v>60.977777777777781</v>
      </c>
      <c r="Q224" s="31">
        <f>VLOOKUP($B224,Hitters!$A1:$R401,8,FALSE)</f>
        <v>1.9833333333333334</v>
      </c>
      <c r="R224" s="152">
        <f>VLOOKUP($B224,Hitters!$A$1:$R$401,14,FALSE)</f>
        <v>0.24679859372503066</v>
      </c>
      <c r="S224" s="152">
        <f>VLOOKUP($B224,Hitters!$A$1:$R$401,15,FALSE)</f>
        <v>0.3247604788399619</v>
      </c>
      <c r="T224" s="154">
        <f>VLOOKUP($B224,Hitters!$A$1:$R$401,9,FALSE)</f>
        <v>102.95888888888889</v>
      </c>
      <c r="U224" s="154">
        <f>VLOOKUP($B224,Hitters!$A$1:$R$401,10,FALSE)</f>
        <v>17.72111111111111</v>
      </c>
      <c r="V224" s="154">
        <f>VLOOKUP($B224,Hitters!$A$1:$R$401,11,FALSE)</f>
        <v>1.0033333333333334</v>
      </c>
      <c r="W224" s="154">
        <f>VLOOKUP($B224,Hitters!$A$1:$R$401,12,FALSE)</f>
        <v>41.75</v>
      </c>
      <c r="X224" s="154">
        <f>VLOOKUP($B224,Hitters!$A$1:$R$401,13,FALSE)</f>
        <v>120.79</v>
      </c>
      <c r="Y224" s="152">
        <f>VLOOKUP($B224,Hitters!$A$1:$R$401,16,FALSE)</f>
        <v>0.43167847440473028</v>
      </c>
      <c r="Z224" s="152">
        <f>VLOOKUP($B224,Hitters!$A$1:$R$401,17,FALSE)</f>
        <v>0.75643895324469224</v>
      </c>
      <c r="AA224" s="31">
        <f>VLOOKUP($B224,Hitters!$A1:$R401,18,FALSE)</f>
        <v>0</v>
      </c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</row>
    <row r="225" spans="1:44" ht="18.600000000000001" customHeight="1">
      <c r="A225" s="25">
        <f ca="1">RANK(I225,I$2:I$651)</f>
        <v>224</v>
      </c>
      <c r="B225" s="26" t="s">
        <v>295</v>
      </c>
      <c r="C225" s="27" t="s">
        <v>156</v>
      </c>
      <c r="D225" s="27" t="s">
        <v>69</v>
      </c>
      <c r="E225" s="36" t="s">
        <v>31</v>
      </c>
      <c r="F225" s="37">
        <f ca="1">VLOOKUP(B225,SP!A1:I161,IF(Settings!$J$13="points",4,7),FALSE)</f>
        <v>66</v>
      </c>
      <c r="G225" s="30">
        <f>(AC225*Settings!$F$2)+(AF225*Settings!$F$5)+(AG225*Settings!$F$6)+(AH225*Settings!$F$7)+(AI225*Settings!$F$8)+(AJ225*Settings!$F$9)+(AK225*Settings!$F$10)+(AL225*Settings!$F$11)+(AM225*Settings!$F$12)+(AN225*Settings!$F$13)+(AO225*Settings!$F$14)+(AP225*Settings!$F$15)+(AQ225*Settings!$F$16)+(AR225*Settings!$F$17)</f>
        <v>319.1177777777778</v>
      </c>
      <c r="H225" s="31">
        <f>VLOOKUP(B225,'Standard Deviations'!$A1:$D651,4,FALSE)</f>
        <v>0.4719624764118695</v>
      </c>
      <c r="I225" s="32">
        <f ca="1">IF(Settings!$J$16="no",VLOOKUP(B225,SP!A1:I161,IF(Settings!$J$13="points",6,9),FALSE),VLOOKUP(B225,'SP+RP'!$A1:$I251,IF(Settings!$J$13="points",6,9),FALSE))</f>
        <v>1.3395389918320004</v>
      </c>
      <c r="J225" s="31"/>
      <c r="K225" s="31">
        <f ca="1">J225-A225</f>
        <v>-224</v>
      </c>
      <c r="L225" s="31"/>
      <c r="M225" s="31"/>
      <c r="N225" s="31"/>
      <c r="O225" s="31"/>
      <c r="P225" s="31"/>
      <c r="Q225" s="31"/>
      <c r="R225" s="152"/>
      <c r="S225" s="152"/>
      <c r="T225" s="154"/>
      <c r="U225" s="154"/>
      <c r="V225" s="154"/>
      <c r="W225" s="154"/>
      <c r="X225" s="154"/>
      <c r="Y225" s="152"/>
      <c r="Z225" s="152"/>
      <c r="AA225" s="31"/>
      <c r="AB225" s="31"/>
      <c r="AC225" s="31">
        <f>VLOOKUP($B225,Pitchers!$A1:$S251,4,FALSE)</f>
        <v>142.4988888888889</v>
      </c>
      <c r="AD225" s="33">
        <f>VLOOKUP($B225,Pitchers!$A1:$S251,5,FALSE)</f>
        <v>3.7894330560082339</v>
      </c>
      <c r="AE225" s="33">
        <f>VLOOKUP($B225,Pitchers!$A1:$S251,6,FALSE)</f>
        <v>1.2401812099899412</v>
      </c>
      <c r="AF225" s="31">
        <f>VLOOKUP($B225,Pitchers!$A1:$S251,7,FALSE)</f>
        <v>138.6577777777778</v>
      </c>
      <c r="AG225" s="31">
        <f>VLOOKUP($B225,Pitchers!$A1:$S251,8,FALSE)</f>
        <v>8.9966666666666679</v>
      </c>
      <c r="AH225" s="31">
        <f>VLOOKUP($B225,Pitchers!$A1:$S251,9,FALSE)</f>
        <v>0</v>
      </c>
      <c r="AI225" s="31">
        <f>VLOOKUP($B225,Pitchers!$A1:$S251,10,FALSE)</f>
        <v>59.998888888888892</v>
      </c>
      <c r="AJ225" s="31">
        <f>VLOOKUP($B225,Pitchers!$A1:$S251,11,FALSE)</f>
        <v>127.83</v>
      </c>
      <c r="AK225" s="31">
        <f>VLOOKUP($B225,Pitchers!$A1:$S251,12,FALSE)</f>
        <v>48.894444444444446</v>
      </c>
      <c r="AL225" s="31">
        <f>VLOOKUP($B225,Pitchers!$A1:$S251,13,FALSE)</f>
        <v>15.766666666666666</v>
      </c>
      <c r="AM225" s="31">
        <f>VLOOKUP($B225,Pitchers!$A1:$S251,14,FALSE)</f>
        <v>27.335555555555555</v>
      </c>
      <c r="AN225" s="31">
        <f>VLOOKUP($B225,Pitchers!$A1:$S251,15,FALSE)</f>
        <v>27.335555555555555</v>
      </c>
      <c r="AO225" s="31">
        <f>VLOOKUP($B225,Pitchers!$A1:$S251,16,FALSE)</f>
        <v>7.9922222222222219</v>
      </c>
      <c r="AP225" s="31">
        <f>VLOOKUP($B225,Pitchers!$A1:$S251,17,FALSE)</f>
        <v>12</v>
      </c>
      <c r="AQ225" s="31">
        <f>VLOOKUP($B225,Pitchers!$A1:$S251,18,FALSE)</f>
        <v>0</v>
      </c>
      <c r="AR225" s="31">
        <f>VLOOKUP($B225,Pitchers!$A1:$S251,19,FALSE)</f>
        <v>0</v>
      </c>
    </row>
    <row r="226" spans="1:44" ht="18.600000000000001" customHeight="1">
      <c r="A226" s="25">
        <f ca="1">RANK(I226,I$2:I$651)</f>
        <v>225</v>
      </c>
      <c r="B226" s="26" t="s">
        <v>305</v>
      </c>
      <c r="C226" s="27" t="s">
        <v>306</v>
      </c>
      <c r="D226" s="27" t="s">
        <v>74</v>
      </c>
      <c r="E226" s="28" t="s">
        <v>23</v>
      </c>
      <c r="F226" s="29">
        <f ca="1">VLOOKUP(B226,OF!A1:I139,IF(Settings!$J$13="points",4,7),FALSE)</f>
        <v>51</v>
      </c>
      <c r="G226" s="30">
        <f>(M226*Settings!$B$2)+(N226*Settings!$B$3)+(O226*Settings!$B$4)+(P226*Settings!$B$5)+(Q226*Settings!$B$6)+((T226-U226-V226-O226)*Settings!$B$9)+(U226*Settings!$B$10)+(V226*Settings!$B$11)+(W226*Settings!$B$12)+(X226*Settings!$B$13)+(AA226*Settings!$B$16)</f>
        <v>313.85388888888883</v>
      </c>
      <c r="H226" s="31">
        <f>VLOOKUP(B226,'Standard Deviations'!$A1:$D651,4,FALSE)</f>
        <v>1.1540789727905021</v>
      </c>
      <c r="I226" s="32">
        <f ca="1">VLOOKUP(B226,OF!A1:I139,IF(Settings!$J$13="points",6,9),FALSE)</f>
        <v>1.3110097582730644</v>
      </c>
      <c r="J226" s="31"/>
      <c r="K226" s="31">
        <f ca="1">J226-A226</f>
        <v>-225</v>
      </c>
      <c r="L226" s="31"/>
      <c r="M226" s="31">
        <f>VLOOKUP($B226,Hitters!$A1:$R401,4,FALSE)</f>
        <v>475.35555555555555</v>
      </c>
      <c r="N226" s="31">
        <f>VLOOKUP($B226,Hitters!$A1:$R401,5,FALSE)</f>
        <v>64.626666666666665</v>
      </c>
      <c r="O226" s="31">
        <f>VLOOKUP($B226,Hitters!$A1:$R401,6,FALSE)</f>
        <v>16.697777777777777</v>
      </c>
      <c r="P226" s="31">
        <f>VLOOKUP($B226,Hitters!$A1:$R401,7,FALSE)</f>
        <v>54.425555555555555</v>
      </c>
      <c r="Q226" s="31">
        <f>VLOOKUP($B226,Hitters!$A1:$R401,8,FALSE)</f>
        <v>10.700000000000001</v>
      </c>
      <c r="R226" s="152">
        <f>VLOOKUP($B226,Hitters!$A$1:$R$401,14,FALSE)</f>
        <v>0.23678416156327428</v>
      </c>
      <c r="S226" s="152">
        <f>VLOOKUP($B226,Hitters!$A$1:$R$401,15,FALSE)</f>
        <v>0.31374541260118183</v>
      </c>
      <c r="T226" s="154">
        <f>VLOOKUP($B226,Hitters!$A$1:$R$401,9,FALSE)</f>
        <v>112.55666666666667</v>
      </c>
      <c r="U226" s="154">
        <f>VLOOKUP($B226,Hitters!$A$1:$R$401,10,FALSE)</f>
        <v>25.383333333333336</v>
      </c>
      <c r="V226" s="154">
        <f>VLOOKUP($B226,Hitters!$A$1:$R$401,11,FALSE)</f>
        <v>2.0049999999999999</v>
      </c>
      <c r="W226" s="154">
        <f>VLOOKUP($B226,Hitters!$A$1:$R$401,12,FALSE)</f>
        <v>45.772222222222219</v>
      </c>
      <c r="X226" s="154">
        <f>VLOOKUP($B226,Hitters!$A$1:$R$401,13,FALSE)</f>
        <v>128.82777777777778</v>
      </c>
      <c r="Y226" s="152">
        <f>VLOOKUP($B226,Hitters!$A$1:$R$401,16,FALSE)</f>
        <v>0.40399934551914363</v>
      </c>
      <c r="Z226" s="152">
        <f>VLOOKUP($B226,Hitters!$A$1:$R$401,17,FALSE)</f>
        <v>0.71774475812032545</v>
      </c>
      <c r="AA226" s="31">
        <f>VLOOKUP($B226,Hitters!$A1:$R401,18,FALSE)</f>
        <v>0</v>
      </c>
      <c r="AB226" s="31"/>
      <c r="AC226" s="31"/>
      <c r="AD226" s="33"/>
      <c r="AE226" s="33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</row>
    <row r="227" spans="1:44" ht="18.600000000000001" customHeight="1">
      <c r="A227" s="25">
        <f ca="1">RANK(I227,I$2:I$651)</f>
        <v>226</v>
      </c>
      <c r="B227" s="26" t="s">
        <v>315</v>
      </c>
      <c r="C227" s="27" t="s">
        <v>123</v>
      </c>
      <c r="D227" s="27" t="s">
        <v>74</v>
      </c>
      <c r="E227" s="28" t="s">
        <v>23</v>
      </c>
      <c r="F227" s="29">
        <f ca="1">VLOOKUP(B227,OF!A1:I139,IF(Settings!$J$13="points",4,7),FALSE)</f>
        <v>52</v>
      </c>
      <c r="G227" s="30">
        <f>(M227*Settings!$B$2)+(N227*Settings!$B$3)+(O227*Settings!$B$4)+(P227*Settings!$B$5)+(Q227*Settings!$B$6)+((T227-U227-V227-O227)*Settings!$B$9)+(U227*Settings!$B$10)+(V227*Settings!$B$11)+(W227*Settings!$B$12)+(X227*Settings!$B$13)+(AA227*Settings!$B$16)</f>
        <v>322.92166666666662</v>
      </c>
      <c r="H227" s="31">
        <f>VLOOKUP(B227,'Standard Deviations'!$A1:$D651,4,FALSE)</f>
        <v>1.1237209613096202</v>
      </c>
      <c r="I227" s="32">
        <f ca="1">VLOOKUP(B227,OF!A1:I139,IF(Settings!$J$13="points",6,9),FALSE)</f>
        <v>1.2806507646964671</v>
      </c>
      <c r="J227" s="31"/>
      <c r="K227" s="31">
        <f ca="1">J227-A227</f>
        <v>-226</v>
      </c>
      <c r="L227" s="31"/>
      <c r="M227" s="31">
        <f>VLOOKUP($B227,Hitters!$A1:$R401,4,FALSE)</f>
        <v>421.2</v>
      </c>
      <c r="N227" s="31">
        <f>VLOOKUP($B227,Hitters!$A1:$R401,5,FALSE)</f>
        <v>63.580000000000005</v>
      </c>
      <c r="O227" s="31">
        <f>VLOOKUP($B227,Hitters!$A1:$R401,6,FALSE)</f>
        <v>17.893333333333334</v>
      </c>
      <c r="P227" s="31">
        <f>VLOOKUP($B227,Hitters!$A1:$R401,7,FALSE)</f>
        <v>57.706666666666671</v>
      </c>
      <c r="Q227" s="31">
        <f>VLOOKUP($B227,Hitters!$A1:$R401,8,FALSE)</f>
        <v>6.6616666666666662</v>
      </c>
      <c r="R227" s="152">
        <f>VLOOKUP($B227,Hitters!$A$1:$R$401,14,FALSE)</f>
        <v>0.24239474517252291</v>
      </c>
      <c r="S227" s="152">
        <f>VLOOKUP($B227,Hitters!$A$1:$R$401,15,FALSE)</f>
        <v>0.34288945347009009</v>
      </c>
      <c r="T227" s="154">
        <f>VLOOKUP($B227,Hitters!$A$1:$R$401,9,FALSE)</f>
        <v>102.09666666666665</v>
      </c>
      <c r="U227" s="154">
        <f>VLOOKUP($B227,Hitters!$A$1:$R$401,10,FALSE)</f>
        <v>19.446666666666669</v>
      </c>
      <c r="V227" s="154">
        <f>VLOOKUP($B227,Hitters!$A$1:$R$401,11,FALSE)</f>
        <v>2.9016666666666668</v>
      </c>
      <c r="W227" s="154">
        <f>VLOOKUP($B227,Hitters!$A$1:$R$401,12,FALSE)</f>
        <v>58.281666666666666</v>
      </c>
      <c r="X227" s="154">
        <f>VLOOKUP($B227,Hitters!$A$1:$R$401,13,FALSE)</f>
        <v>101.99333333333334</v>
      </c>
      <c r="Y227" s="152">
        <f>VLOOKUP($B227,Hitters!$A$1:$R$401,16,FALSE)</f>
        <v>0.4297879075656853</v>
      </c>
      <c r="Z227" s="152">
        <f>VLOOKUP($B227,Hitters!$A$1:$R$401,17,FALSE)</f>
        <v>0.77267736103577533</v>
      </c>
      <c r="AA227" s="31">
        <f>VLOOKUP($B227,Hitters!$A1:$R401,18,FALSE)</f>
        <v>0</v>
      </c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</row>
    <row r="228" spans="1:44" ht="18.600000000000001" customHeight="1">
      <c r="A228" s="25">
        <f ca="1">RANK(I228,I$2:I$651)</f>
        <v>227</v>
      </c>
      <c r="B228" s="26" t="s">
        <v>414</v>
      </c>
      <c r="C228" s="27" t="s">
        <v>97</v>
      </c>
      <c r="D228" s="27" t="s">
        <v>74</v>
      </c>
      <c r="E228" s="48" t="s">
        <v>11</v>
      </c>
      <c r="F228" s="49">
        <f ca="1">VLOOKUP(B228,'2B'!A1:I50,IF(Settings!$J$13="points",4,7),FALSE)</f>
        <v>21</v>
      </c>
      <c r="G228" s="30">
        <f>(M228*Settings!$B$2)+(N228*Settings!$B$3)+(O228*Settings!$B$4)+(P228*Settings!$B$5)+(Q228*Settings!$B$6)+((T228-U228-V228-O228)*Settings!$B$9)+(U228*Settings!$B$10)+(V228*Settings!$B$11)+(W228*Settings!$B$12)+(X228*Settings!$B$13)+(AA228*Settings!$B$16)</f>
        <v>339.63388888888892</v>
      </c>
      <c r="H228" s="31">
        <f>VLOOKUP(B228,'Standard Deviations'!$A1:$D651,4,FALSE)</f>
        <v>1.2386777547438559</v>
      </c>
      <c r="I228" s="32">
        <f ca="1">IF(Settings!$J$16="no",VLOOKUP(B228,'2B'!A1:I50,IF(Settings!$J$13="points",6,9),FALSE),VLOOKUP(B228,'2B+SS'!$A1:$I94,IF(Settings!$J$13="points",6,9),FALSE))</f>
        <v>1.2326308097311376</v>
      </c>
      <c r="J228" s="31"/>
      <c r="K228" s="31">
        <f ca="1">J228-A228</f>
        <v>-227</v>
      </c>
      <c r="L228" s="31"/>
      <c r="M228" s="31">
        <f>VLOOKUP($B228,Hitters!$A1:$R401,4,FALSE)</f>
        <v>493.03333333333336</v>
      </c>
      <c r="N228" s="31">
        <f>VLOOKUP($B228,Hitters!$A1:$R401,5,FALSE)</f>
        <v>66.751666666666665</v>
      </c>
      <c r="O228" s="31">
        <f>VLOOKUP($B228,Hitters!$A1:$R401,6,FALSE)</f>
        <v>18.448333333333334</v>
      </c>
      <c r="P228" s="31">
        <f>VLOOKUP($B228,Hitters!$A1:$R401,7,FALSE)</f>
        <v>64.37833333333333</v>
      </c>
      <c r="Q228" s="31">
        <f>VLOOKUP($B228,Hitters!$A1:$R401,8,FALSE)</f>
        <v>3.9888888888888889</v>
      </c>
      <c r="R228" s="152">
        <f>VLOOKUP($B228,Hitters!$A$1:$R$401,14,FALSE)</f>
        <v>0.24193428436211206</v>
      </c>
      <c r="S228" s="152">
        <f>VLOOKUP($B228,Hitters!$A$1:$R$401,15,FALSE)</f>
        <v>0.32969261966259134</v>
      </c>
      <c r="T228" s="154">
        <f>VLOOKUP($B228,Hitters!$A$1:$R$401,9,FALSE)</f>
        <v>119.28166666666665</v>
      </c>
      <c r="U228" s="154">
        <f>VLOOKUP($B228,Hitters!$A$1:$R$401,10,FALSE)</f>
        <v>23.425000000000001</v>
      </c>
      <c r="V228" s="154">
        <f>VLOOKUP($B228,Hitters!$A$1:$R$401,11,FALSE)</f>
        <v>1.9833333333333334</v>
      </c>
      <c r="W228" s="154">
        <f>VLOOKUP($B228,Hitters!$A$1:$R$401,12,FALSE)</f>
        <v>57.073333333333331</v>
      </c>
      <c r="X228" s="154">
        <f>VLOOKUP($B228,Hitters!$A$1:$R$401,13,FALSE)</f>
        <v>117.13111111111111</v>
      </c>
      <c r="Y228" s="152">
        <f>VLOOKUP($B228,Hitters!$A$1:$R$401,16,FALSE)</f>
        <v>0.40974579135961053</v>
      </c>
      <c r="Z228" s="152">
        <f>VLOOKUP($B228,Hitters!$A$1:$R$401,17,FALSE)</f>
        <v>0.73943841102220187</v>
      </c>
      <c r="AA228" s="31">
        <f>VLOOKUP($B228,Hitters!$A1:$R401,18,FALSE)</f>
        <v>0</v>
      </c>
      <c r="AB228" s="31"/>
      <c r="AC228" s="31"/>
      <c r="AD228" s="33"/>
      <c r="AE228" s="33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</row>
    <row r="229" spans="1:44" ht="18.600000000000001" customHeight="1">
      <c r="A229" s="25">
        <f ca="1">RANK(I229,I$2:I$651)</f>
        <v>228</v>
      </c>
      <c r="B229" s="26" t="s">
        <v>376</v>
      </c>
      <c r="C229" s="27" t="s">
        <v>223</v>
      </c>
      <c r="D229" s="27" t="s">
        <v>74</v>
      </c>
      <c r="E229" s="40" t="s">
        <v>7</v>
      </c>
      <c r="F229" s="41">
        <f ca="1">VLOOKUP(B229,'1B'!A1:I63,IF(Settings!$J$13="points",4,7),FALSE)</f>
        <v>25</v>
      </c>
      <c r="G229" s="30">
        <f>(M229*Settings!$B$2)+(N229*Settings!$B$3)+(O229*Settings!$B$4)+(P229*Settings!$B$5)+(Q229*Settings!$B$6)+((T229-U229-V229-O229)*Settings!$B$9)+(U229*Settings!$B$10)+(V229*Settings!$B$11)+(W229*Settings!$B$12)+(X229*Settings!$B$13)+(AA229*Settings!$B$16)</f>
        <v>302.91777777777776</v>
      </c>
      <c r="H229" s="31">
        <f>VLOOKUP(B229,'Standard Deviations'!$A1:$D651,4,FALSE)</f>
        <v>1.4424210464709484</v>
      </c>
      <c r="I229" s="32">
        <f ca="1">IF(Settings!$J$15="no",VLOOKUP(B229,'1B'!A1:I63,IF(Settings!$J$13="points",6,9),FALSE),VLOOKUP(B229,'1B+3B'!$A1:$I104,IF(Settings!$J$13="points",6,9),FALSE))</f>
        <v>1.2169422907891139</v>
      </c>
      <c r="J229" s="31"/>
      <c r="K229" s="31">
        <f ca="1">J229-A229</f>
        <v>-228</v>
      </c>
      <c r="L229" s="31"/>
      <c r="M229" s="31">
        <f>VLOOKUP($B229,Hitters!$A1:$R401,4,FALSE)</f>
        <v>460.57777777777778</v>
      </c>
      <c r="N229" s="31">
        <f>VLOOKUP($B229,Hitters!$A1:$R401,5,FALSE)</f>
        <v>58.786666666666669</v>
      </c>
      <c r="O229" s="31">
        <f>VLOOKUP($B229,Hitters!$A1:$R401,6,FALSE)</f>
        <v>17.612222222222222</v>
      </c>
      <c r="P229" s="31">
        <f>VLOOKUP($B229,Hitters!$A1:$R401,7,FALSE)</f>
        <v>64.058888888888887</v>
      </c>
      <c r="Q229" s="31">
        <f>VLOOKUP($B229,Hitters!$A1:$R401,8,FALSE)</f>
        <v>6.7588888888888894</v>
      </c>
      <c r="R229" s="152">
        <f>VLOOKUP($B229,Hitters!$A$1:$R$401,14,FALSE)</f>
        <v>0.24752605423140017</v>
      </c>
      <c r="S229" s="152">
        <f>VLOOKUP($B229,Hitters!$A$1:$R$401,15,FALSE)</f>
        <v>0.3237630604036143</v>
      </c>
      <c r="T229" s="154">
        <f>VLOOKUP($B229,Hitters!$A$1:$R$401,9,FALSE)</f>
        <v>114.005</v>
      </c>
      <c r="U229" s="154">
        <f>VLOOKUP($B229,Hitters!$A$1:$R$401,10,FALSE)</f>
        <v>26.081666666666663</v>
      </c>
      <c r="V229" s="154">
        <f>VLOOKUP($B229,Hitters!$A$1:$R$401,11,FALSE)</f>
        <v>1.0183333333333333</v>
      </c>
      <c r="W229" s="154">
        <f>VLOOKUP($B229,Hitters!$A$1:$R$401,12,FALSE)</f>
        <v>44.82</v>
      </c>
      <c r="X229" s="154">
        <f>VLOOKUP($B229,Hitters!$A$1:$R$401,13,FALSE)</f>
        <v>146.45111111111112</v>
      </c>
      <c r="Y229" s="152">
        <f>VLOOKUP($B229,Hitters!$A$1:$R$401,16,FALSE)</f>
        <v>0.423294412814822</v>
      </c>
      <c r="Z229" s="152">
        <f>VLOOKUP($B229,Hitters!$A$1:$R$401,17,FALSE)</f>
        <v>0.7470574732184363</v>
      </c>
      <c r="AA229" s="31">
        <f>VLOOKUP($B229,Hitters!$A1:$R401,18,FALSE)</f>
        <v>0</v>
      </c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</row>
    <row r="230" spans="1:44" ht="18.600000000000001" customHeight="1">
      <c r="A230" s="25">
        <f ca="1">RANK(I230,I$2:I$651)</f>
        <v>229</v>
      </c>
      <c r="B230" s="26" t="s">
        <v>592</v>
      </c>
      <c r="C230" s="27" t="s">
        <v>91</v>
      </c>
      <c r="D230" s="27" t="s">
        <v>74</v>
      </c>
      <c r="E230" s="36" t="s">
        <v>31</v>
      </c>
      <c r="F230" s="37">
        <f ca="1">VLOOKUP(B230,SP!A1:I161,IF(Settings!$J$13="points",4,7),FALSE)</f>
        <v>67</v>
      </c>
      <c r="G230" s="30">
        <f>(AC230*Settings!$F$2)+(AF230*Settings!$F$5)+(AG230*Settings!$F$6)+(AH230*Settings!$F$7)+(AI230*Settings!$F$8)+(AJ230*Settings!$F$9)+(AK230*Settings!$F$10)+(AL230*Settings!$F$11)+(AM230*Settings!$F$12)+(AN230*Settings!$F$13)+(AO230*Settings!$F$14)+(AP230*Settings!$F$15)+(AQ230*Settings!$F$16)+(AR230*Settings!$F$17)</f>
        <v>158.37916666666661</v>
      </c>
      <c r="H230" s="31">
        <f>VLOOKUP(B230,'Standard Deviations'!$A1:$D651,4,FALSE)</f>
        <v>0.34300385473902506</v>
      </c>
      <c r="I230" s="32">
        <f ca="1">IF(Settings!$J$16="no",VLOOKUP(B230,SP!A1:I161,IF(Settings!$J$13="points",6,9),FALSE),VLOOKUP(B230,'SP+RP'!$A1:$I251,IF(Settings!$J$13="points",6,9),FALSE))</f>
        <v>1.2105846737703854</v>
      </c>
      <c r="J230" s="31"/>
      <c r="K230" s="31">
        <f ca="1">J230-A230</f>
        <v>-229</v>
      </c>
      <c r="L230" s="31"/>
      <c r="M230" s="31"/>
      <c r="N230" s="31"/>
      <c r="O230" s="31"/>
      <c r="P230" s="31"/>
      <c r="Q230" s="31"/>
      <c r="R230" s="152"/>
      <c r="S230" s="152"/>
      <c r="T230" s="154"/>
      <c r="U230" s="154"/>
      <c r="V230" s="154"/>
      <c r="W230" s="154"/>
      <c r="X230" s="154"/>
      <c r="Y230" s="152"/>
      <c r="Z230" s="152"/>
      <c r="AA230" s="31"/>
      <c r="AB230" s="31"/>
      <c r="AC230" s="31">
        <f>VLOOKUP($B230,Pitchers!$A1:$S251,4,FALSE)</f>
        <v>59.958333333333336</v>
      </c>
      <c r="AD230" s="33">
        <f>VLOOKUP($B230,Pitchers!$A1:$S251,5,FALSE)</f>
        <v>3.2772758860319664</v>
      </c>
      <c r="AE230" s="33">
        <f>VLOOKUP($B230,Pitchers!$A1:$S251,6,FALSE)</f>
        <v>1.0729673384294651</v>
      </c>
      <c r="AF230" s="31">
        <f>VLOOKUP($B230,Pitchers!$A1:$S251,7,FALSE)</f>
        <v>66.831666666666663</v>
      </c>
      <c r="AG230" s="31">
        <f>VLOOKUP($B230,Pitchers!$A1:$S251,8,FALSE)</f>
        <v>3.4650000000000003</v>
      </c>
      <c r="AH230" s="31">
        <f>VLOOKUP($B230,Pitchers!$A1:$S251,9,FALSE)</f>
        <v>0</v>
      </c>
      <c r="AI230" s="31">
        <f>VLOOKUP($B230,Pitchers!$A1:$S251,10,FALSE)</f>
        <v>21.833333333333332</v>
      </c>
      <c r="AJ230" s="31">
        <f>VLOOKUP($B230,Pitchers!$A1:$S251,11,FALSE)</f>
        <v>47.433333333333337</v>
      </c>
      <c r="AK230" s="31">
        <f>VLOOKUP($B230,Pitchers!$A1:$S251,12,FALSE)</f>
        <v>16.900000000000002</v>
      </c>
      <c r="AL230" s="31">
        <f>VLOOKUP($B230,Pitchers!$A1:$S251,13,FALSE)</f>
        <v>7.2</v>
      </c>
      <c r="AM230" s="31">
        <f>VLOOKUP($B230,Pitchers!$A1:$S251,14,FALSE)</f>
        <v>22.28</v>
      </c>
      <c r="AN230" s="31">
        <f>VLOOKUP($B230,Pitchers!$A1:$S251,15,FALSE)</f>
        <v>10.906666666666666</v>
      </c>
      <c r="AO230" s="31">
        <f>VLOOKUP($B230,Pitchers!$A1:$S251,16,FALSE)</f>
        <v>2.56</v>
      </c>
      <c r="AP230" s="31">
        <f>VLOOKUP($B230,Pitchers!$A1:$S251,17,FALSE)</f>
        <v>6.6</v>
      </c>
      <c r="AQ230" s="31">
        <f>VLOOKUP($B230,Pitchers!$A1:$S251,18,FALSE)</f>
        <v>0</v>
      </c>
      <c r="AR230" s="31">
        <f>VLOOKUP($B230,Pitchers!$A1:$S251,19,FALSE)</f>
        <v>0</v>
      </c>
    </row>
    <row r="231" spans="1:44" ht="18.600000000000001" customHeight="1">
      <c r="A231" s="25">
        <f ca="1">RANK(I231,I$2:I$651)</f>
        <v>230</v>
      </c>
      <c r="B231" s="26" t="s">
        <v>329</v>
      </c>
      <c r="C231" s="27" t="s">
        <v>84</v>
      </c>
      <c r="D231" s="27" t="s">
        <v>69</v>
      </c>
      <c r="E231" s="34" t="s">
        <v>15</v>
      </c>
      <c r="F231" s="35">
        <f ca="1">VLOOKUP(B231,'3B'!A1:I55,IF(Settings!$J$13="points",4,7),FALSE)</f>
        <v>14</v>
      </c>
      <c r="G231" s="30">
        <f>(M231*Settings!$B$2)+(N231*Settings!$B$3)+(O231*Settings!$B$4)+(P231*Settings!$B$5)+(Q231*Settings!$B$6)+((T231-U231-V231-O231)*Settings!$B$9)+(U231*Settings!$B$10)+(V231*Settings!$B$11)+(W231*Settings!$B$12)+(X231*Settings!$B$13)+(AA231*Settings!$B$16)</f>
        <v>341.29944444444448</v>
      </c>
      <c r="H231" s="31">
        <f>VLOOKUP(B231,'Standard Deviations'!$A1:$D651,4,FALSE)</f>
        <v>1.4191624797351488</v>
      </c>
      <c r="I231" s="32">
        <f ca="1">IF(Settings!$J$15="no",VLOOKUP(B231,'3B'!A1:I55,IF(Settings!$J$13="points",6,9),FALSE),VLOOKUP(B231,'1B+3B'!$A1:$I104,IF(Settings!$J$13="points",6,9),FALSE))</f>
        <v>1.1936798963129387</v>
      </c>
      <c r="J231" s="31"/>
      <c r="K231" s="31">
        <f ca="1">J231-A231</f>
        <v>-230</v>
      </c>
      <c r="L231" s="31"/>
      <c r="M231" s="31">
        <f>VLOOKUP($B231,Hitters!$A1:$R401,4,FALSE)</f>
        <v>447.64444444444445</v>
      </c>
      <c r="N231" s="31">
        <f>VLOOKUP($B231,Hitters!$A1:$R401,5,FALSE)</f>
        <v>62.133333333333333</v>
      </c>
      <c r="O231" s="31">
        <f>VLOOKUP($B231,Hitters!$A1:$R401,6,FALSE)</f>
        <v>16.433333333333334</v>
      </c>
      <c r="P231" s="31">
        <f>VLOOKUP($B231,Hitters!$A1:$R401,7,FALSE)</f>
        <v>65.855000000000004</v>
      </c>
      <c r="Q231" s="31">
        <f>VLOOKUP($B231,Hitters!$A1:$R401,8,FALSE)</f>
        <v>2.9822222222222226</v>
      </c>
      <c r="R231" s="152">
        <f>VLOOKUP($B231,Hitters!$A$1:$R$401,14,FALSE)</f>
        <v>0.25572378872120732</v>
      </c>
      <c r="S231" s="152">
        <f>VLOOKUP($B231,Hitters!$A$1:$R$401,15,FALSE)</f>
        <v>0.35048804375592352</v>
      </c>
      <c r="T231" s="154">
        <f>VLOOKUP($B231,Hitters!$A$1:$R$401,9,FALSE)</f>
        <v>114.47333333333334</v>
      </c>
      <c r="U231" s="154">
        <f>VLOOKUP($B231,Hitters!$A$1:$R$401,10,FALSE)</f>
        <v>26.803333333333331</v>
      </c>
      <c r="V231" s="154">
        <f>VLOOKUP($B231,Hitters!$A$1:$R$401,11,FALSE)</f>
        <v>1.0016666666666667</v>
      </c>
      <c r="W231" s="154">
        <f>VLOOKUP($B231,Hitters!$A$1:$R$401,12,FALSE)</f>
        <v>58.951666666666661</v>
      </c>
      <c r="X231" s="154">
        <f>VLOOKUP($B231,Hitters!$A$1:$R$401,13,FALSE)</f>
        <v>88.37</v>
      </c>
      <c r="Y231" s="152">
        <f>VLOOKUP($B231,Hitters!$A$1:$R$401,16,FALSE)</f>
        <v>0.43020750595710877</v>
      </c>
      <c r="Z231" s="152">
        <f>VLOOKUP($B231,Hitters!$A$1:$R$401,17,FALSE)</f>
        <v>0.78069554971303234</v>
      </c>
      <c r="AA231" s="31">
        <f>VLOOKUP($B231,Hitters!$A1:$R401,18,FALSE)</f>
        <v>0</v>
      </c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</row>
    <row r="232" spans="1:44" ht="18.600000000000001" customHeight="1">
      <c r="A232" s="25">
        <f ca="1">RANK(I232,I$2:I$651)</f>
        <v>231</v>
      </c>
      <c r="B232" s="26" t="s">
        <v>326</v>
      </c>
      <c r="C232" s="27" t="s">
        <v>103</v>
      </c>
      <c r="D232" s="27" t="s">
        <v>69</v>
      </c>
      <c r="E232" s="38" t="s">
        <v>27</v>
      </c>
      <c r="F232" s="39">
        <f ca="1">VLOOKUP(B232,SS!A1:I45,IF(Settings!$J$13="points",4,7),FALSE)</f>
        <v>20</v>
      </c>
      <c r="G232" s="30">
        <f>(M232*Settings!$B$2)+(N232*Settings!$B$3)+(O232*Settings!$B$4)+(P232*Settings!$B$5)+(Q232*Settings!$B$6)+((T232-U232-V232-O232)*Settings!$B$9)+(U232*Settings!$B$10)+(V232*Settings!$B$11)+(W232*Settings!$B$12)+(X232*Settings!$B$13)+(AA232*Settings!$B$16)</f>
        <v>246.44305555555556</v>
      </c>
      <c r="H232" s="31">
        <f>VLOOKUP(B232,'Standard Deviations'!$A1:$D651,4,FALSE)</f>
        <v>1.1859409305957234</v>
      </c>
      <c r="I232" s="32">
        <f ca="1">IF(Settings!$J$16="no",VLOOKUP(B232,SS!A1:I45,IF(Settings!$J$13="points",6,9),FALSE),VLOOKUP(B232,'2B+SS'!$A1:$I94,IF(Settings!$J$13="points",6,9),FALSE))</f>
        <v>1.1798938409814688</v>
      </c>
      <c r="J232" s="31"/>
      <c r="K232" s="31">
        <f ca="1">J232-A232</f>
        <v>-231</v>
      </c>
      <c r="L232" s="31"/>
      <c r="M232" s="31">
        <f>VLOOKUP($B232,Hitters!$A1:$R401,4,FALSE)</f>
        <v>360.57083333333338</v>
      </c>
      <c r="N232" s="31">
        <f>VLOOKUP($B232,Hitters!$A1:$R401,5,FALSE)</f>
        <v>47.127222222222223</v>
      </c>
      <c r="O232" s="31">
        <f>VLOOKUP($B232,Hitters!$A1:$R401,6,FALSE)</f>
        <v>10.459166666666667</v>
      </c>
      <c r="P232" s="31">
        <f>VLOOKUP($B232,Hitters!$A1:$R401,7,FALSE)</f>
        <v>39.372500000000002</v>
      </c>
      <c r="Q232" s="31">
        <f>VLOOKUP($B232,Hitters!$A1:$R401,8,FALSE)</f>
        <v>30.777222222222221</v>
      </c>
      <c r="R232" s="152">
        <f>VLOOKUP($B232,Hitters!$A$1:$R$401,14,FALSE)</f>
        <v>0.22606284017241177</v>
      </c>
      <c r="S232" s="152">
        <f>VLOOKUP($B232,Hitters!$A$1:$R$401,15,FALSE)</f>
        <v>0.27947323317542838</v>
      </c>
      <c r="T232" s="154">
        <f>VLOOKUP($B232,Hitters!$A$1:$R$401,9,FALSE)</f>
        <v>81.51166666666667</v>
      </c>
      <c r="U232" s="154">
        <f>VLOOKUP($B232,Hitters!$A$1:$R$401,10,FALSE)</f>
        <v>16.555</v>
      </c>
      <c r="V232" s="154">
        <f>VLOOKUP($B232,Hitters!$A$1:$R$401,11,FALSE)</f>
        <v>3.1750000000000003</v>
      </c>
      <c r="W232" s="154">
        <f>VLOOKUP($B232,Hitters!$A$1:$R$401,12,FALSE)</f>
        <v>20.510833333333334</v>
      </c>
      <c r="X232" s="154">
        <f>VLOOKUP($B232,Hitters!$A$1:$R$401,13,FALSE)</f>
        <v>115.83222222222223</v>
      </c>
      <c r="Y232" s="152">
        <f>VLOOKUP($B232,Hitters!$A$1:$R$401,16,FALSE)</f>
        <v>0.37660884939390088</v>
      </c>
      <c r="Z232" s="152">
        <f>VLOOKUP($B232,Hitters!$A$1:$R$401,17,FALSE)</f>
        <v>0.65608208256932921</v>
      </c>
      <c r="AA232" s="31">
        <f>VLOOKUP($B232,Hitters!$A1:$R401,18,FALSE)</f>
        <v>0</v>
      </c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</row>
    <row r="233" spans="1:44" ht="18.600000000000001" customHeight="1">
      <c r="A233" s="25">
        <f ca="1">RANK(I233,I$2:I$651)</f>
        <v>232</v>
      </c>
      <c r="B233" s="26" t="s">
        <v>316</v>
      </c>
      <c r="C233" s="27" t="s">
        <v>158</v>
      </c>
      <c r="D233" s="27" t="s">
        <v>74</v>
      </c>
      <c r="E233" s="36" t="s">
        <v>31</v>
      </c>
      <c r="F233" s="37">
        <f ca="1">VLOOKUP(B233,SP!A1:I161,IF(Settings!$J$13="points",4,7),FALSE)</f>
        <v>68</v>
      </c>
      <c r="G233" s="30">
        <f>(AC233*Settings!$F$2)+(AF233*Settings!$F$5)+(AG233*Settings!$F$6)+(AH233*Settings!$F$7)+(AI233*Settings!$F$8)+(AJ233*Settings!$F$9)+(AK233*Settings!$F$10)+(AL233*Settings!$F$11)+(AM233*Settings!$F$12)+(AN233*Settings!$F$13)+(AO233*Settings!$F$14)+(AP233*Settings!$F$15)+(AQ233*Settings!$F$16)+(AR233*Settings!$F$17)</f>
        <v>352.67677777777783</v>
      </c>
      <c r="H233" s="31">
        <f>VLOOKUP(B233,'Standard Deviations'!$A1:$D651,4,FALSE)</f>
        <v>0.28316365725441572</v>
      </c>
      <c r="I233" s="32">
        <f ca="1">IF(Settings!$J$16="no",VLOOKUP(B233,SP!A1:I161,IF(Settings!$J$13="points",6,9),FALSE),VLOOKUP(B233,'SP+RP'!$A1:$I251,IF(Settings!$J$13="points",6,9),FALSE))</f>
        <v>1.1507453439412756</v>
      </c>
      <c r="J233" s="31"/>
      <c r="K233" s="31">
        <f ca="1">J233-A233</f>
        <v>-232</v>
      </c>
      <c r="L233" s="31"/>
      <c r="M233" s="31"/>
      <c r="N233" s="31"/>
      <c r="O233" s="31"/>
      <c r="P233" s="31"/>
      <c r="Q233" s="31"/>
      <c r="R233" s="152"/>
      <c r="S233" s="152"/>
      <c r="T233" s="154"/>
      <c r="U233" s="154"/>
      <c r="V233" s="154"/>
      <c r="W233" s="154"/>
      <c r="X233" s="154"/>
      <c r="Y233" s="152"/>
      <c r="Z233" s="152"/>
      <c r="AA233" s="31"/>
      <c r="AB233" s="31"/>
      <c r="AC233" s="31">
        <f>VLOOKUP($B233,Pitchers!$A1:$S251,4,FALSE)</f>
        <v>168.19666666666666</v>
      </c>
      <c r="AD233" s="33">
        <f>VLOOKUP($B233,Pitchers!$A1:$S251,5,FALSE)</f>
        <v>3.8561941378148594</v>
      </c>
      <c r="AE233" s="33">
        <f>VLOOKUP($B233,Pitchers!$A1:$S251,6,FALSE)</f>
        <v>1.2606670762401158</v>
      </c>
      <c r="AF233" s="31">
        <f>VLOOKUP($B233,Pitchers!$A1:$S251,7,FALSE)</f>
        <v>139.24666666666667</v>
      </c>
      <c r="AG233" s="31">
        <f>VLOOKUP($B233,Pitchers!$A1:$S251,8,FALSE)</f>
        <v>9.5988888888888884</v>
      </c>
      <c r="AH233" s="31">
        <f>VLOOKUP($B233,Pitchers!$A1:$S251,9,FALSE)</f>
        <v>0</v>
      </c>
      <c r="AI233" s="31">
        <f>VLOOKUP($B233,Pitchers!$A1:$S251,10,FALSE)</f>
        <v>72.066555555555553</v>
      </c>
      <c r="AJ233" s="31">
        <f>VLOOKUP($B233,Pitchers!$A1:$S251,11,FALSE)</f>
        <v>166.09666666666666</v>
      </c>
      <c r="AK233" s="31">
        <f>VLOOKUP($B233,Pitchers!$A1:$S251,12,FALSE)</f>
        <v>45.943333333333328</v>
      </c>
      <c r="AL233" s="31">
        <f>VLOOKUP($B233,Pitchers!$A1:$S251,13,FALSE)</f>
        <v>18.366666666666667</v>
      </c>
      <c r="AM233" s="31">
        <f>VLOOKUP($B233,Pitchers!$A1:$S251,14,FALSE)</f>
        <v>29.742222222222221</v>
      </c>
      <c r="AN233" s="31">
        <f>VLOOKUP($B233,Pitchers!$A1:$S251,15,FALSE)</f>
        <v>29.742222222222221</v>
      </c>
      <c r="AO233" s="31">
        <f>VLOOKUP($B233,Pitchers!$A1:$S251,16,FALSE)</f>
        <v>9.9244444444444451</v>
      </c>
      <c r="AP233" s="31">
        <f>VLOOKUP($B233,Pitchers!$A1:$S251,17,FALSE)</f>
        <v>15</v>
      </c>
      <c r="AQ233" s="31">
        <f>VLOOKUP($B233,Pitchers!$A1:$S251,18,FALSE)</f>
        <v>0</v>
      </c>
      <c r="AR233" s="31">
        <f>VLOOKUP($B233,Pitchers!$A1:$S251,19,FALSE)</f>
        <v>0</v>
      </c>
    </row>
    <row r="234" spans="1:44" ht="18.600000000000001" customHeight="1">
      <c r="A234" s="25">
        <f ca="1">RANK(I234,I$2:I$651)</f>
        <v>233</v>
      </c>
      <c r="B234" s="26" t="s">
        <v>264</v>
      </c>
      <c r="C234" s="27" t="s">
        <v>223</v>
      </c>
      <c r="D234" s="27" t="s">
        <v>74</v>
      </c>
      <c r="E234" s="28" t="s">
        <v>23</v>
      </c>
      <c r="F234" s="29">
        <f ca="1">VLOOKUP(B234,OF!A1:I139,IF(Settings!$J$13="points",4,7),FALSE)</f>
        <v>53</v>
      </c>
      <c r="G234" s="30">
        <f>(M234*Settings!$B$2)+(N234*Settings!$B$3)+(O234*Settings!$B$4)+(P234*Settings!$B$5)+(Q234*Settings!$B$6)+((T234-U234-V234-O234)*Settings!$B$9)+(U234*Settings!$B$10)+(V234*Settings!$B$11)+(W234*Settings!$B$12)+(X234*Settings!$B$13)+(AA234*Settings!$B$16)</f>
        <v>286.87</v>
      </c>
      <c r="H234" s="31">
        <f>VLOOKUP(B234,'Standard Deviations'!$A1:$D651,4,FALSE)</f>
        <v>0.99135687727366295</v>
      </c>
      <c r="I234" s="32">
        <f ca="1">VLOOKUP(B234,OF!A1:I139,IF(Settings!$J$13="points",6,9),FALSE)</f>
        <v>1.1482909544781221</v>
      </c>
      <c r="J234" s="31"/>
      <c r="K234" s="31">
        <f ca="1">J234-A234</f>
        <v>-233</v>
      </c>
      <c r="L234" s="31"/>
      <c r="M234" s="31">
        <f>VLOOKUP($B234,Hitters!$A1:$R401,4,FALSE)</f>
        <v>386.91666666666669</v>
      </c>
      <c r="N234" s="31">
        <f>VLOOKUP($B234,Hitters!$A1:$R401,5,FALSE)</f>
        <v>56.356666666666662</v>
      </c>
      <c r="O234" s="31">
        <f>VLOOKUP($B234,Hitters!$A1:$R401,6,FALSE)</f>
        <v>15.491666666666667</v>
      </c>
      <c r="P234" s="31">
        <f>VLOOKUP($B234,Hitters!$A1:$R401,7,FALSE)</f>
        <v>51.176666666666669</v>
      </c>
      <c r="Q234" s="31">
        <f>VLOOKUP($B234,Hitters!$A1:$R401,8,FALSE)</f>
        <v>11.906666666666666</v>
      </c>
      <c r="R234" s="152">
        <f>VLOOKUP($B234,Hitters!$A$1:$R$401,14,FALSE)</f>
        <v>0.24335128149903082</v>
      </c>
      <c r="S234" s="152">
        <f>VLOOKUP($B234,Hitters!$A$1:$R$401,15,FALSE)</f>
        <v>0.33709398849743233</v>
      </c>
      <c r="T234" s="154">
        <f>VLOOKUP($B234,Hitters!$A$1:$R$401,9,FALSE)</f>
        <v>94.15666666666668</v>
      </c>
      <c r="U234" s="154">
        <f>VLOOKUP($B234,Hitters!$A$1:$R$401,10,FALSE)</f>
        <v>18.45</v>
      </c>
      <c r="V234" s="154">
        <f>VLOOKUP($B234,Hitters!$A$1:$R$401,11,FALSE)</f>
        <v>1</v>
      </c>
      <c r="W234" s="154">
        <f>VLOOKUP($B234,Hitters!$A$1:$R$401,12,FALSE)</f>
        <v>48.976666666666667</v>
      </c>
      <c r="X234" s="154">
        <f>VLOOKUP($B234,Hitters!$A$1:$R$401,13,FALSE)</f>
        <v>109.07</v>
      </c>
      <c r="Y234" s="152">
        <f>VLOOKUP($B234,Hitters!$A$1:$R$401,16,FALSE)</f>
        <v>0.41632134395864745</v>
      </c>
      <c r="Z234" s="152">
        <f>VLOOKUP($B234,Hitters!$A$1:$R$401,17,FALSE)</f>
        <v>0.75341533245607972</v>
      </c>
      <c r="AA234" s="31">
        <f>VLOOKUP($B234,Hitters!$A1:$R401,18,FALSE)</f>
        <v>0</v>
      </c>
      <c r="AB234" s="31"/>
      <c r="AC234" s="31"/>
      <c r="AD234" s="33"/>
      <c r="AE234" s="33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</row>
    <row r="235" spans="1:44" ht="18.600000000000001" customHeight="1">
      <c r="A235" s="25">
        <f ca="1">RANK(I235,I$2:I$651)</f>
        <v>234</v>
      </c>
      <c r="B235" s="26" t="s">
        <v>474</v>
      </c>
      <c r="C235" s="27" t="s">
        <v>103</v>
      </c>
      <c r="D235" s="27" t="s">
        <v>69</v>
      </c>
      <c r="E235" s="40" t="s">
        <v>7</v>
      </c>
      <c r="F235" s="41">
        <f ca="1">VLOOKUP(B235,'1B'!A1:I63,IF(Settings!$J$13="points",4,7),FALSE)</f>
        <v>26</v>
      </c>
      <c r="G235" s="30">
        <f>(M235*Settings!$B$2)+(N235*Settings!$B$3)+(O235*Settings!$B$4)+(P235*Settings!$B$5)+(Q235*Settings!$B$6)+((T235-U235-V235-O235)*Settings!$B$9)+(U235*Settings!$B$10)+(V235*Settings!$B$11)+(W235*Settings!$B$12)+(X235*Settings!$B$13)+(AA235*Settings!$B$16)</f>
        <v>346.5716666666666</v>
      </c>
      <c r="H235" s="31">
        <f>VLOOKUP(B235,'Standard Deviations'!$A1:$D651,4,FALSE)</f>
        <v>1.3412142614956384</v>
      </c>
      <c r="I235" s="32">
        <f ca="1">IF(Settings!$J$15="no",VLOOKUP(B235,'1B'!A1:I63,IF(Settings!$J$13="points",6,9),FALSE),VLOOKUP(B235,'1B+3B'!$A1:$I104,IF(Settings!$J$13="points",6,9),FALSE))</f>
        <v>1.115734061018586</v>
      </c>
      <c r="J235" s="31"/>
      <c r="K235" s="31">
        <f ca="1">J235-A235</f>
        <v>-234</v>
      </c>
      <c r="L235" s="31"/>
      <c r="M235" s="31">
        <f>VLOOKUP($B235,Hitters!$A1:$R401,4,FALSE)</f>
        <v>473.64999999999992</v>
      </c>
      <c r="N235" s="31">
        <f>VLOOKUP($B235,Hitters!$A1:$R401,5,FALSE)</f>
        <v>68.196666666666673</v>
      </c>
      <c r="O235" s="31">
        <f>VLOOKUP($B235,Hitters!$A1:$R401,6,FALSE)</f>
        <v>18.647500000000001</v>
      </c>
      <c r="P235" s="31">
        <f>VLOOKUP($B235,Hitters!$A1:$R401,7,FALSE)</f>
        <v>64.37</v>
      </c>
      <c r="Q235" s="31">
        <f>VLOOKUP($B235,Hitters!$A1:$R401,8,FALSE)</f>
        <v>4.1050000000000004</v>
      </c>
      <c r="R235" s="152">
        <f>VLOOKUP($B235,Hitters!$A$1:$R$401,14,FALSE)</f>
        <v>0.24184700376508678</v>
      </c>
      <c r="S235" s="152">
        <f>VLOOKUP($B235,Hitters!$A$1:$R$401,15,FALSE)</f>
        <v>0.34387224421331353</v>
      </c>
      <c r="T235" s="154">
        <f>VLOOKUP($B235,Hitters!$A$1:$R$401,9,FALSE)</f>
        <v>114.55083333333333</v>
      </c>
      <c r="U235" s="154">
        <f>VLOOKUP($B235,Hitters!$A$1:$R$401,10,FALSE)</f>
        <v>25.1675</v>
      </c>
      <c r="V235" s="154">
        <f>VLOOKUP($B235,Hitters!$A$1:$R$401,11,FALSE)</f>
        <v>2.1749999999999998</v>
      </c>
      <c r="W235" s="154">
        <f>VLOOKUP($B235,Hitters!$A$1:$R$401,12,FALSE)</f>
        <v>66.774166666666659</v>
      </c>
      <c r="X235" s="154">
        <f>VLOOKUP($B235,Hitters!$A$1:$R$401,13,FALSE)</f>
        <v>121.98</v>
      </c>
      <c r="Y235" s="152">
        <f>VLOOKUP($B235,Hitters!$A$1:$R$401,16,FALSE)</f>
        <v>0.42227559027411249</v>
      </c>
      <c r="Z235" s="152">
        <f>VLOOKUP($B235,Hitters!$A$1:$R$401,17,FALSE)</f>
        <v>0.76614783448742596</v>
      </c>
      <c r="AA235" s="31">
        <f>VLOOKUP($B235,Hitters!$A1:$R401,18,FALSE)</f>
        <v>0</v>
      </c>
      <c r="AB235" s="31"/>
      <c r="AC235" s="31"/>
      <c r="AD235" s="33"/>
      <c r="AE235" s="33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</row>
    <row r="236" spans="1:44" ht="18.600000000000001" customHeight="1">
      <c r="A236" s="25">
        <f ca="1">RANK(I236,I$2:I$651)</f>
        <v>235</v>
      </c>
      <c r="B236" s="26" t="s">
        <v>311</v>
      </c>
      <c r="C236" s="27" t="s">
        <v>258</v>
      </c>
      <c r="D236" s="27" t="s">
        <v>69</v>
      </c>
      <c r="E236" s="28" t="s">
        <v>23</v>
      </c>
      <c r="F236" s="29">
        <f ca="1">VLOOKUP(B236,OF!A1:I139,IF(Settings!$J$13="points",4,7),FALSE)</f>
        <v>54</v>
      </c>
      <c r="G236" s="30">
        <f>(M236*Settings!$B$2)+(N236*Settings!$B$3)+(O236*Settings!$B$4)+(P236*Settings!$B$5)+(Q236*Settings!$B$6)+((T236-U236-V236-O236)*Settings!$B$9)+(U236*Settings!$B$10)+(V236*Settings!$B$11)+(W236*Settings!$B$12)+(X236*Settings!$B$13)+(AA236*Settings!$B$16)</f>
        <v>323.19055555555559</v>
      </c>
      <c r="H236" s="31">
        <f>VLOOKUP(B236,'Standard Deviations'!$A1:$D651,4,FALSE)</f>
        <v>0.94626283194346028</v>
      </c>
      <c r="I236" s="32">
        <f ca="1">VLOOKUP(B236,OF!A1:I139,IF(Settings!$J$13="points",6,9),FALSE)</f>
        <v>1.1031906464340302</v>
      </c>
      <c r="J236" s="31"/>
      <c r="K236" s="31">
        <f ca="1">J236-A236</f>
        <v>-235</v>
      </c>
      <c r="L236" s="31"/>
      <c r="M236" s="31">
        <f>VLOOKUP($B236,Hitters!$A1:$R401,4,FALSE)</f>
        <v>445.36666666666662</v>
      </c>
      <c r="N236" s="31">
        <f>VLOOKUP($B236,Hitters!$A1:$R401,5,FALSE)</f>
        <v>59.758333333333333</v>
      </c>
      <c r="O236" s="31">
        <f>VLOOKUP($B236,Hitters!$A1:$R401,6,FALSE)</f>
        <v>16.808888888888887</v>
      </c>
      <c r="P236" s="31">
        <f>VLOOKUP($B236,Hitters!$A1:$R401,7,FALSE)</f>
        <v>61.987777777777779</v>
      </c>
      <c r="Q236" s="31">
        <f>VLOOKUP($B236,Hitters!$A1:$R401,8,FALSE)</f>
        <v>4.1666666666666661</v>
      </c>
      <c r="R236" s="152">
        <f>VLOOKUP($B236,Hitters!$A$1:$R$401,14,FALSE)</f>
        <v>0.24799790434847693</v>
      </c>
      <c r="S236" s="152">
        <f>VLOOKUP($B236,Hitters!$A$1:$R$401,15,FALSE)</f>
        <v>0.33036930664562397</v>
      </c>
      <c r="T236" s="154">
        <f>VLOOKUP($B236,Hitters!$A$1:$R$401,9,FALSE)</f>
        <v>110.45</v>
      </c>
      <c r="U236" s="154">
        <f>VLOOKUP($B236,Hitters!$A$1:$R$401,10,FALSE)</f>
        <v>23.402222222222221</v>
      </c>
      <c r="V236" s="154">
        <f>VLOOKUP($B236,Hitters!$A$1:$R$401,11,FALSE)</f>
        <v>3.9766666666666666</v>
      </c>
      <c r="W236" s="154">
        <f>VLOOKUP($B236,Hitters!$A$1:$R$401,12,FALSE)</f>
        <v>48.044999999999995</v>
      </c>
      <c r="X236" s="154">
        <f>VLOOKUP($B236,Hitters!$A$1:$R$401,13,FALSE)</f>
        <v>94.332222222222228</v>
      </c>
      <c r="Y236" s="152">
        <f>VLOOKUP($B236,Hitters!$A$1:$R$401,16,FALSE)</f>
        <v>0.43162687423596041</v>
      </c>
      <c r="Z236" s="152">
        <f>VLOOKUP($B236,Hitters!$A$1:$R$401,17,FALSE)</f>
        <v>0.76199618088158438</v>
      </c>
      <c r="AA236" s="31">
        <f>VLOOKUP($B236,Hitters!$A1:$R401,18,FALSE)</f>
        <v>0</v>
      </c>
      <c r="AB236" s="31"/>
      <c r="AC236" s="31"/>
      <c r="AD236" s="33"/>
      <c r="AE236" s="33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</row>
    <row r="237" spans="1:44" ht="18.600000000000001" customHeight="1">
      <c r="A237" s="25">
        <f ca="1">RANK(I237,I$2:I$651)</f>
        <v>236</v>
      </c>
      <c r="B237" s="26" t="s">
        <v>343</v>
      </c>
      <c r="C237" s="27" t="s">
        <v>156</v>
      </c>
      <c r="D237" s="27" t="s">
        <v>69</v>
      </c>
      <c r="E237" s="36" t="s">
        <v>31</v>
      </c>
      <c r="F237" s="37">
        <f ca="1">VLOOKUP(B237,SP!A1:I161,IF(Settings!$J$13="points",4,7),FALSE)</f>
        <v>69</v>
      </c>
      <c r="G237" s="30">
        <f>(AC237*Settings!$F$2)+(AF237*Settings!$F$5)+(AG237*Settings!$F$6)+(AH237*Settings!$F$7)+(AI237*Settings!$F$8)+(AJ237*Settings!$F$9)+(AK237*Settings!$F$10)+(AL237*Settings!$F$11)+(AM237*Settings!$F$12)+(AN237*Settings!$F$13)+(AO237*Settings!$F$14)+(AP237*Settings!$F$15)+(AQ237*Settings!$F$16)+(AR237*Settings!$F$17)</f>
        <v>342.20666666666671</v>
      </c>
      <c r="H237" s="31">
        <f>VLOOKUP(B237,'Standard Deviations'!$A1:$D651,4,FALSE)</f>
        <v>0.2342106106964682</v>
      </c>
      <c r="I237" s="32">
        <f ca="1">IF(Settings!$J$16="no",VLOOKUP(B237,SP!A1:I161,IF(Settings!$J$13="points",6,9),FALSE),VLOOKUP(B237,'SP+RP'!$A1:$I251,IF(Settings!$J$13="points",6,9),FALSE))</f>
        <v>1.1017914806169808</v>
      </c>
      <c r="J237" s="31"/>
      <c r="K237" s="31">
        <f ca="1">J237-A237</f>
        <v>-236</v>
      </c>
      <c r="L237" s="31"/>
      <c r="M237" s="31"/>
      <c r="N237" s="31"/>
      <c r="O237" s="31"/>
      <c r="P237" s="31"/>
      <c r="Q237" s="31"/>
      <c r="R237" s="152"/>
      <c r="S237" s="152"/>
      <c r="T237" s="154"/>
      <c r="U237" s="154"/>
      <c r="V237" s="154"/>
      <c r="W237" s="154"/>
      <c r="X237" s="154"/>
      <c r="Y237" s="152"/>
      <c r="Z237" s="152"/>
      <c r="AA237" s="31"/>
      <c r="AB237" s="31"/>
      <c r="AC237" s="31">
        <f>VLOOKUP($B237,Pitchers!$A1:$S251,4,FALSE)</f>
        <v>154.98444444444445</v>
      </c>
      <c r="AD237" s="33">
        <f>VLOOKUP($B237,Pitchers!$A1:$S251,5,FALSE)</f>
        <v>4.0031759459730729</v>
      </c>
      <c r="AE237" s="33">
        <f>VLOOKUP($B237,Pitchers!$A1:$S251,6,FALSE)</f>
        <v>1.2464691797026224</v>
      </c>
      <c r="AF237" s="31">
        <f>VLOOKUP($B237,Pitchers!$A1:$S251,7,FALSE)</f>
        <v>153.69777777777779</v>
      </c>
      <c r="AG237" s="31">
        <f>VLOOKUP($B237,Pitchers!$A1:$S251,8,FALSE)</f>
        <v>8.9844444444444438</v>
      </c>
      <c r="AH237" s="31">
        <f>VLOOKUP($B237,Pitchers!$A1:$S251,9,FALSE)</f>
        <v>0</v>
      </c>
      <c r="AI237" s="31">
        <f>VLOOKUP($B237,Pitchers!$A1:$S251,10,FALSE)</f>
        <v>68.936666666666667</v>
      </c>
      <c r="AJ237" s="31">
        <f>VLOOKUP($B237,Pitchers!$A1:$S251,11,FALSE)</f>
        <v>141.45888888888888</v>
      </c>
      <c r="AK237" s="31">
        <f>VLOOKUP($B237,Pitchers!$A1:$S251,12,FALSE)</f>
        <v>51.724444444444451</v>
      </c>
      <c r="AL237" s="31">
        <f>VLOOKUP($B237,Pitchers!$A1:$S251,13,FALSE)</f>
        <v>20.666666666666668</v>
      </c>
      <c r="AM237" s="31">
        <f>VLOOKUP($B237,Pitchers!$A1:$S251,14,FALSE)</f>
        <v>28.179999999999996</v>
      </c>
      <c r="AN237" s="31">
        <f>VLOOKUP($B237,Pitchers!$A1:$S251,15,FALSE)</f>
        <v>28.179999999999996</v>
      </c>
      <c r="AO237" s="31">
        <f>VLOOKUP($B237,Pitchers!$A1:$S251,16,FALSE)</f>
        <v>8.4733333333333345</v>
      </c>
      <c r="AP237" s="31">
        <f>VLOOKUP($B237,Pitchers!$A1:$S251,17,FALSE)</f>
        <v>14</v>
      </c>
      <c r="AQ237" s="31">
        <f>VLOOKUP($B237,Pitchers!$A1:$S251,18,FALSE)</f>
        <v>0</v>
      </c>
      <c r="AR237" s="31">
        <f>VLOOKUP($B237,Pitchers!$A1:$S251,19,FALSE)</f>
        <v>0</v>
      </c>
    </row>
    <row r="238" spans="1:44" ht="20.100000000000001" customHeight="1">
      <c r="A238" s="25">
        <f ca="1">RANK(I238,I$2:I$651)</f>
        <v>237</v>
      </c>
      <c r="B238" s="26" t="s">
        <v>291</v>
      </c>
      <c r="C238" s="27" t="s">
        <v>134</v>
      </c>
      <c r="D238" s="27" t="s">
        <v>74</v>
      </c>
      <c r="E238" s="28" t="s">
        <v>23</v>
      </c>
      <c r="F238" s="29">
        <f ca="1">VLOOKUP(B238,OF!A1:I139,IF(Settings!$J$13="points",4,7),FALSE)</f>
        <v>55</v>
      </c>
      <c r="G238" s="30">
        <f>(M238*Settings!$B$2)+(N238*Settings!$B$3)+(O238*Settings!$B$4)+(P238*Settings!$B$5)+(Q238*Settings!$B$6)+((T238-U238-V238-O238)*Settings!$B$9)+(U238*Settings!$B$10)+(V238*Settings!$B$11)+(W238*Settings!$B$12)+(X238*Settings!$B$13)+(AA238*Settings!$B$16)</f>
        <v>283.14888888888885</v>
      </c>
      <c r="H238" s="31">
        <f>VLOOKUP(B238,'Standard Deviations'!$A1:$D651,4,FALSE)</f>
        <v>0.9416276137517956</v>
      </c>
      <c r="I238" s="32">
        <f ca="1">VLOOKUP(B238,OF!A1:I139,IF(Settings!$J$13="points",6,9),FALSE)</f>
        <v>1.0985615657769932</v>
      </c>
      <c r="J238" s="31"/>
      <c r="K238" s="31">
        <f ca="1">J238-A238</f>
        <v>-237</v>
      </c>
      <c r="L238" s="31"/>
      <c r="M238" s="31">
        <f>VLOOKUP($B238,Hitters!$A1:$R401,4,FALSE)</f>
        <v>478.51666666666665</v>
      </c>
      <c r="N238" s="31">
        <f>VLOOKUP($B238,Hitters!$A1:$R401,5,FALSE)</f>
        <v>55.703333333333326</v>
      </c>
      <c r="O238" s="31">
        <f>VLOOKUP($B238,Hitters!$A1:$R401,6,FALSE)</f>
        <v>16.181666666666665</v>
      </c>
      <c r="P238" s="31">
        <f>VLOOKUP($B238,Hitters!$A1:$R401,7,FALSE)</f>
        <v>61.836666666666666</v>
      </c>
      <c r="Q238" s="31">
        <f>VLOOKUP($B238,Hitters!$A1:$R401,8,FALSE)</f>
        <v>6.9033333333333333</v>
      </c>
      <c r="R238" s="152">
        <f>VLOOKUP($B238,Hitters!$A$1:$R$401,14,FALSE)</f>
        <v>0.24562014558879869</v>
      </c>
      <c r="S238" s="152">
        <f>VLOOKUP($B238,Hitters!$A$1:$R$401,15,FALSE)</f>
        <v>0.30384774289744954</v>
      </c>
      <c r="T238" s="154">
        <f>VLOOKUP($B238,Hitters!$A$1:$R$401,9,FALSE)</f>
        <v>117.53333333333332</v>
      </c>
      <c r="U238" s="154">
        <f>VLOOKUP($B238,Hitters!$A$1:$R$401,10,FALSE)</f>
        <v>19.596666666666668</v>
      </c>
      <c r="V238" s="154">
        <f>VLOOKUP($B238,Hitters!$A$1:$R$401,11,FALSE)</f>
        <v>0.98666666666666669</v>
      </c>
      <c r="W238" s="154">
        <f>VLOOKUP($B238,Hitters!$A$1:$R$401,12,FALSE)</f>
        <v>32.238333333333337</v>
      </c>
      <c r="X238" s="154">
        <f>VLOOKUP($B238,Hitters!$A$1:$R$401,13,FALSE)</f>
        <v>136.16888888888889</v>
      </c>
      <c r="Y238" s="152">
        <f>VLOOKUP($B238,Hitters!$A$1:$R$401,16,FALSE)</f>
        <v>0.39214586743756746</v>
      </c>
      <c r="Z238" s="152">
        <f>VLOOKUP($B238,Hitters!$A$1:$R$401,17,FALSE)</f>
        <v>0.69599361033501705</v>
      </c>
      <c r="AA238" s="31">
        <f>VLOOKUP($B238,Hitters!$A1:$R401,18,FALSE)</f>
        <v>0</v>
      </c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</row>
    <row r="239" spans="1:44" ht="18.600000000000001" customHeight="1">
      <c r="A239" s="25">
        <f ca="1">RANK(I239,I$2:I$651)</f>
        <v>238</v>
      </c>
      <c r="B239" s="26" t="s">
        <v>411</v>
      </c>
      <c r="C239" s="27" t="s">
        <v>103</v>
      </c>
      <c r="D239" s="27" t="s">
        <v>69</v>
      </c>
      <c r="E239" s="42" t="s">
        <v>34</v>
      </c>
      <c r="F239" s="43">
        <f ca="1">VLOOKUP(B239,RP!A1:I91,IF(Settings!$J$13="points",4,7),FALSE)</f>
        <v>24</v>
      </c>
      <c r="G239" s="30">
        <f>(AC239*Settings!$F$2)+(AF239*Settings!$F$5)+(AG239*Settings!$F$6)+(AH239*Settings!$F$7)+(AI239*Settings!$F$8)+(AJ239*Settings!$F$9)+(AK239*Settings!$F$10)+(AL239*Settings!$F$11)+(AM239*Settings!$F$12)+(AN239*Settings!$F$13)+(AO239*Settings!$F$14)+(AP239*Settings!$F$15)+(AQ239*Settings!$F$16)+(AR239*Settings!$F$17)</f>
        <v>283.79110000000003</v>
      </c>
      <c r="H239" s="31">
        <f>VLOOKUP(B239,'Standard Deviations'!$A1:$D651,4,FALSE)</f>
        <v>0.17958220347167597</v>
      </c>
      <c r="I239" s="32">
        <f ca="1">IF(Settings!$J$16="no",VLOOKUP(B239,RP!A1:I91,IF(Settings!$J$13="points",6,9),FALSE),VLOOKUP(B239,'SP+RP'!$A1:$I251,IF(Settings!$J$13="points",6,9),FALSE))</f>
        <v>1.0471591490212133</v>
      </c>
      <c r="J239" s="31"/>
      <c r="K239" s="31">
        <f ca="1">J239-A239</f>
        <v>-238</v>
      </c>
      <c r="L239" s="31"/>
      <c r="M239" s="31"/>
      <c r="N239" s="31"/>
      <c r="O239" s="31"/>
      <c r="P239" s="31"/>
      <c r="Q239" s="31"/>
      <c r="R239" s="152"/>
      <c r="S239" s="152"/>
      <c r="T239" s="154"/>
      <c r="U239" s="154"/>
      <c r="V239" s="154"/>
      <c r="W239" s="154"/>
      <c r="X239" s="154"/>
      <c r="Y239" s="152"/>
      <c r="Z239" s="152"/>
      <c r="AA239" s="31"/>
      <c r="AB239" s="31"/>
      <c r="AC239" s="31">
        <f>VLOOKUP($B239,Pitchers!$A1:$S251,4,FALSE)</f>
        <v>123.70333333333333</v>
      </c>
      <c r="AD239" s="33">
        <f>VLOOKUP($B239,Pitchers!$A1:$S251,5,FALSE)</f>
        <v>3.7830637816280892</v>
      </c>
      <c r="AE239" s="33">
        <f>VLOOKUP($B239,Pitchers!$A1:$S251,6,FALSE)</f>
        <v>1.1974796331725543</v>
      </c>
      <c r="AF239" s="31">
        <f>VLOOKUP($B239,Pitchers!$A1:$S251,7,FALSE)</f>
        <v>120.00833333333333</v>
      </c>
      <c r="AG239" s="31">
        <f>VLOOKUP($B239,Pitchers!$A1:$S251,8,FALSE)</f>
        <v>7.4533333333333331</v>
      </c>
      <c r="AH239" s="31">
        <f>VLOOKUP($B239,Pitchers!$A1:$S251,9,FALSE)</f>
        <v>0.5</v>
      </c>
      <c r="AI239" s="31">
        <f>VLOOKUP($B239,Pitchers!$A1:$S251,10,FALSE)</f>
        <v>51.997511111111116</v>
      </c>
      <c r="AJ239" s="31">
        <f>VLOOKUP($B239,Pitchers!$A1:$S251,11,FALSE)</f>
        <v>116.41555555555556</v>
      </c>
      <c r="AK239" s="31">
        <f>VLOOKUP($B239,Pitchers!$A1:$S251,12,FALSE)</f>
        <v>31.716666666666669</v>
      </c>
      <c r="AL239" s="31">
        <f>VLOOKUP($B239,Pitchers!$A1:$S251,13,FALSE)</f>
        <v>14.666666666666666</v>
      </c>
      <c r="AM239" s="31">
        <f>VLOOKUP($B239,Pitchers!$A1:$S251,14,FALSE)</f>
        <v>30.223333333333333</v>
      </c>
      <c r="AN239" s="31">
        <f>VLOOKUP($B239,Pitchers!$A1:$S251,15,FALSE)</f>
        <v>19.79</v>
      </c>
      <c r="AO239" s="31">
        <f>VLOOKUP($B239,Pitchers!$A1:$S251,16,FALSE)</f>
        <v>5.9733333333333336</v>
      </c>
      <c r="AP239" s="31">
        <f>VLOOKUP($B239,Pitchers!$A1:$S251,17,FALSE)</f>
        <v>9</v>
      </c>
      <c r="AQ239" s="31">
        <f>VLOOKUP($B239,Pitchers!$A1:$S251,18,FALSE)</f>
        <v>6.5</v>
      </c>
      <c r="AR239" s="31">
        <f>VLOOKUP($B239,Pitchers!$A1:$S251,19,FALSE)</f>
        <v>0</v>
      </c>
    </row>
    <row r="240" spans="1:44" ht="18.600000000000001" customHeight="1">
      <c r="A240" s="25">
        <f ca="1">RANK(I240,I$2:I$651)</f>
        <v>239</v>
      </c>
      <c r="B240" s="26" t="s">
        <v>495</v>
      </c>
      <c r="C240" s="27" t="s">
        <v>81</v>
      </c>
      <c r="D240" s="27" t="s">
        <v>74</v>
      </c>
      <c r="E240" s="42" t="s">
        <v>34</v>
      </c>
      <c r="F240" s="43">
        <f ca="1">VLOOKUP(B240,RP!A1:I91,IF(Settings!$J$13="points",4,7),FALSE)</f>
        <v>25</v>
      </c>
      <c r="G240" s="30">
        <f>(AC240*Settings!$F$2)+(AF240*Settings!$F$5)+(AG240*Settings!$F$6)+(AH240*Settings!$F$7)+(AI240*Settings!$F$8)+(AJ240*Settings!$F$9)+(AK240*Settings!$F$10)+(AL240*Settings!$F$11)+(AM240*Settings!$F$12)+(AN240*Settings!$F$13)+(AO240*Settings!$F$14)+(AP240*Settings!$F$15)+(AQ240*Settings!$F$16)+(AR240*Settings!$F$17)</f>
        <v>179.30333333333331</v>
      </c>
      <c r="H240" s="31">
        <f>VLOOKUP(B240,'Standard Deviations'!$A1:$D651,4,FALSE)</f>
        <v>0.17699379578414631</v>
      </c>
      <c r="I240" s="32">
        <f ca="1">IF(Settings!$J$16="no",VLOOKUP(B240,RP!A1:I91,IF(Settings!$J$13="points",6,9),FALSE),VLOOKUP(B240,'SP+RP'!$A1:$I251,IF(Settings!$J$13="points",6,9),FALSE))</f>
        <v>1.0445788635153987</v>
      </c>
      <c r="J240" s="31"/>
      <c r="K240" s="31">
        <f ca="1">J240-A240</f>
        <v>-239</v>
      </c>
      <c r="L240" s="31"/>
      <c r="M240" s="31"/>
      <c r="N240" s="31"/>
      <c r="O240" s="31"/>
      <c r="P240" s="31"/>
      <c r="Q240" s="31"/>
      <c r="R240" s="152"/>
      <c r="S240" s="152"/>
      <c r="T240" s="154"/>
      <c r="U240" s="154"/>
      <c r="V240" s="154"/>
      <c r="W240" s="154"/>
      <c r="X240" s="154"/>
      <c r="Y240" s="152"/>
      <c r="Z240" s="152"/>
      <c r="AA240" s="31"/>
      <c r="AB240" s="31"/>
      <c r="AC240" s="31">
        <f>VLOOKUP($B240,Pitchers!$A1:$S251,4,FALSE)</f>
        <v>59.961111111111109</v>
      </c>
      <c r="AD240" s="33">
        <f>VLOOKUP($B240,Pitchers!$A1:$S251,5,FALSE)</f>
        <v>3.3525062540535528</v>
      </c>
      <c r="AE240" s="33">
        <f>VLOOKUP($B240,Pitchers!$A1:$S251,6,FALSE)</f>
        <v>1.1698693597702217</v>
      </c>
      <c r="AF240" s="31">
        <f>VLOOKUP($B240,Pitchers!$A1:$S251,7,FALSE)</f>
        <v>79.556666666666672</v>
      </c>
      <c r="AG240" s="31">
        <f>VLOOKUP($B240,Pitchers!$A1:$S251,8,FALSE)</f>
        <v>3.98</v>
      </c>
      <c r="AH240" s="31">
        <f>VLOOKUP($B240,Pitchers!$A1:$S251,9,FALSE)</f>
        <v>4.8888888888888884</v>
      </c>
      <c r="AI240" s="31">
        <f>VLOOKUP($B240,Pitchers!$A1:$S251,10,FALSE)</f>
        <v>22.335555555555555</v>
      </c>
      <c r="AJ240" s="31">
        <f>VLOOKUP($B240,Pitchers!$A1:$S251,11,FALSE)</f>
        <v>44.473333333333336</v>
      </c>
      <c r="AK240" s="31">
        <f>VLOOKUP($B240,Pitchers!$A1:$S251,12,FALSE)</f>
        <v>25.673333333333332</v>
      </c>
      <c r="AL240" s="31">
        <f>VLOOKUP($B240,Pitchers!$A1:$S251,13,FALSE)</f>
        <v>7.0333333333333341</v>
      </c>
      <c r="AM240" s="31">
        <f>VLOOKUP($B240,Pitchers!$A1:$S251,14,FALSE)</f>
        <v>61.25333333333333</v>
      </c>
      <c r="AN240" s="31">
        <f>VLOOKUP($B240,Pitchers!$A1:$S251,15,FALSE)</f>
        <v>0</v>
      </c>
      <c r="AO240" s="31">
        <f>VLOOKUP($B240,Pitchers!$A1:$S251,16,FALSE)</f>
        <v>1.9916666666666665</v>
      </c>
      <c r="AP240" s="31">
        <f>VLOOKUP($B240,Pitchers!$A1:$S251,17,FALSE)</f>
        <v>0</v>
      </c>
      <c r="AQ240" s="31">
        <f>VLOOKUP($B240,Pitchers!$A1:$S251,18,FALSE)</f>
        <v>15.5</v>
      </c>
      <c r="AR240" s="31">
        <f>VLOOKUP($B240,Pitchers!$A1:$S251,19,FALSE)</f>
        <v>3</v>
      </c>
    </row>
    <row r="241" spans="1:44" ht="18.600000000000001" customHeight="1">
      <c r="A241" s="25">
        <f ca="1">RANK(I241,I$2:I$651)</f>
        <v>240</v>
      </c>
      <c r="B241" s="26" t="s">
        <v>245</v>
      </c>
      <c r="C241" s="27" t="s">
        <v>123</v>
      </c>
      <c r="D241" s="27" t="s">
        <v>74</v>
      </c>
      <c r="E241" s="34" t="s">
        <v>15</v>
      </c>
      <c r="F241" s="35">
        <f ca="1">VLOOKUP(B241,'3B'!A1:I55,IF(Settings!$J$13="points",4,7),FALSE)</f>
        <v>15</v>
      </c>
      <c r="G241" s="30">
        <f>(M241*Settings!$B$2)+(N241*Settings!$B$3)+(O241*Settings!$B$4)+(P241*Settings!$B$5)+(Q241*Settings!$B$6)+((T241-U241-V241-O241)*Settings!$B$9)+(U241*Settings!$B$10)+(V241*Settings!$B$11)+(W241*Settings!$B$12)+(X241*Settings!$B$13)+(AA241*Settings!$B$16)</f>
        <v>297.23041666666666</v>
      </c>
      <c r="H241" s="31">
        <f>VLOOKUP(B241,'Standard Deviations'!$A1:$D651,4,FALSE)</f>
        <v>1.2587884467416472</v>
      </c>
      <c r="I241" s="32">
        <f ca="1">IF(Settings!$J$15="no",VLOOKUP(B241,'3B'!A1:I55,IF(Settings!$J$13="points",6,9),FALSE),VLOOKUP(B241,'1B+3B'!$A1:$I104,IF(Settings!$J$13="points",6,9),FALSE))</f>
        <v>1.0333095565819648</v>
      </c>
      <c r="J241" s="31"/>
      <c r="K241" s="31">
        <f ca="1">J241-A241</f>
        <v>-240</v>
      </c>
      <c r="L241" s="31"/>
      <c r="M241" s="31">
        <f>VLOOKUP($B241,Hitters!$A1:$R401,4,FALSE)</f>
        <v>470.59375</v>
      </c>
      <c r="N241" s="31">
        <f>VLOOKUP($B241,Hitters!$A1:$R401,5,FALSE)</f>
        <v>59.648249999999997</v>
      </c>
      <c r="O241" s="31">
        <f>VLOOKUP($B241,Hitters!$A1:$R401,6,FALSE)</f>
        <v>13.405583333333333</v>
      </c>
      <c r="P241" s="31">
        <f>VLOOKUP($B241,Hitters!$A1:$R401,7,FALSE)</f>
        <v>57.980416666666663</v>
      </c>
      <c r="Q241" s="31">
        <f>VLOOKUP($B241,Hitters!$A1:$R401,8,FALSE)</f>
        <v>10.194916666666666</v>
      </c>
      <c r="R241" s="152">
        <f>VLOOKUP($B241,Hitters!$A$1:$R$401,14,FALSE)</f>
        <v>0.2493109325541758</v>
      </c>
      <c r="S241" s="152">
        <f>VLOOKUP($B241,Hitters!$A$1:$R$401,15,FALSE)</f>
        <v>0.31223905197315799</v>
      </c>
      <c r="T241" s="154">
        <f>VLOOKUP($B241,Hitters!$A$1:$R$401,9,FALSE)</f>
        <v>117.32416666666667</v>
      </c>
      <c r="U241" s="154">
        <f>VLOOKUP($B241,Hitters!$A$1:$R$401,10,FALSE)</f>
        <v>24.952458333333336</v>
      </c>
      <c r="V241" s="154">
        <f>VLOOKUP($B241,Hitters!$A$1:$R$401,11,FALSE)</f>
        <v>2.2018750000000002</v>
      </c>
      <c r="W241" s="154">
        <f>VLOOKUP($B241,Hitters!$A$1:$R$401,12,FALSE)</f>
        <v>35.566041666666671</v>
      </c>
      <c r="X241" s="154">
        <f>VLOOKUP($B241,Hitters!$A$1:$R$401,13,FALSE)</f>
        <v>126.5025</v>
      </c>
      <c r="Y241" s="152">
        <f>VLOOKUP($B241,Hitters!$A$1:$R$401,16,FALSE)</f>
        <v>0.39715173650308788</v>
      </c>
      <c r="Z241" s="152">
        <f>VLOOKUP($B241,Hitters!$A$1:$R$401,17,FALSE)</f>
        <v>0.70939078847624581</v>
      </c>
      <c r="AA241" s="31">
        <f>VLOOKUP($B241,Hitters!$A1:$R401,18,FALSE)</f>
        <v>0</v>
      </c>
      <c r="AB241" s="31"/>
      <c r="AC241" s="31"/>
      <c r="AD241" s="33"/>
      <c r="AE241" s="33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</row>
    <row r="242" spans="1:44" ht="18.600000000000001" customHeight="1">
      <c r="A242" s="25">
        <f ca="1">RANK(I242,I$2:I$651)</f>
        <v>241</v>
      </c>
      <c r="B242" s="26" t="s">
        <v>270</v>
      </c>
      <c r="C242" s="27" t="s">
        <v>71</v>
      </c>
      <c r="D242" s="27" t="s">
        <v>69</v>
      </c>
      <c r="E242" s="34" t="s">
        <v>15</v>
      </c>
      <c r="F242" s="35">
        <f ca="1">VLOOKUP(B242,'3B'!A1:I55,IF(Settings!$J$13="points",4,7),FALSE)</f>
        <v>16</v>
      </c>
      <c r="G242" s="30">
        <f>(M242*Settings!$B$2)+(N242*Settings!$B$3)+(O242*Settings!$B$4)+(P242*Settings!$B$5)+(Q242*Settings!$B$6)+((T242-U242-V242-O242)*Settings!$B$9)+(U242*Settings!$B$10)+(V242*Settings!$B$11)+(W242*Settings!$B$12)+(X242*Settings!$B$13)+(AA242*Settings!$B$16)</f>
        <v>339.69611111111118</v>
      </c>
      <c r="H242" s="31">
        <f>VLOOKUP(B242,'Standard Deviations'!$A1:$D651,4,FALSE)</f>
        <v>1.2529353122955118</v>
      </c>
      <c r="I242" s="32">
        <f ca="1">IF(Settings!$J$15="no",VLOOKUP(B242,'3B'!A1:I55,IF(Settings!$J$13="points",6,9),FALSE),VLOOKUP(B242,'1B+3B'!$A1:$I104,IF(Settings!$J$13="points",6,9),FALSE))</f>
        <v>1.0274523283885217</v>
      </c>
      <c r="J242" s="31"/>
      <c r="K242" s="31">
        <f ca="1">J242-A242</f>
        <v>-241</v>
      </c>
      <c r="L242" s="31"/>
      <c r="M242" s="31">
        <f>VLOOKUP($B242,Hitters!$A1:$R401,4,FALSE)</f>
        <v>524.56666666666672</v>
      </c>
      <c r="N242" s="31">
        <f>VLOOKUP($B242,Hitters!$A1:$R401,5,FALSE)</f>
        <v>69.364999999999995</v>
      </c>
      <c r="O242" s="31">
        <f>VLOOKUP($B242,Hitters!$A1:$R401,6,FALSE)</f>
        <v>27.602222222222224</v>
      </c>
      <c r="P242" s="31">
        <f>VLOOKUP($B242,Hitters!$A1:$R401,7,FALSE)</f>
        <v>78.206666666666663</v>
      </c>
      <c r="Q242" s="31">
        <f>VLOOKUP($B242,Hitters!$A1:$R401,8,FALSE)</f>
        <v>1</v>
      </c>
      <c r="R242" s="152">
        <f>VLOOKUP($B242,Hitters!$A$1:$R$401,14,FALSE)</f>
        <v>0.21395861134057736</v>
      </c>
      <c r="S242" s="152">
        <f>VLOOKUP($B242,Hitters!$A$1:$R$401,15,FALSE)</f>
        <v>0.30913867589581673</v>
      </c>
      <c r="T242" s="154">
        <f>VLOOKUP($B242,Hitters!$A$1:$R$401,9,FALSE)</f>
        <v>112.23555555555555</v>
      </c>
      <c r="U242" s="154">
        <f>VLOOKUP($B242,Hitters!$A$1:$R$401,10,FALSE)</f>
        <v>20.884444444444444</v>
      </c>
      <c r="V242" s="154">
        <f>VLOOKUP($B242,Hitters!$A$1:$R$401,11,FALSE)</f>
        <v>1.02</v>
      </c>
      <c r="W242" s="154">
        <f>VLOOKUP($B242,Hitters!$A$1:$R$401,12,FALSE)</f>
        <v>63.85</v>
      </c>
      <c r="X242" s="154">
        <f>VLOOKUP($B242,Hitters!$A$1:$R$401,13,FALSE)</f>
        <v>183.38444444444443</v>
      </c>
      <c r="Y242" s="152">
        <f>VLOOKUP($B242,Hitters!$A$1:$R$401,16,FALSE)</f>
        <v>0.41551757005782547</v>
      </c>
      <c r="Z242" s="152">
        <f>VLOOKUP($B242,Hitters!$A$1:$R$401,17,FALSE)</f>
        <v>0.7246562459536422</v>
      </c>
      <c r="AA242" s="31">
        <f>VLOOKUP($B242,Hitters!$A1:$R401,18,FALSE)</f>
        <v>0</v>
      </c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</row>
    <row r="243" spans="1:44" ht="18.600000000000001" customHeight="1">
      <c r="A243" s="25">
        <f ca="1">RANK(I243,I$2:I$651)</f>
        <v>242</v>
      </c>
      <c r="B243" s="26" t="s">
        <v>309</v>
      </c>
      <c r="C243" s="27" t="s">
        <v>134</v>
      </c>
      <c r="D243" s="27" t="s">
        <v>74</v>
      </c>
      <c r="E243" s="36" t="s">
        <v>31</v>
      </c>
      <c r="F243" s="37">
        <f ca="1">VLOOKUP(B243,SP!A1:I161,IF(Settings!$J$13="points",4,7),FALSE)</f>
        <v>70</v>
      </c>
      <c r="G243" s="30">
        <f>(AC243*Settings!$F$2)+(AF243*Settings!$F$5)+(AG243*Settings!$F$6)+(AH243*Settings!$F$7)+(AI243*Settings!$F$8)+(AJ243*Settings!$F$9)+(AK243*Settings!$F$10)+(AL243*Settings!$F$11)+(AM243*Settings!$F$12)+(AN243*Settings!$F$13)+(AO243*Settings!$F$14)+(AP243*Settings!$F$15)+(AQ243*Settings!$F$16)+(AR243*Settings!$F$17)</f>
        <v>316.56333333333339</v>
      </c>
      <c r="H243" s="31">
        <f>VLOOKUP(B243,'Standard Deviations'!$A1:$D651,4,FALSE)</f>
        <v>0.12727486338713034</v>
      </c>
      <c r="I243" s="32">
        <f ca="1">IF(Settings!$J$16="no",VLOOKUP(B243,SP!A1:I161,IF(Settings!$J$13="points",6,9),FALSE),VLOOKUP(B243,'SP+RP'!$A1:$I251,IF(Settings!$J$13="points",6,9),FALSE))</f>
        <v>0.99485850174907431</v>
      </c>
      <c r="J243" s="31"/>
      <c r="K243" s="31">
        <f ca="1">J243-A243</f>
        <v>-242</v>
      </c>
      <c r="L243" s="31"/>
      <c r="M243" s="31"/>
      <c r="N243" s="31"/>
      <c r="O243" s="31"/>
      <c r="P243" s="31"/>
      <c r="Q243" s="31"/>
      <c r="R243" s="152"/>
      <c r="S243" s="152"/>
      <c r="T243" s="154"/>
      <c r="U243" s="154"/>
      <c r="V243" s="154"/>
      <c r="W243" s="154"/>
      <c r="X243" s="154"/>
      <c r="Y243" s="152"/>
      <c r="Z243" s="152"/>
      <c r="AA243" s="31"/>
      <c r="AB243" s="31"/>
      <c r="AC243" s="31">
        <f>VLOOKUP($B243,Pitchers!$A1:$S251,4,FALSE)</f>
        <v>143.73222222222225</v>
      </c>
      <c r="AD243" s="33">
        <f>VLOOKUP($B243,Pitchers!$A1:$S251,5,FALSE)</f>
        <v>3.9074049737552068</v>
      </c>
      <c r="AE243" s="33">
        <f>VLOOKUP($B243,Pitchers!$A1:$S251,6,FALSE)</f>
        <v>1.2527616941998621</v>
      </c>
      <c r="AF243" s="31">
        <f>VLOOKUP($B243,Pitchers!$A1:$S251,7,FALSE)</f>
        <v>155.20666666666668</v>
      </c>
      <c r="AG243" s="31">
        <f>VLOOKUP($B243,Pitchers!$A1:$S251,8,FALSE)</f>
        <v>7.9944444444444445</v>
      </c>
      <c r="AH243" s="31">
        <f>VLOOKUP($B243,Pitchers!$A1:$S251,9,FALSE)</f>
        <v>0</v>
      </c>
      <c r="AI243" s="31">
        <f>VLOOKUP($B243,Pitchers!$A1:$S251,10,FALSE)</f>
        <v>62.402222222222214</v>
      </c>
      <c r="AJ243" s="31">
        <f>VLOOKUP($B243,Pitchers!$A1:$S251,11,FALSE)</f>
        <v>126.13222222222221</v>
      </c>
      <c r="AK243" s="31">
        <f>VLOOKUP($B243,Pitchers!$A1:$S251,12,FALSE)</f>
        <v>53.93</v>
      </c>
      <c r="AL243" s="31">
        <f>VLOOKUP($B243,Pitchers!$A1:$S251,13,FALSE)</f>
        <v>17.033333333333335</v>
      </c>
      <c r="AM243" s="31">
        <f>VLOOKUP($B243,Pitchers!$A1:$S251,14,FALSE)</f>
        <v>26.943333333333332</v>
      </c>
      <c r="AN243" s="31">
        <f>VLOOKUP($B243,Pitchers!$A1:$S251,15,FALSE)</f>
        <v>26.776666666666667</v>
      </c>
      <c r="AO243" s="31">
        <f>VLOOKUP($B243,Pitchers!$A1:$S251,16,FALSE)</f>
        <v>8.9466666666666672</v>
      </c>
      <c r="AP243" s="31">
        <f>VLOOKUP($B243,Pitchers!$A1:$S251,17,FALSE)</f>
        <v>13</v>
      </c>
      <c r="AQ243" s="31">
        <f>VLOOKUP($B243,Pitchers!$A1:$S251,18,FALSE)</f>
        <v>0</v>
      </c>
      <c r="AR243" s="31">
        <f>VLOOKUP($B243,Pitchers!$A1:$S251,19,FALSE)</f>
        <v>0</v>
      </c>
    </row>
    <row r="244" spans="1:44" ht="18.600000000000001" customHeight="1">
      <c r="A244" s="25">
        <f ca="1">RANK(I244,I$2:I$651)</f>
        <v>243</v>
      </c>
      <c r="B244" s="26" t="s">
        <v>408</v>
      </c>
      <c r="C244" s="27" t="s">
        <v>101</v>
      </c>
      <c r="D244" s="27" t="s">
        <v>69</v>
      </c>
      <c r="E244" s="36" t="s">
        <v>31</v>
      </c>
      <c r="F244" s="37">
        <f ca="1">VLOOKUP(B244,SP!A1:I161,IF(Settings!$J$13="points",4,7),FALSE)</f>
        <v>71</v>
      </c>
      <c r="G244" s="30">
        <f>(AC244*Settings!$F$2)+(AF244*Settings!$F$5)+(AG244*Settings!$F$6)+(AH244*Settings!$F$7)+(AI244*Settings!$F$8)+(AJ244*Settings!$F$9)+(AK244*Settings!$F$10)+(AL244*Settings!$F$11)+(AM244*Settings!$F$12)+(AN244*Settings!$F$13)+(AO244*Settings!$F$14)+(AP244*Settings!$F$15)+(AQ244*Settings!$F$16)+(AR244*Settings!$F$17)</f>
        <v>306.63088888888893</v>
      </c>
      <c r="H244" s="31">
        <f>VLOOKUP(B244,'Standard Deviations'!$A1:$D651,4,FALSE)</f>
        <v>0.11779020274879462</v>
      </c>
      <c r="I244" s="32">
        <f ca="1">IF(Settings!$J$16="no",VLOOKUP(B244,SP!A1:I161,IF(Settings!$J$13="points",6,9),FALSE),VLOOKUP(B244,'SP+RP'!$A1:$I251,IF(Settings!$J$13="points",6,9),FALSE))</f>
        <v>0.9853692140725987</v>
      </c>
      <c r="J244" s="31"/>
      <c r="K244" s="31">
        <f ca="1">J244-A244</f>
        <v>-243</v>
      </c>
      <c r="L244" s="31"/>
      <c r="M244" s="31"/>
      <c r="N244" s="31"/>
      <c r="O244" s="31"/>
      <c r="P244" s="31"/>
      <c r="Q244" s="31"/>
      <c r="R244" s="152"/>
      <c r="S244" s="152"/>
      <c r="T244" s="154"/>
      <c r="U244" s="154"/>
      <c r="V244" s="154"/>
      <c r="W244" s="154"/>
      <c r="X244" s="154"/>
      <c r="Y244" s="152"/>
      <c r="Z244" s="152"/>
      <c r="AA244" s="31"/>
      <c r="AB244" s="31"/>
      <c r="AC244" s="31">
        <f>VLOOKUP($B244,Pitchers!$A1:$S251,4,FALSE)</f>
        <v>139.79666666666665</v>
      </c>
      <c r="AD244" s="33">
        <f>VLOOKUP($B244,Pitchers!$A1:$S251,5,FALSE)</f>
        <v>3.8929540523140753</v>
      </c>
      <c r="AE244" s="33">
        <f>VLOOKUP($B244,Pitchers!$A1:$S251,6,FALSE)</f>
        <v>1.1983833663177472</v>
      </c>
      <c r="AF244" s="31">
        <f>VLOOKUP($B244,Pitchers!$A1:$S251,7,FALSE)</f>
        <v>119.12888888888888</v>
      </c>
      <c r="AG244" s="31">
        <f>VLOOKUP($B244,Pitchers!$A1:$S251,8,FALSE)</f>
        <v>8.4211111111111112</v>
      </c>
      <c r="AH244" s="31">
        <f>VLOOKUP($B244,Pitchers!$A1:$S251,9,FALSE)</f>
        <v>1.1111111111111112E-2</v>
      </c>
      <c r="AI244" s="31">
        <f>VLOOKUP($B244,Pitchers!$A1:$S251,10,FALSE)</f>
        <v>60.469111111111111</v>
      </c>
      <c r="AJ244" s="31">
        <f>VLOOKUP($B244,Pitchers!$A1:$S251,11,FALSE)</f>
        <v>136.52444444444444</v>
      </c>
      <c r="AK244" s="31">
        <f>VLOOKUP($B244,Pitchers!$A1:$S251,12,FALSE)</f>
        <v>31.005555555555556</v>
      </c>
      <c r="AL244" s="31">
        <f>VLOOKUP($B244,Pitchers!$A1:$S251,13,FALSE)</f>
        <v>17.633333333333333</v>
      </c>
      <c r="AM244" s="31">
        <f>VLOOKUP($B244,Pitchers!$A1:$S251,14,FALSE)</f>
        <v>25.621111111111109</v>
      </c>
      <c r="AN244" s="31">
        <f>VLOOKUP($B244,Pitchers!$A1:$S251,15,FALSE)</f>
        <v>25.576666666666668</v>
      </c>
      <c r="AO244" s="31">
        <f>VLOOKUP($B244,Pitchers!$A1:$S251,16,FALSE)</f>
        <v>7.87</v>
      </c>
      <c r="AP244" s="31">
        <f>VLOOKUP($B244,Pitchers!$A1:$S251,17,FALSE)</f>
        <v>12</v>
      </c>
      <c r="AQ244" s="31">
        <f>VLOOKUP($B244,Pitchers!$A1:$S251,18,FALSE)</f>
        <v>0.5</v>
      </c>
      <c r="AR244" s="31">
        <f>VLOOKUP($B244,Pitchers!$A1:$S251,19,FALSE)</f>
        <v>0</v>
      </c>
    </row>
    <row r="245" spans="1:44" ht="18.600000000000001" customHeight="1">
      <c r="A245" s="25">
        <f ca="1">RANK(I245,I$2:I$651)</f>
        <v>244</v>
      </c>
      <c r="B245" s="26" t="s">
        <v>469</v>
      </c>
      <c r="C245" s="27" t="s">
        <v>140</v>
      </c>
      <c r="D245" s="27" t="s">
        <v>69</v>
      </c>
      <c r="E245" s="40" t="s">
        <v>7</v>
      </c>
      <c r="F245" s="41">
        <f ca="1">VLOOKUP(B245,'1B'!A1:I63,IF(Settings!$J$13="points",4,7),FALSE)</f>
        <v>28</v>
      </c>
      <c r="G245" s="30">
        <f>(M245*Settings!$B$2)+(N245*Settings!$B$3)+(O245*Settings!$B$4)+(P245*Settings!$B$5)+(Q245*Settings!$B$6)+((T245-U245-V245-O245)*Settings!$B$9)+(U245*Settings!$B$10)+(V245*Settings!$B$11)+(W245*Settings!$B$12)+(X245*Settings!$B$13)+(AA245*Settings!$B$16)</f>
        <v>307.66666666666669</v>
      </c>
      <c r="H245" s="31">
        <f>VLOOKUP(B245,'Standard Deviations'!$A1:$D651,4,FALSE)</f>
        <v>1.2035129700718312</v>
      </c>
      <c r="I245" s="32">
        <f ca="1">IF(Settings!$J$15="no",VLOOKUP(B245,'1B'!A1:I63,IF(Settings!$J$13="points",6,9),FALSE),VLOOKUP(B245,'1B+3B'!$A1:$I104,IF(Settings!$J$13="points",6,9),FALSE))</f>
        <v>0.97803474796964252</v>
      </c>
      <c r="J245" s="31"/>
      <c r="K245" s="31">
        <f ca="1">J245-A245</f>
        <v>-244</v>
      </c>
      <c r="L245" s="31"/>
      <c r="M245" s="31">
        <f>VLOOKUP($B245,Hitters!$A1:$R401,4,FALSE)</f>
        <v>450.33333333333331</v>
      </c>
      <c r="N245" s="31">
        <f>VLOOKUP($B245,Hitters!$A1:$R401,5,FALSE)</f>
        <v>57.663333333333334</v>
      </c>
      <c r="O245" s="31">
        <f>VLOOKUP($B245,Hitters!$A1:$R401,6,FALSE)</f>
        <v>21.416666666666668</v>
      </c>
      <c r="P245" s="31">
        <f>VLOOKUP($B245,Hitters!$A1:$R401,7,FALSE)</f>
        <v>63.843333333333334</v>
      </c>
      <c r="Q245" s="31">
        <f>VLOOKUP($B245,Hitters!$A1:$R401,8,FALSE)</f>
        <v>8.4844444444444438</v>
      </c>
      <c r="R245" s="152">
        <f>VLOOKUP($B245,Hitters!$A$1:$R$401,14,FALSE)</f>
        <v>0.23026893659018013</v>
      </c>
      <c r="S245" s="152">
        <f>VLOOKUP($B245,Hitters!$A$1:$R$401,15,FALSE)</f>
        <v>0.30434461324465889</v>
      </c>
      <c r="T245" s="154">
        <f>VLOOKUP($B245,Hitters!$A$1:$R$401,9,FALSE)</f>
        <v>103.69777777777779</v>
      </c>
      <c r="U245" s="154">
        <f>VLOOKUP($B245,Hitters!$A$1:$R$401,10,FALSE)</f>
        <v>22.968888888888888</v>
      </c>
      <c r="V245" s="154">
        <f>VLOOKUP($B245,Hitters!$A$1:$R$401,11,FALSE)</f>
        <v>2.0016666666666665</v>
      </c>
      <c r="W245" s="154">
        <f>VLOOKUP($B245,Hitters!$A$1:$R$401,12,FALSE)</f>
        <v>40.634999999999998</v>
      </c>
      <c r="X245" s="154">
        <f>VLOOKUP($B245,Hitters!$A$1:$R$401,13,FALSE)</f>
        <v>132.72777777777779</v>
      </c>
      <c r="Y245" s="152">
        <f>VLOOKUP($B245,Hitters!$A$1:$R$401,16,FALSE)</f>
        <v>0.43283493708364179</v>
      </c>
      <c r="Z245" s="152">
        <f>VLOOKUP($B245,Hitters!$A$1:$R$401,17,FALSE)</f>
        <v>0.73717955032830074</v>
      </c>
      <c r="AA245" s="31">
        <f>VLOOKUP($B245,Hitters!$A1:$R401,18,FALSE)</f>
        <v>0</v>
      </c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</row>
    <row r="246" spans="1:44" ht="18.600000000000001" customHeight="1">
      <c r="A246" s="25">
        <f ca="1">RANK(I246,I$2:I$651)</f>
        <v>245</v>
      </c>
      <c r="B246" s="26" t="s">
        <v>282</v>
      </c>
      <c r="C246" s="27" t="s">
        <v>120</v>
      </c>
      <c r="D246" s="27" t="s">
        <v>74</v>
      </c>
      <c r="E246" s="36" t="s">
        <v>31</v>
      </c>
      <c r="F246" s="37">
        <f ca="1">VLOOKUP(B246,SP!A1:I161,IF(Settings!$J$13="points",4,7),FALSE)</f>
        <v>72</v>
      </c>
      <c r="G246" s="30">
        <f>(AC246*Settings!$F$2)+(AF246*Settings!$F$5)+(AG246*Settings!$F$6)+(AH246*Settings!$F$7)+(AI246*Settings!$F$8)+(AJ246*Settings!$F$9)+(AK246*Settings!$F$10)+(AL246*Settings!$F$11)+(AM246*Settings!$F$12)+(AN246*Settings!$F$13)+(AO246*Settings!$F$14)+(AP246*Settings!$F$15)+(AQ246*Settings!$F$16)+(AR246*Settings!$F$17)</f>
        <v>384.38366666666678</v>
      </c>
      <c r="H246" s="31">
        <f>VLOOKUP(B246,'Standard Deviations'!$A1:$D651,4,FALSE)</f>
        <v>0.1078188130274621</v>
      </c>
      <c r="I246" s="32">
        <f ca="1">IF(Settings!$J$16="no",VLOOKUP(B246,SP!A1:I161,IF(Settings!$J$13="points",6,9),FALSE),VLOOKUP(B246,'SP+RP'!$A1:$I251,IF(Settings!$J$13="points",6,9),FALSE))</f>
        <v>0.97540449795642603</v>
      </c>
      <c r="J246" s="31"/>
      <c r="K246" s="31">
        <f ca="1">J246-A246</f>
        <v>-245</v>
      </c>
      <c r="L246" s="31"/>
      <c r="M246" s="31"/>
      <c r="N246" s="31"/>
      <c r="O246" s="31"/>
      <c r="P246" s="31"/>
      <c r="Q246" s="31"/>
      <c r="R246" s="152"/>
      <c r="S246" s="152"/>
      <c r="T246" s="154"/>
      <c r="U246" s="154"/>
      <c r="V246" s="154"/>
      <c r="W246" s="154"/>
      <c r="X246" s="154"/>
      <c r="Y246" s="152"/>
      <c r="Z246" s="152"/>
      <c r="AA246" s="31"/>
      <c r="AB246" s="31"/>
      <c r="AC246" s="31">
        <f>VLOOKUP($B246,Pitchers!$A1:$S251,4,FALSE)</f>
        <v>185.11222222222224</v>
      </c>
      <c r="AD246" s="33">
        <f>VLOOKUP($B246,Pitchers!$A1:$S251,5,FALSE)</f>
        <v>4.1389595500627241</v>
      </c>
      <c r="AE246" s="33">
        <f>VLOOKUP($B246,Pitchers!$A1:$S251,6,FALSE)</f>
        <v>1.2776153804599011</v>
      </c>
      <c r="AF246" s="31">
        <f>VLOOKUP($B246,Pitchers!$A1:$S251,7,FALSE)</f>
        <v>158.04111111111112</v>
      </c>
      <c r="AG246" s="31">
        <f>VLOOKUP($B246,Pitchers!$A1:$S251,8,FALSE)</f>
        <v>10.471111111111112</v>
      </c>
      <c r="AH246" s="31">
        <f>VLOOKUP($B246,Pitchers!$A1:$S251,9,FALSE)</f>
        <v>0</v>
      </c>
      <c r="AI246" s="31">
        <f>VLOOKUP($B246,Pitchers!$A1:$S251,10,FALSE)</f>
        <v>85.13022222222223</v>
      </c>
      <c r="AJ246" s="31">
        <f>VLOOKUP($B246,Pitchers!$A1:$S251,11,FALSE)</f>
        <v>181.25</v>
      </c>
      <c r="AK246" s="31">
        <f>VLOOKUP($B246,Pitchers!$A1:$S251,12,FALSE)</f>
        <v>55.252222222222223</v>
      </c>
      <c r="AL246" s="31">
        <f>VLOOKUP($B246,Pitchers!$A1:$S251,13,FALSE)</f>
        <v>24.7</v>
      </c>
      <c r="AM246" s="31">
        <f>VLOOKUP($B246,Pitchers!$A1:$S251,14,FALSE)</f>
        <v>30.975555555555555</v>
      </c>
      <c r="AN246" s="31">
        <f>VLOOKUP($B246,Pitchers!$A1:$S251,15,FALSE)</f>
        <v>30.975555555555555</v>
      </c>
      <c r="AO246" s="31">
        <f>VLOOKUP($B246,Pitchers!$A1:$S251,16,FALSE)</f>
        <v>10.527777777777779</v>
      </c>
      <c r="AP246" s="31">
        <f>VLOOKUP($B246,Pitchers!$A1:$S251,17,FALSE)</f>
        <v>17</v>
      </c>
      <c r="AQ246" s="31">
        <f>VLOOKUP($B246,Pitchers!$A1:$S251,18,FALSE)</f>
        <v>0</v>
      </c>
      <c r="AR246" s="31">
        <f>VLOOKUP($B246,Pitchers!$A1:$S251,19,FALSE)</f>
        <v>0</v>
      </c>
    </row>
    <row r="247" spans="1:44" ht="18.600000000000001" customHeight="1">
      <c r="A247" s="25">
        <f ca="1">RANK(I247,I$2:I$651)</f>
        <v>246</v>
      </c>
      <c r="B247" s="26" t="s">
        <v>335</v>
      </c>
      <c r="C247" s="27" t="s">
        <v>78</v>
      </c>
      <c r="D247" s="27" t="s">
        <v>69</v>
      </c>
      <c r="E247" s="36" t="s">
        <v>31</v>
      </c>
      <c r="F247" s="37">
        <f ca="1">VLOOKUP(B247,SP!A1:I161,IF(Settings!$J$13="points",4,7),FALSE)</f>
        <v>73</v>
      </c>
      <c r="G247" s="30">
        <f>(AC247*Settings!$F$2)+(AF247*Settings!$F$5)+(AG247*Settings!$F$6)+(AH247*Settings!$F$7)+(AI247*Settings!$F$8)+(AJ247*Settings!$F$9)+(AK247*Settings!$F$10)+(AL247*Settings!$F$11)+(AM247*Settings!$F$12)+(AN247*Settings!$F$13)+(AO247*Settings!$F$14)+(AP247*Settings!$F$15)+(AQ247*Settings!$F$16)+(AR247*Settings!$F$17)</f>
        <v>345.78815555555542</v>
      </c>
      <c r="H247" s="31">
        <f>VLOOKUP(B247,'Standard Deviations'!$A1:$D651,4,FALSE)</f>
        <v>5.2614270759135856E-2</v>
      </c>
      <c r="I247" s="32">
        <f ca="1">IF(Settings!$J$16="no",VLOOKUP(B247,SP!A1:I161,IF(Settings!$J$13="points",6,9),FALSE),VLOOKUP(B247,'SP+RP'!$A1:$I251,IF(Settings!$J$13="points",6,9),FALSE))</f>
        <v>0.92019878381196019</v>
      </c>
      <c r="J247" s="31"/>
      <c r="K247" s="31">
        <f ca="1">J247-A247</f>
        <v>-246</v>
      </c>
      <c r="L247" s="31"/>
      <c r="M247" s="31"/>
      <c r="N247" s="31"/>
      <c r="O247" s="31"/>
      <c r="P247" s="31"/>
      <c r="Q247" s="31"/>
      <c r="R247" s="152"/>
      <c r="S247" s="152"/>
      <c r="T247" s="154"/>
      <c r="U247" s="154"/>
      <c r="V247" s="154"/>
      <c r="W247" s="154"/>
      <c r="X247" s="154"/>
      <c r="Y247" s="152"/>
      <c r="Z247" s="152"/>
      <c r="AA247" s="31"/>
      <c r="AB247" s="31"/>
      <c r="AC247" s="31">
        <f>VLOOKUP($B247,Pitchers!$A1:$S251,4,FALSE)</f>
        <v>159.41111111111113</v>
      </c>
      <c r="AD247" s="33">
        <f>VLOOKUP($B247,Pitchers!$A1:$S251,5,FALSE)</f>
        <v>4.2682507841360557</v>
      </c>
      <c r="AE247" s="33">
        <f>VLOOKUP($B247,Pitchers!$A1:$S251,6,FALSE)</f>
        <v>1.2088241444204364</v>
      </c>
      <c r="AF247" s="31">
        <f>VLOOKUP($B247,Pitchers!$A1:$S251,7,FALSE)</f>
        <v>133.85333333333332</v>
      </c>
      <c r="AG247" s="31">
        <f>VLOOKUP($B247,Pitchers!$A1:$S251,8,FALSE)</f>
        <v>10.453333333333333</v>
      </c>
      <c r="AH247" s="31">
        <f>VLOOKUP($B247,Pitchers!$A1:$S251,9,FALSE)</f>
        <v>0</v>
      </c>
      <c r="AI247" s="31">
        <f>VLOOKUP($B247,Pitchers!$A1:$S251,10,FALSE)</f>
        <v>75.600733333333338</v>
      </c>
      <c r="AJ247" s="31">
        <f>VLOOKUP($B247,Pitchers!$A1:$S251,11,FALSE)</f>
        <v>155.08000000000001</v>
      </c>
      <c r="AK247" s="31">
        <f>VLOOKUP($B247,Pitchers!$A1:$S251,12,FALSE)</f>
        <v>37.619999999999997</v>
      </c>
      <c r="AL247" s="31">
        <f>VLOOKUP($B247,Pitchers!$A1:$S251,13,FALSE)</f>
        <v>26.566666666666666</v>
      </c>
      <c r="AM247" s="31">
        <f>VLOOKUP($B247,Pitchers!$A1:$S251,14,FALSE)</f>
        <v>27.964444444444442</v>
      </c>
      <c r="AN247" s="31">
        <f>VLOOKUP($B247,Pitchers!$A1:$S251,15,FALSE)</f>
        <v>27.964444444444442</v>
      </c>
      <c r="AO247" s="31">
        <f>VLOOKUP($B247,Pitchers!$A1:$S251,16,FALSE)</f>
        <v>8.0488888888888894</v>
      </c>
      <c r="AP247" s="31">
        <f>VLOOKUP($B247,Pitchers!$A1:$S251,17,FALSE)</f>
        <v>12</v>
      </c>
      <c r="AQ247" s="31">
        <f>VLOOKUP($B247,Pitchers!$A1:$S251,18,FALSE)</f>
        <v>0</v>
      </c>
      <c r="AR247" s="31">
        <f>VLOOKUP($B247,Pitchers!$A1:$S251,19,FALSE)</f>
        <v>0</v>
      </c>
    </row>
    <row r="248" spans="1:44" ht="18.600000000000001" customHeight="1">
      <c r="A248" s="25">
        <f ca="1">RANK(I248,I$2:I$651)</f>
        <v>247</v>
      </c>
      <c r="B248" s="26" t="s">
        <v>276</v>
      </c>
      <c r="C248" s="27" t="s">
        <v>217</v>
      </c>
      <c r="D248" s="27" t="s">
        <v>74</v>
      </c>
      <c r="E248" s="28" t="s">
        <v>23</v>
      </c>
      <c r="F248" s="29">
        <f ca="1">VLOOKUP(B248,OF!A1:I139,IF(Settings!$J$13="points",4,7),FALSE)</f>
        <v>56</v>
      </c>
      <c r="G248" s="30">
        <f>(M248*Settings!$B$2)+(N248*Settings!$B$3)+(O248*Settings!$B$4)+(P248*Settings!$B$5)+(Q248*Settings!$B$6)+((T248-U248-V248-O248)*Settings!$B$9)+(U248*Settings!$B$10)+(V248*Settings!$B$11)+(W248*Settings!$B$12)+(X248*Settings!$B$13)+(AA248*Settings!$B$16)</f>
        <v>324.05055555555555</v>
      </c>
      <c r="H248" s="31">
        <f>VLOOKUP(B248,'Standard Deviations'!$A1:$D651,4,FALSE)</f>
        <v>0.73572193324000579</v>
      </c>
      <c r="I248" s="32">
        <f ca="1">VLOOKUP(B248,OF!A1:I139,IF(Settings!$J$13="points",6,9),FALSE)</f>
        <v>0.89264942913729506</v>
      </c>
      <c r="J248" s="31"/>
      <c r="K248" s="31">
        <f ca="1">J248-A248</f>
        <v>-247</v>
      </c>
      <c r="L248" s="31"/>
      <c r="M248" s="31">
        <f>VLOOKUP($B248,Hitters!$A1:$R401,4,FALSE)</f>
        <v>470.68333333333334</v>
      </c>
      <c r="N248" s="31">
        <f>VLOOKUP($B248,Hitters!$A1:$R401,5,FALSE)</f>
        <v>67.115555555555559</v>
      </c>
      <c r="O248" s="31">
        <f>VLOOKUP($B248,Hitters!$A1:$R401,6,FALSE)</f>
        <v>18.739999999999998</v>
      </c>
      <c r="P248" s="31">
        <f>VLOOKUP($B248,Hitters!$A1:$R401,7,FALSE)</f>
        <v>62.611111111111114</v>
      </c>
      <c r="Q248" s="31">
        <f>VLOOKUP($B248,Hitters!$A1:$R401,8,FALSE)</f>
        <v>4.9877777777777776</v>
      </c>
      <c r="R248" s="152">
        <f>VLOOKUP($B248,Hitters!$A$1:$R$401,14,FALSE)</f>
        <v>0.23010280561358781</v>
      </c>
      <c r="S248" s="152">
        <f>VLOOKUP($B248,Hitters!$A$1:$R$401,15,FALSE)</f>
        <v>0.31853586111391569</v>
      </c>
      <c r="T248" s="154">
        <f>VLOOKUP($B248,Hitters!$A$1:$R$401,9,FALSE)</f>
        <v>108.30555555555556</v>
      </c>
      <c r="U248" s="154">
        <f>VLOOKUP($B248,Hitters!$A$1:$R$401,10,FALSE)</f>
        <v>27.123333333333335</v>
      </c>
      <c r="V248" s="154">
        <f>VLOOKUP($B248,Hitters!$A$1:$R$401,11,FALSE)</f>
        <v>2.668333333333333</v>
      </c>
      <c r="W248" s="154">
        <f>VLOOKUP($B248,Hitters!$A$1:$R$401,12,FALSE)</f>
        <v>53.713333333333331</v>
      </c>
      <c r="X248" s="154">
        <f>VLOOKUP($B248,Hitters!$A$1:$R$401,13,FALSE)</f>
        <v>132.70111111111112</v>
      </c>
      <c r="Y248" s="152">
        <f>VLOOKUP($B248,Hitters!$A$1:$R$401,16,FALSE)</f>
        <v>0.41850973171393835</v>
      </c>
      <c r="Z248" s="152">
        <f>VLOOKUP($B248,Hitters!$A$1:$R$401,17,FALSE)</f>
        <v>0.73704559282785409</v>
      </c>
      <c r="AA248" s="31">
        <f>VLOOKUP($B248,Hitters!$A1:$R401,18,FALSE)</f>
        <v>0</v>
      </c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</row>
    <row r="249" spans="1:44" ht="18.600000000000001" customHeight="1">
      <c r="A249" s="25">
        <f ca="1">RANK(I249,I$2:I$651)</f>
        <v>248</v>
      </c>
      <c r="B249" s="26" t="s">
        <v>422</v>
      </c>
      <c r="C249" s="27" t="s">
        <v>68</v>
      </c>
      <c r="D249" s="27" t="s">
        <v>69</v>
      </c>
      <c r="E249" s="48" t="s">
        <v>11</v>
      </c>
      <c r="F249" s="49">
        <f ca="1">VLOOKUP(B249,'2B'!A1:I50,IF(Settings!$J$13="points",4,7),FALSE)</f>
        <v>22</v>
      </c>
      <c r="G249" s="30">
        <f>(M249*Settings!$B$2)+(N249*Settings!$B$3)+(O249*Settings!$B$4)+(P249*Settings!$B$5)+(Q249*Settings!$B$6)+((T249-U249-V249-O249)*Settings!$B$9)+(U249*Settings!$B$10)+(V249*Settings!$B$11)+(W249*Settings!$B$12)+(X249*Settings!$B$13)+(AA249*Settings!$B$16)</f>
        <v>305.07388888888897</v>
      </c>
      <c r="H249" s="31">
        <f>VLOOKUP(B249,'Standard Deviations'!$A1:$D651,4,FALSE)</f>
        <v>0.8969446320841129</v>
      </c>
      <c r="I249" s="32">
        <f ca="1">IF(Settings!$J$16="no",VLOOKUP(B249,'2B'!A1:I50,IF(Settings!$J$13="points",6,9),FALSE),VLOOKUP(B249,'2B+SS'!$A1:$I94,IF(Settings!$J$13="points",6,9),FALSE))</f>
        <v>0.89090654863468632</v>
      </c>
      <c r="J249" s="31"/>
      <c r="K249" s="31">
        <f ca="1">J249-A249</f>
        <v>-248</v>
      </c>
      <c r="L249" s="31"/>
      <c r="M249" s="31">
        <f>VLOOKUP($B249,Hitters!$A1:$R401,4,FALSE)</f>
        <v>437.59999999999997</v>
      </c>
      <c r="N249" s="31">
        <f>VLOOKUP($B249,Hitters!$A1:$R401,5,FALSE)</f>
        <v>62.784444444444439</v>
      </c>
      <c r="O249" s="31">
        <f>VLOOKUP($B249,Hitters!$A1:$R401,6,FALSE)</f>
        <v>9.9366666666666656</v>
      </c>
      <c r="P249" s="31">
        <f>VLOOKUP($B249,Hitters!$A1:$R401,7,FALSE)</f>
        <v>47.481111111111112</v>
      </c>
      <c r="Q249" s="31">
        <f>VLOOKUP($B249,Hitters!$A1:$R401,8,FALSE)</f>
        <v>4.0016666666666669</v>
      </c>
      <c r="R249" s="152">
        <f>VLOOKUP($B249,Hitters!$A$1:$R$401,14,FALSE)</f>
        <v>0.27409861872841768</v>
      </c>
      <c r="S249" s="152">
        <f>VLOOKUP($B249,Hitters!$A$1:$R$401,15,FALSE)</f>
        <v>0.35651309532206354</v>
      </c>
      <c r="T249" s="154">
        <f>VLOOKUP($B249,Hitters!$A$1:$R$401,9,FALSE)</f>
        <v>119.94555555555557</v>
      </c>
      <c r="U249" s="154">
        <f>VLOOKUP($B249,Hitters!$A$1:$R$401,10,FALSE)</f>
        <v>18.88111111111111</v>
      </c>
      <c r="V249" s="154">
        <f>VLOOKUP($B249,Hitters!$A$1:$R$401,11,FALSE)</f>
        <v>0.99777777777777776</v>
      </c>
      <c r="W249" s="154">
        <f>VLOOKUP($B249,Hitters!$A$1:$R$401,12,FALSE)</f>
        <v>49.954444444444448</v>
      </c>
      <c r="X249" s="154">
        <f>VLOOKUP($B249,Hitters!$A$1:$R$401,13,FALSE)</f>
        <v>67.563333333333333</v>
      </c>
      <c r="Y249" s="152">
        <f>VLOOKUP($B249,Hitters!$A$1:$R$401,16,FALSE)</f>
        <v>0.38992738167783875</v>
      </c>
      <c r="Z249" s="152">
        <f>VLOOKUP($B249,Hitters!$A$1:$R$401,17,FALSE)</f>
        <v>0.74644047699990224</v>
      </c>
      <c r="AA249" s="31">
        <f>VLOOKUP($B249,Hitters!$A1:$R401,18,FALSE)</f>
        <v>0</v>
      </c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</row>
    <row r="250" spans="1:44" ht="18.600000000000001" customHeight="1">
      <c r="A250" s="25">
        <f ca="1">RANK(I250,I$2:I$651)</f>
        <v>249</v>
      </c>
      <c r="B250" s="26" t="s">
        <v>281</v>
      </c>
      <c r="C250" s="27" t="s">
        <v>84</v>
      </c>
      <c r="D250" s="27" t="s">
        <v>69</v>
      </c>
      <c r="E250" s="36" t="s">
        <v>31</v>
      </c>
      <c r="F250" s="37">
        <f ca="1">VLOOKUP(B250,SP!A1:I161,IF(Settings!$J$13="points",4,7),FALSE)</f>
        <v>74</v>
      </c>
      <c r="G250" s="30">
        <f>(AC250*Settings!$F$2)+(AF250*Settings!$F$5)+(AG250*Settings!$F$6)+(AH250*Settings!$F$7)+(AI250*Settings!$F$8)+(AJ250*Settings!$F$9)+(AK250*Settings!$F$10)+(AL250*Settings!$F$11)+(AM250*Settings!$F$12)+(AN250*Settings!$F$13)+(AO250*Settings!$F$14)+(AP250*Settings!$F$15)+(AQ250*Settings!$F$16)+(AR250*Settings!$F$17)</f>
        <v>361.77522222222234</v>
      </c>
      <c r="H250" s="31">
        <f>VLOOKUP(B250,'Standard Deviations'!$A1:$D651,4,FALSE)</f>
        <v>-1.5940658613001479E-2</v>
      </c>
      <c r="I250" s="32">
        <f ca="1">IF(Settings!$J$16="no",VLOOKUP(B250,SP!A1:I161,IF(Settings!$J$13="points",6,9),FALSE),VLOOKUP(B250,'SP+RP'!$A1:$I251,IF(Settings!$J$13="points",6,9),FALSE))</f>
        <v>0.85164480032854484</v>
      </c>
      <c r="J250" s="31"/>
      <c r="K250" s="31">
        <f ca="1">J250-A250</f>
        <v>-249</v>
      </c>
      <c r="L250" s="31"/>
      <c r="M250" s="31"/>
      <c r="N250" s="31"/>
      <c r="O250" s="31"/>
      <c r="P250" s="31"/>
      <c r="Q250" s="31"/>
      <c r="R250" s="152"/>
      <c r="S250" s="152"/>
      <c r="T250" s="154"/>
      <c r="U250" s="154"/>
      <c r="V250" s="154"/>
      <c r="W250" s="154"/>
      <c r="X250" s="154"/>
      <c r="Y250" s="152"/>
      <c r="Z250" s="152"/>
      <c r="AA250" s="31"/>
      <c r="AB250" s="31"/>
      <c r="AC250" s="31">
        <f>VLOOKUP($B250,Pitchers!$A1:$S251,4,FALSE)</f>
        <v>173.14666666666668</v>
      </c>
      <c r="AD250" s="33">
        <f>VLOOKUP($B250,Pitchers!$A1:$S251,5,FALSE)</f>
        <v>4.1601898198059448</v>
      </c>
      <c r="AE250" s="33">
        <f>VLOOKUP($B250,Pitchers!$A1:$S251,6,FALSE)</f>
        <v>1.2345153755326248</v>
      </c>
      <c r="AF250" s="31">
        <f>VLOOKUP($B250,Pitchers!$A1:$S251,7,FALSE)</f>
        <v>137.76666666666668</v>
      </c>
      <c r="AG250" s="31">
        <f>VLOOKUP($B250,Pitchers!$A1:$S251,8,FALSE)</f>
        <v>10.058888888888889</v>
      </c>
      <c r="AH250" s="31">
        <f>VLOOKUP($B250,Pitchers!$A1:$S251,9,FALSE)</f>
        <v>0</v>
      </c>
      <c r="AI250" s="31">
        <f>VLOOKUP($B250,Pitchers!$A1:$S251,10,FALSE)</f>
        <v>80.035888888888891</v>
      </c>
      <c r="AJ250" s="31">
        <f>VLOOKUP($B250,Pitchers!$A1:$S251,11,FALSE)</f>
        <v>171.53888888888889</v>
      </c>
      <c r="AK250" s="31">
        <f>VLOOKUP($B250,Pitchers!$A1:$S251,12,FALSE)</f>
        <v>42.213333333333331</v>
      </c>
      <c r="AL250" s="31">
        <f>VLOOKUP($B250,Pitchers!$A1:$S251,13,FALSE)</f>
        <v>24.966666666666669</v>
      </c>
      <c r="AM250" s="31">
        <f>VLOOKUP($B250,Pitchers!$A1:$S251,14,FALSE)</f>
        <v>29.608888888888888</v>
      </c>
      <c r="AN250" s="31">
        <f>VLOOKUP($B250,Pitchers!$A1:$S251,15,FALSE)</f>
        <v>29.58666666666667</v>
      </c>
      <c r="AO250" s="31">
        <f>VLOOKUP($B250,Pitchers!$A1:$S251,16,FALSE)</f>
        <v>9.6344444444444441</v>
      </c>
      <c r="AP250" s="31">
        <f>VLOOKUP($B250,Pitchers!$A1:$S251,17,FALSE)</f>
        <v>15</v>
      </c>
      <c r="AQ250" s="31">
        <f>VLOOKUP($B250,Pitchers!$A1:$S251,18,FALSE)</f>
        <v>0</v>
      </c>
      <c r="AR250" s="31">
        <f>VLOOKUP($B250,Pitchers!$A1:$S251,19,FALSE)</f>
        <v>0</v>
      </c>
    </row>
    <row r="251" spans="1:44" ht="18.600000000000001" customHeight="1">
      <c r="A251" s="25">
        <f ca="1">RANK(I251,I$2:I$651)</f>
        <v>250</v>
      </c>
      <c r="B251" s="26" t="s">
        <v>312</v>
      </c>
      <c r="C251" s="27" t="s">
        <v>81</v>
      </c>
      <c r="D251" s="27" t="s">
        <v>74</v>
      </c>
      <c r="E251" s="44" t="s">
        <v>112</v>
      </c>
      <c r="F251" s="45">
        <f ca="1">VLOOKUP(B251,'1B'!A1:I63,IF(Settings!$J$13="points",4,7),FALSE)</f>
        <v>19</v>
      </c>
      <c r="G251" s="30">
        <f>(M251*Settings!$B$2)+(N251*Settings!$B$3)+(O251*Settings!$B$4)+(P251*Settings!$B$5)+(Q251*Settings!$B$6)+((T251-U251-V251-O251)*Settings!$B$9)+(U251*Settings!$B$10)+(V251*Settings!$B$11)+(W251*Settings!$B$12)+(X251*Settings!$B$13)+(AA251*Settings!$B$16)</f>
        <v>355.13388888888886</v>
      </c>
      <c r="H251" s="31">
        <f>VLOOKUP(B251,'Standard Deviations'!$A1:$D651,4,FALSE)</f>
        <v>2.634961654216283</v>
      </c>
      <c r="I251" s="32">
        <f ca="1">VLOOKUP(B251,'1B'!A1:I63,IF(Settings!$J$13="points",6,9),FALSE)</f>
        <v>0.84283396192120663</v>
      </c>
      <c r="J251" s="31"/>
      <c r="K251" s="31">
        <f ca="1">J251-A251</f>
        <v>-250</v>
      </c>
      <c r="L251" s="31"/>
      <c r="M251" s="31">
        <f>VLOOKUP($B251,Hitters!$A1:$R401,4,FALSE)</f>
        <v>506.84444444444443</v>
      </c>
      <c r="N251" s="31">
        <f>VLOOKUP($B251,Hitters!$A1:$R401,5,FALSE)</f>
        <v>70.541666666666657</v>
      </c>
      <c r="O251" s="31">
        <f>VLOOKUP($B251,Hitters!$A1:$R401,6,FALSE)</f>
        <v>21.02</v>
      </c>
      <c r="P251" s="31">
        <f>VLOOKUP($B251,Hitters!$A1:$R401,7,FALSE)</f>
        <v>76.62555555555555</v>
      </c>
      <c r="Q251" s="31">
        <f>VLOOKUP($B251,Hitters!$A1:$R401,8,FALSE)</f>
        <v>0.03</v>
      </c>
      <c r="R251" s="152">
        <f>VLOOKUP($B251,Hitters!$A$1:$R$401,14,FALSE)</f>
        <v>0.25925552437741139</v>
      </c>
      <c r="S251" s="152">
        <f>VLOOKUP($B251,Hitters!$A$1:$R$401,15,FALSE)</f>
        <v>0.33374854710378787</v>
      </c>
      <c r="T251" s="154">
        <f>VLOOKUP($B251,Hitters!$A$1:$R$401,9,FALSE)</f>
        <v>131.40222222222221</v>
      </c>
      <c r="U251" s="154">
        <f>VLOOKUP($B251,Hitters!$A$1:$R$401,10,FALSE)</f>
        <v>30.311666666666667</v>
      </c>
      <c r="V251" s="154">
        <f>VLOOKUP($B251,Hitters!$A$1:$R$401,11,FALSE)</f>
        <v>1.1666666666666665</v>
      </c>
      <c r="W251" s="154">
        <f>VLOOKUP($B251,Hitters!$A$1:$R$401,12,FALSE)</f>
        <v>49.076666666666661</v>
      </c>
      <c r="X251" s="154">
        <f>VLOOKUP($B251,Hitters!$A$1:$R$401,13,FALSE)</f>
        <v>136.55444444444444</v>
      </c>
      <c r="Y251" s="152">
        <f>VLOOKUP($B251,Hitters!$A$1:$R$401,16,FALSE)</f>
        <v>0.44808071729217819</v>
      </c>
      <c r="Z251" s="152">
        <f>VLOOKUP($B251,Hitters!$A$1:$R$401,17,FALSE)</f>
        <v>0.78182926439596612</v>
      </c>
      <c r="AA251" s="31">
        <f>VLOOKUP($B251,Hitters!$A1:$R401,18,FALSE)</f>
        <v>0</v>
      </c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</row>
    <row r="252" spans="1:44" ht="18.600000000000001" customHeight="1">
      <c r="A252" s="25">
        <f ca="1">RANK(I252,I$2:I$651)</f>
        <v>251</v>
      </c>
      <c r="B252" s="26" t="s">
        <v>349</v>
      </c>
      <c r="C252" s="27" t="s">
        <v>114</v>
      </c>
      <c r="D252" s="27" t="s">
        <v>69</v>
      </c>
      <c r="E252" s="34" t="s">
        <v>15</v>
      </c>
      <c r="F252" s="35">
        <f ca="1">VLOOKUP(B252,'3B'!A1:I55,IF(Settings!$J$13="points",4,7),FALSE)</f>
        <v>17</v>
      </c>
      <c r="G252" s="30">
        <f>(M252*Settings!$B$2)+(N252*Settings!$B$3)+(O252*Settings!$B$4)+(P252*Settings!$B$5)+(Q252*Settings!$B$6)+((T252-U252-V252-O252)*Settings!$B$9)+(U252*Settings!$B$10)+(V252*Settings!$B$11)+(W252*Settings!$B$12)+(X252*Settings!$B$13)+(AA252*Settings!$B$16)</f>
        <v>323.10388888888895</v>
      </c>
      <c r="H252" s="31">
        <f>VLOOKUP(B252,'Standard Deviations'!$A1:$D651,4,FALSE)</f>
        <v>1.0398637600182847</v>
      </c>
      <c r="I252" s="32">
        <f ca="1">IF(Settings!$J$15="no",VLOOKUP(B252,'3B'!A1:I55,IF(Settings!$J$13="points",6,9),FALSE),VLOOKUP(B252,'1B+3B'!$A1:$I104,IF(Settings!$J$13="points",6,9),FALSE))</f>
        <v>0.81438499487886751</v>
      </c>
      <c r="J252" s="31"/>
      <c r="K252" s="31">
        <f ca="1">J252-A252</f>
        <v>-251</v>
      </c>
      <c r="L252" s="31"/>
      <c r="M252" s="31">
        <f>VLOOKUP($B252,Hitters!$A1:$R401,4,FALSE)</f>
        <v>502.5</v>
      </c>
      <c r="N252" s="31">
        <f>VLOOKUP($B252,Hitters!$A1:$R401,5,FALSE)</f>
        <v>65.404444444444451</v>
      </c>
      <c r="O252" s="31">
        <f>VLOOKUP($B252,Hitters!$A1:$R401,6,FALSE)</f>
        <v>16.804444444444446</v>
      </c>
      <c r="P252" s="31">
        <f>VLOOKUP($B252,Hitters!$A1:$R401,7,FALSE)</f>
        <v>64.266666666666666</v>
      </c>
      <c r="Q252" s="31">
        <f>VLOOKUP($B252,Hitters!$A1:$R401,8,FALSE)</f>
        <v>3.8222222222222224</v>
      </c>
      <c r="R252" s="152">
        <f>VLOOKUP($B252,Hitters!$A$1:$R$401,14,FALSE)</f>
        <v>0.24380541735765618</v>
      </c>
      <c r="S252" s="152">
        <f>VLOOKUP($B252,Hitters!$A$1:$R$401,15,FALSE)</f>
        <v>0.32799900453939612</v>
      </c>
      <c r="T252" s="154">
        <f>VLOOKUP($B252,Hitters!$A$1:$R$401,9,FALSE)</f>
        <v>122.51222222222223</v>
      </c>
      <c r="U252" s="154">
        <f>VLOOKUP($B252,Hitters!$A$1:$R$401,10,FALSE)</f>
        <v>26.47</v>
      </c>
      <c r="V252" s="154">
        <f>VLOOKUP($B252,Hitters!$A$1:$R$401,11,FALSE)</f>
        <v>1.9944444444444445</v>
      </c>
      <c r="W252" s="154">
        <f>VLOOKUP($B252,Hitters!$A$1:$R$401,12,FALSE)</f>
        <v>55.300000000000004</v>
      </c>
      <c r="X252" s="154">
        <f>VLOOKUP($B252,Hitters!$A$1:$R$401,13,FALSE)</f>
        <v>145.79222222222222</v>
      </c>
      <c r="Y252" s="152">
        <f>VLOOKUP($B252,Hitters!$A$1:$R$401,16,FALSE)</f>
        <v>0.40474516307352132</v>
      </c>
      <c r="Z252" s="152">
        <f>VLOOKUP($B252,Hitters!$A$1:$R$401,17,FALSE)</f>
        <v>0.73274416761291739</v>
      </c>
      <c r="AA252" s="31">
        <f>VLOOKUP($B252,Hitters!$A1:$R401,18,FALSE)</f>
        <v>0</v>
      </c>
      <c r="AB252" s="31"/>
      <c r="AC252" s="31"/>
      <c r="AD252" s="33"/>
      <c r="AE252" s="33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</row>
    <row r="253" spans="1:44" ht="18.600000000000001" customHeight="1">
      <c r="A253" s="25">
        <f ca="1">RANK(I253,I$2:I$651)</f>
        <v>252</v>
      </c>
      <c r="B253" s="26" t="s">
        <v>325</v>
      </c>
      <c r="C253" s="27" t="s">
        <v>306</v>
      </c>
      <c r="D253" s="27" t="s">
        <v>74</v>
      </c>
      <c r="E253" s="46" t="s">
        <v>19</v>
      </c>
      <c r="F253" s="47">
        <f ca="1">VLOOKUP(B253,'C'!A1:I54,IF(Settings!$J$13="points",4,7),FALSE)</f>
        <v>12</v>
      </c>
      <c r="G253" s="30">
        <f>(M253*Settings!$B$2)+(N253*Settings!$B$3)+(O253*Settings!$B$4)+(P253*Settings!$B$5)+(Q253*Settings!$B$6)+((T253-U253-V253-O253)*Settings!$B$9)+(U253*Settings!$B$10)+(V253*Settings!$B$11)+(W253*Settings!$B$12)+(X253*Settings!$B$13)+(AA253*Settings!$B$16)</f>
        <v>279.19944444444445</v>
      </c>
      <c r="H253" s="31">
        <f>VLOOKUP(B253,'Standard Deviations'!$A1:$D651,4,FALSE)</f>
        <v>2.4567343162932631E-2</v>
      </c>
      <c r="I253" s="32">
        <f ca="1">VLOOKUP(B253,'C'!A1:I54,IF(Settings!$J$13="points",6,9),FALSE)</f>
        <v>0.81108790573996314</v>
      </c>
      <c r="J253" s="31"/>
      <c r="K253" s="31">
        <f ca="1">J253-A253</f>
        <v>-252</v>
      </c>
      <c r="L253" s="31"/>
      <c r="M253" s="31">
        <f>VLOOKUP($B253,Hitters!$A1:$R401,4,FALSE)</f>
        <v>406.83333333333331</v>
      </c>
      <c r="N253" s="31">
        <f>VLOOKUP($B253,Hitters!$A1:$R401,5,FALSE)</f>
        <v>47.321111111111115</v>
      </c>
      <c r="O253" s="31">
        <f>VLOOKUP($B253,Hitters!$A1:$R401,6,FALSE)</f>
        <v>12.642222222222221</v>
      </c>
      <c r="P253" s="31">
        <f>VLOOKUP($B253,Hitters!$A1:$R401,7,FALSE)</f>
        <v>51.487777777777779</v>
      </c>
      <c r="Q253" s="31">
        <f>VLOOKUP($B253,Hitters!$A1:$R401,8,FALSE)</f>
        <v>4.0316666666666663</v>
      </c>
      <c r="R253" s="152">
        <f>VLOOKUP($B253,Hitters!$A$1:$R$401,14,FALSE)</f>
        <v>0.26080841185306569</v>
      </c>
      <c r="S253" s="152">
        <f>VLOOKUP($B253,Hitters!$A$1:$R$401,15,FALSE)</f>
        <v>0.32419506295147132</v>
      </c>
      <c r="T253" s="154">
        <f>VLOOKUP($B253,Hitters!$A$1:$R$401,9,FALSE)</f>
        <v>106.10555555555555</v>
      </c>
      <c r="U253" s="154">
        <f>VLOOKUP($B253,Hitters!$A$1:$R$401,10,FALSE)</f>
        <v>22.828888888888887</v>
      </c>
      <c r="V253" s="154">
        <f>VLOOKUP($B253,Hitters!$A$1:$R$401,11,FALSE)</f>
        <v>0.12666666666666665</v>
      </c>
      <c r="W253" s="154">
        <f>VLOOKUP($B253,Hitters!$A$1:$R$401,12,FALSE)</f>
        <v>31.891111111111112</v>
      </c>
      <c r="X253" s="154">
        <f>VLOOKUP($B253,Hitters!$A$1:$R$401,13,FALSE)</f>
        <v>53.356666666666662</v>
      </c>
      <c r="Y253" s="152">
        <f>VLOOKUP($B253,Hitters!$A$1:$R$401,16,FALSE)</f>
        <v>0.41076881059674997</v>
      </c>
      <c r="Z253" s="152">
        <f>VLOOKUP($B253,Hitters!$A$1:$R$401,17,FALSE)</f>
        <v>0.73496387354822135</v>
      </c>
      <c r="AA253" s="31">
        <f>VLOOKUP($B253,Hitters!$A1:$R401,18,FALSE)</f>
        <v>0</v>
      </c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</row>
    <row r="254" spans="1:44" ht="20.100000000000001" customHeight="1">
      <c r="A254" s="25">
        <f ca="1">RANK(I254,I$2:I$651)</f>
        <v>253</v>
      </c>
      <c r="B254" s="26" t="s">
        <v>319</v>
      </c>
      <c r="C254" s="27" t="s">
        <v>123</v>
      </c>
      <c r="D254" s="27" t="s">
        <v>74</v>
      </c>
      <c r="E254" s="36" t="s">
        <v>31</v>
      </c>
      <c r="F254" s="37">
        <f ca="1">VLOOKUP(B254,SP!A1:I161,IF(Settings!$J$13="points",4,7),FALSE)</f>
        <v>75</v>
      </c>
      <c r="G254" s="30">
        <f>(AC254*Settings!$F$2)+(AF254*Settings!$F$5)+(AG254*Settings!$F$6)+(AH254*Settings!$F$7)+(AI254*Settings!$F$8)+(AJ254*Settings!$F$9)+(AK254*Settings!$F$10)+(AL254*Settings!$F$11)+(AM254*Settings!$F$12)+(AN254*Settings!$F$13)+(AO254*Settings!$F$14)+(AP254*Settings!$F$15)+(AQ254*Settings!$F$16)+(AR254*Settings!$F$17)</f>
        <v>307.17036000000007</v>
      </c>
      <c r="H254" s="31">
        <f>VLOOKUP(B254,'Standard Deviations'!$A1:$D651,4,FALSE)</f>
        <v>-5.965900090545128E-2</v>
      </c>
      <c r="I254" s="32">
        <f ca="1">IF(Settings!$J$16="no",VLOOKUP(B254,SP!A1:I161,IF(Settings!$J$13="points",6,9),FALSE),VLOOKUP(B254,'SP+RP'!$A1:$I251,IF(Settings!$J$13="points",6,9),FALSE))</f>
        <v>0.8079218381628569</v>
      </c>
      <c r="J254" s="31"/>
      <c r="K254" s="31">
        <f ca="1">J254-A254</f>
        <v>-253</v>
      </c>
      <c r="L254" s="31"/>
      <c r="M254" s="31"/>
      <c r="N254" s="31"/>
      <c r="O254" s="31"/>
      <c r="P254" s="31"/>
      <c r="Q254" s="31"/>
      <c r="R254" s="152"/>
      <c r="S254" s="152"/>
      <c r="T254" s="154"/>
      <c r="U254" s="154"/>
      <c r="V254" s="154"/>
      <c r="W254" s="154"/>
      <c r="X254" s="154"/>
      <c r="Y254" s="152"/>
      <c r="Z254" s="152"/>
      <c r="AA254" s="31"/>
      <c r="AB254" s="31"/>
      <c r="AC254" s="31">
        <f>VLOOKUP($B254,Pitchers!$A1:$S251,4,FALSE)</f>
        <v>149.16466666666668</v>
      </c>
      <c r="AD254" s="33">
        <f>VLOOKUP($B254,Pitchers!$A1:$S251,5,FALSE)</f>
        <v>3.8970204740175278</v>
      </c>
      <c r="AE254" s="33">
        <f>VLOOKUP($B254,Pitchers!$A1:$S251,6,FALSE)</f>
        <v>1.2259203475353857</v>
      </c>
      <c r="AF254" s="31">
        <f>VLOOKUP($B254,Pitchers!$A1:$S251,7,FALSE)</f>
        <v>110.096</v>
      </c>
      <c r="AG254" s="31">
        <f>VLOOKUP($B254,Pitchers!$A1:$S251,8,FALSE)</f>
        <v>9.548</v>
      </c>
      <c r="AH254" s="31">
        <f>VLOOKUP($B254,Pitchers!$A1:$S251,9,FALSE)</f>
        <v>0</v>
      </c>
      <c r="AI254" s="31">
        <f>VLOOKUP($B254,Pitchers!$A1:$S251,10,FALSE)</f>
        <v>64.588639999999998</v>
      </c>
      <c r="AJ254" s="31">
        <f>VLOOKUP($B254,Pitchers!$A1:$S251,11,FALSE)</f>
        <v>141.62899999999999</v>
      </c>
      <c r="AK254" s="31">
        <f>VLOOKUP($B254,Pitchers!$A1:$S251,12,FALSE)</f>
        <v>41.234999999999999</v>
      </c>
      <c r="AL254" s="31">
        <f>VLOOKUP($B254,Pitchers!$A1:$S251,13,FALSE)</f>
        <v>17.176666666666666</v>
      </c>
      <c r="AM254" s="31">
        <f>VLOOKUP($B254,Pitchers!$A1:$S251,14,FALSE)</f>
        <v>25.152000000000001</v>
      </c>
      <c r="AN254" s="31">
        <f>VLOOKUP($B254,Pitchers!$A1:$S251,15,FALSE)</f>
        <v>25.152000000000001</v>
      </c>
      <c r="AO254" s="31">
        <f>VLOOKUP($B254,Pitchers!$A1:$S251,16,FALSE)</f>
        <v>7.9909999999999997</v>
      </c>
      <c r="AP254" s="31">
        <f>VLOOKUP($B254,Pitchers!$A1:$S251,17,FALSE)</f>
        <v>8.4</v>
      </c>
      <c r="AQ254" s="31">
        <f>VLOOKUP($B254,Pitchers!$A1:$S251,18,FALSE)</f>
        <v>0</v>
      </c>
      <c r="AR254" s="31">
        <f>VLOOKUP($B254,Pitchers!$A1:$S251,19,FALSE)</f>
        <v>0</v>
      </c>
    </row>
    <row r="255" spans="1:44" ht="18.600000000000001" customHeight="1">
      <c r="A255" s="25">
        <f ca="1">RANK(I255,I$2:I$651)</f>
        <v>254</v>
      </c>
      <c r="B255" s="26" t="s">
        <v>287</v>
      </c>
      <c r="C255" s="27" t="s">
        <v>63</v>
      </c>
      <c r="D255" s="27" t="s">
        <v>74</v>
      </c>
      <c r="E255" s="28" t="s">
        <v>23</v>
      </c>
      <c r="F255" s="29">
        <f ca="1">VLOOKUP(B255,OF!A1:I139,IF(Settings!$J$13="points",4,7),FALSE)</f>
        <v>57</v>
      </c>
      <c r="G255" s="30">
        <f>(M255*Settings!$B$2)+(N255*Settings!$B$3)+(O255*Settings!$B$4)+(P255*Settings!$B$5)+(Q255*Settings!$B$6)+((T255-U255-V255-O255)*Settings!$B$9)+(U255*Settings!$B$10)+(V255*Settings!$B$11)+(W255*Settings!$B$12)+(X255*Settings!$B$13)+(AA255*Settings!$B$16)</f>
        <v>312.28777777777782</v>
      </c>
      <c r="H255" s="31">
        <f>VLOOKUP(B255,'Standard Deviations'!$A1:$D651,4,FALSE)</f>
        <v>0.64464014251326751</v>
      </c>
      <c r="I255" s="32">
        <f ca="1">VLOOKUP(B255,OF!A1:I139,IF(Settings!$J$13="points",6,9),FALSE)</f>
        <v>0.80157224611434641</v>
      </c>
      <c r="J255" s="31"/>
      <c r="K255" s="31">
        <f ca="1">J255-A255</f>
        <v>-254</v>
      </c>
      <c r="L255" s="31"/>
      <c r="M255" s="31">
        <f>VLOOKUP($B255,Hitters!$A1:$R401,4,FALSE)</f>
        <v>455.85000000000008</v>
      </c>
      <c r="N255" s="31">
        <f>VLOOKUP($B255,Hitters!$A1:$R401,5,FALSE)</f>
        <v>64.196666666666673</v>
      </c>
      <c r="O255" s="31">
        <f>VLOOKUP($B255,Hitters!$A1:$R401,6,FALSE)</f>
        <v>16.853333333333335</v>
      </c>
      <c r="P255" s="31">
        <f>VLOOKUP($B255,Hitters!$A1:$R401,7,FALSE)</f>
        <v>56.994999999999997</v>
      </c>
      <c r="Q255" s="31">
        <f>VLOOKUP($B255,Hitters!$A1:$R401,8,FALSE)</f>
        <v>11.846666666666666</v>
      </c>
      <c r="R255" s="152">
        <f>VLOOKUP($B255,Hitters!$A$1:$R$401,14,FALSE)</f>
        <v>0.22163967191936915</v>
      </c>
      <c r="S255" s="152">
        <f>VLOOKUP($B255,Hitters!$A$1:$R$401,15,FALSE)</f>
        <v>0.31751971415112473</v>
      </c>
      <c r="T255" s="154">
        <f>VLOOKUP($B255,Hitters!$A$1:$R$401,9,FALSE)</f>
        <v>101.03444444444445</v>
      </c>
      <c r="U255" s="154">
        <f>VLOOKUP($B255,Hitters!$A$1:$R$401,10,FALSE)</f>
        <v>20.536666666666665</v>
      </c>
      <c r="V255" s="154">
        <f>VLOOKUP($B255,Hitters!$A$1:$R$401,11,FALSE)</f>
        <v>2.9777777777777779</v>
      </c>
      <c r="W255" s="154">
        <f>VLOOKUP($B255,Hitters!$A$1:$R$401,12,FALSE)</f>
        <v>56.886666666666663</v>
      </c>
      <c r="X255" s="154">
        <f>VLOOKUP($B255,Hitters!$A$1:$R$401,13,FALSE)</f>
        <v>135.14111111111112</v>
      </c>
      <c r="Y255" s="152">
        <f>VLOOKUP($B255,Hitters!$A$1:$R$401,16,FALSE)</f>
        <v>0.3906694453584878</v>
      </c>
      <c r="Z255" s="152">
        <f>VLOOKUP($B255,Hitters!$A$1:$R$401,17,FALSE)</f>
        <v>0.70818915950961259</v>
      </c>
      <c r="AA255" s="31">
        <f>VLOOKUP($B255,Hitters!$A1:$R401,18,FALSE)</f>
        <v>0</v>
      </c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</row>
    <row r="256" spans="1:44" ht="18.600000000000001" customHeight="1">
      <c r="A256" s="25">
        <f ca="1">RANK(I256,I$2:I$651)</f>
        <v>255</v>
      </c>
      <c r="B256" s="26" t="s">
        <v>348</v>
      </c>
      <c r="C256" s="27" t="s">
        <v>306</v>
      </c>
      <c r="D256" s="27" t="s">
        <v>74</v>
      </c>
      <c r="E256" s="48" t="s">
        <v>11</v>
      </c>
      <c r="F256" s="49">
        <f ca="1">VLOOKUP(B256,'2B'!A1:I50,IF(Settings!$J$13="points",4,7),FALSE)</f>
        <v>23</v>
      </c>
      <c r="G256" s="30">
        <f>(M256*Settings!$B$2)+(N256*Settings!$B$3)+(O256*Settings!$B$4)+(P256*Settings!$B$5)+(Q256*Settings!$B$6)+((T256-U256-V256-O256)*Settings!$B$9)+(U256*Settings!$B$10)+(V256*Settings!$B$11)+(W256*Settings!$B$12)+(X256*Settings!$B$13)+(AA256*Settings!$B$16)</f>
        <v>287.13166666666672</v>
      </c>
      <c r="H256" s="31">
        <f>VLOOKUP(B256,'Standard Deviations'!$A1:$D651,4,FALSE)</f>
        <v>0.79900244475024707</v>
      </c>
      <c r="I256" s="32">
        <f ca="1">IF(Settings!$J$16="no",VLOOKUP(B256,'2B'!A1:I50,IF(Settings!$J$13="points",6,9),FALSE),VLOOKUP(B256,'2B+SS'!$A1:$I94,IF(Settings!$J$13="points",6,9),FALSE))</f>
        <v>0.79296110400573261</v>
      </c>
      <c r="J256" s="31"/>
      <c r="K256" s="31">
        <f ca="1">J256-A256</f>
        <v>-255</v>
      </c>
      <c r="L256" s="31"/>
      <c r="M256" s="31">
        <f>VLOOKUP($B256,Hitters!$A1:$R401,4,FALSE)</f>
        <v>465.97777777777782</v>
      </c>
      <c r="N256" s="31">
        <f>VLOOKUP($B256,Hitters!$A1:$R401,5,FALSE)</f>
        <v>54.248888888888892</v>
      </c>
      <c r="O256" s="31">
        <f>VLOOKUP($B256,Hitters!$A1:$R401,6,FALSE)</f>
        <v>12.205</v>
      </c>
      <c r="P256" s="31">
        <f>VLOOKUP($B256,Hitters!$A1:$R401,7,FALSE)</f>
        <v>54.432222222222229</v>
      </c>
      <c r="Q256" s="31">
        <f>VLOOKUP($B256,Hitters!$A1:$R401,8,FALSE)</f>
        <v>5.836666666666666</v>
      </c>
      <c r="R256" s="152">
        <f>VLOOKUP($B256,Hitters!$A$1:$R$401,14,FALSE)</f>
        <v>0.26312413562878534</v>
      </c>
      <c r="S256" s="152">
        <f>VLOOKUP($B256,Hitters!$A$1:$R$401,15,FALSE)</f>
        <v>0.31057420330266433</v>
      </c>
      <c r="T256" s="154">
        <f>VLOOKUP($B256,Hitters!$A$1:$R$401,9,FALSE)</f>
        <v>122.61000000000001</v>
      </c>
      <c r="U256" s="154">
        <f>VLOOKUP($B256,Hitters!$A$1:$R$401,10,FALSE)</f>
        <v>25.103333333333335</v>
      </c>
      <c r="V256" s="154">
        <f>VLOOKUP($B256,Hitters!$A$1:$R$401,11,FALSE)</f>
        <v>2.9899999999999998</v>
      </c>
      <c r="W256" s="154">
        <f>VLOOKUP($B256,Hitters!$A$1:$R$401,12,FALSE)</f>
        <v>24.62</v>
      </c>
      <c r="X256" s="154">
        <f>VLOOKUP($B256,Hitters!$A$1:$R$401,13,FALSE)</f>
        <v>96.302222222222213</v>
      </c>
      <c r="Y256" s="152">
        <f>VLOOKUP($B256,Hitters!$A$1:$R$401,16,FALSE)</f>
        <v>0.40840645715103246</v>
      </c>
      <c r="Z256" s="152">
        <f>VLOOKUP($B256,Hitters!$A$1:$R$401,17,FALSE)</f>
        <v>0.7189806604536968</v>
      </c>
      <c r="AA256" s="31">
        <f>VLOOKUP($B256,Hitters!$A1:$R401,18,FALSE)</f>
        <v>0</v>
      </c>
      <c r="AB256" s="31"/>
      <c r="AC256" s="31"/>
      <c r="AD256" s="33"/>
      <c r="AE256" s="33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</row>
    <row r="257" spans="1:44" ht="18.600000000000001" customHeight="1">
      <c r="A257" s="25">
        <f ca="1">RANK(I257,I$2:I$651)</f>
        <v>256</v>
      </c>
      <c r="B257" s="26" t="s">
        <v>445</v>
      </c>
      <c r="C257" s="27" t="s">
        <v>217</v>
      </c>
      <c r="D257" s="27" t="s">
        <v>74</v>
      </c>
      <c r="E257" s="42" t="s">
        <v>34</v>
      </c>
      <c r="F257" s="43">
        <f ca="1">VLOOKUP(B257,RP!A1:I91,IF(Settings!$J$13="points",4,7),FALSE)</f>
        <v>26</v>
      </c>
      <c r="G257" s="30">
        <f>(AC257*Settings!$F$2)+(AF257*Settings!$F$5)+(AG257*Settings!$F$6)+(AH257*Settings!$F$7)+(AI257*Settings!$F$8)+(AJ257*Settings!$F$9)+(AK257*Settings!$F$10)+(AL257*Settings!$F$11)+(AM257*Settings!$F$12)+(AN257*Settings!$F$13)+(AO257*Settings!$F$14)+(AP257*Settings!$F$15)+(AQ257*Settings!$F$16)+(AR257*Settings!$F$17)</f>
        <v>180.15222222222229</v>
      </c>
      <c r="H257" s="31">
        <f>VLOOKUP(B257,'Standard Deviations'!$A1:$D651,4,FALSE)</f>
        <v>-0.12290115788625844</v>
      </c>
      <c r="I257" s="32">
        <f ca="1">IF(Settings!$J$16="no",VLOOKUP(B257,RP!A1:I91,IF(Settings!$J$13="points",6,9),FALSE),VLOOKUP(B257,'SP+RP'!$A1:$I251,IF(Settings!$J$13="points",6,9),FALSE))</f>
        <v>0.74467689005393223</v>
      </c>
      <c r="J257" s="31"/>
      <c r="K257" s="31">
        <f ca="1">J257-A257</f>
        <v>-256</v>
      </c>
      <c r="L257" s="31"/>
      <c r="M257" s="31"/>
      <c r="N257" s="31"/>
      <c r="O257" s="31"/>
      <c r="P257" s="31"/>
      <c r="Q257" s="31"/>
      <c r="R257" s="152"/>
      <c r="S257" s="152"/>
      <c r="T257" s="154"/>
      <c r="U257" s="154"/>
      <c r="V257" s="154"/>
      <c r="W257" s="154"/>
      <c r="X257" s="154"/>
      <c r="Y257" s="152"/>
      <c r="Z257" s="152"/>
      <c r="AA257" s="31"/>
      <c r="AB257" s="31"/>
      <c r="AC257" s="31">
        <f>VLOOKUP($B257,Pitchers!$A1:$S251,4,FALSE)</f>
        <v>62.736666666666672</v>
      </c>
      <c r="AD257" s="33">
        <f>VLOOKUP($B257,Pitchers!$A1:$S251,5,FALSE)</f>
        <v>3.539397481536581</v>
      </c>
      <c r="AE257" s="33">
        <f>VLOOKUP($B257,Pitchers!$A1:$S251,6,FALSE)</f>
        <v>1.1682340647857887</v>
      </c>
      <c r="AF257" s="31">
        <f>VLOOKUP($B257,Pitchers!$A1:$S251,7,FALSE)</f>
        <v>75.293333333333337</v>
      </c>
      <c r="AG257" s="31">
        <f>VLOOKUP($B257,Pitchers!$A1:$S251,8,FALSE)</f>
        <v>3.9822222222222226</v>
      </c>
      <c r="AH257" s="31">
        <f>VLOOKUP($B257,Pitchers!$A1:$S251,9,FALSE)</f>
        <v>6.3555555555555552</v>
      </c>
      <c r="AI257" s="31">
        <f>VLOOKUP($B257,Pitchers!$A1:$S251,10,FALSE)</f>
        <v>24.672222222222221</v>
      </c>
      <c r="AJ257" s="31">
        <f>VLOOKUP($B257,Pitchers!$A1:$S251,11,FALSE)</f>
        <v>56.293333333333329</v>
      </c>
      <c r="AK257" s="31">
        <f>VLOOKUP($B257,Pitchers!$A1:$S251,12,FALSE)</f>
        <v>16.997777777777777</v>
      </c>
      <c r="AL257" s="31">
        <f>VLOOKUP($B257,Pitchers!$A1:$S251,13,FALSE)</f>
        <v>6</v>
      </c>
      <c r="AM257" s="31">
        <f>VLOOKUP($B257,Pitchers!$A1:$S251,14,FALSE)</f>
        <v>63.597777777777786</v>
      </c>
      <c r="AN257" s="31">
        <f>VLOOKUP($B257,Pitchers!$A1:$S251,15,FALSE)</f>
        <v>0</v>
      </c>
      <c r="AO257" s="31">
        <f>VLOOKUP($B257,Pitchers!$A1:$S251,16,FALSE)</f>
        <v>4.0211111111111109</v>
      </c>
      <c r="AP257" s="31">
        <f>VLOOKUP($B257,Pitchers!$A1:$S251,17,FALSE)</f>
        <v>0</v>
      </c>
      <c r="AQ257" s="31">
        <f>VLOOKUP($B257,Pitchers!$A1:$S251,18,FALSE)</f>
        <v>11</v>
      </c>
      <c r="AR257" s="31">
        <f>VLOOKUP($B257,Pitchers!$A1:$S251,19,FALSE)</f>
        <v>2</v>
      </c>
    </row>
    <row r="258" spans="1:44" ht="18.600000000000001" customHeight="1">
      <c r="A258" s="25">
        <f ca="1">RANK(I258,I$2:I$651)</f>
        <v>257</v>
      </c>
      <c r="B258" s="26" t="s">
        <v>529</v>
      </c>
      <c r="C258" s="27" t="s">
        <v>95</v>
      </c>
      <c r="D258" s="27" t="s">
        <v>74</v>
      </c>
      <c r="E258" s="42" t="s">
        <v>34</v>
      </c>
      <c r="F258" s="43">
        <f ca="1">VLOOKUP(B258,RP!A1:I91,IF(Settings!$J$13="points",4,7),FALSE)</f>
        <v>27</v>
      </c>
      <c r="G258" s="30">
        <f>(AC258*Settings!$F$2)+(AF258*Settings!$F$5)+(AG258*Settings!$F$6)+(AH258*Settings!$F$7)+(AI258*Settings!$F$8)+(AJ258*Settings!$F$9)+(AK258*Settings!$F$10)+(AL258*Settings!$F$11)+(AM258*Settings!$F$12)+(AN258*Settings!$F$13)+(AO258*Settings!$F$14)+(AP258*Settings!$F$15)+(AQ258*Settings!$F$16)+(AR258*Settings!$F$17)</f>
        <v>242.5066666666666</v>
      </c>
      <c r="H258" s="31">
        <f>VLOOKUP(B258,'Standard Deviations'!$A1:$D651,4,FALSE)</f>
        <v>-0.12305329182167457</v>
      </c>
      <c r="I258" s="32">
        <f ca="1">IF(Settings!$J$16="no",VLOOKUP(B258,RP!A1:I91,IF(Settings!$J$13="points",6,9),FALSE),VLOOKUP(B258,'SP+RP'!$A1:$I251,IF(Settings!$J$13="points",6,9),FALSE))</f>
        <v>0.7445238558028473</v>
      </c>
      <c r="J258" s="31"/>
      <c r="K258" s="31">
        <f ca="1">J258-A258</f>
        <v>-257</v>
      </c>
      <c r="L258" s="31"/>
      <c r="M258" s="31"/>
      <c r="N258" s="31"/>
      <c r="O258" s="31"/>
      <c r="P258" s="31"/>
      <c r="Q258" s="31"/>
      <c r="R258" s="152"/>
      <c r="S258" s="152"/>
      <c r="T258" s="154"/>
      <c r="U258" s="154"/>
      <c r="V258" s="154"/>
      <c r="W258" s="154"/>
      <c r="X258" s="154"/>
      <c r="Y258" s="152"/>
      <c r="Z258" s="152"/>
      <c r="AA258" s="31"/>
      <c r="AB258" s="31"/>
      <c r="AC258" s="31">
        <f>VLOOKUP($B258,Pitchers!$A1:$S251,4,FALSE)</f>
        <v>60.775555555555549</v>
      </c>
      <c r="AD258" s="33">
        <f>VLOOKUP($B258,Pitchers!$A1:$S251,5,FALSE)</f>
        <v>3.5977458042341595</v>
      </c>
      <c r="AE258" s="33">
        <f>VLOOKUP($B258,Pitchers!$A1:$S251,6,FALSE)</f>
        <v>1.2579984642948556</v>
      </c>
      <c r="AF258" s="31">
        <f>VLOOKUP($B258,Pitchers!$A1:$S251,7,FALSE)</f>
        <v>73.721111111111114</v>
      </c>
      <c r="AG258" s="31">
        <f>VLOOKUP($B258,Pitchers!$A1:$S251,8,FALSE)</f>
        <v>3.26</v>
      </c>
      <c r="AH258" s="31">
        <f>VLOOKUP($B258,Pitchers!$A1:$S251,9,FALSE)</f>
        <v>16.600000000000001</v>
      </c>
      <c r="AI258" s="31">
        <f>VLOOKUP($B258,Pitchers!$A1:$S251,10,FALSE)</f>
        <v>24.295000000000002</v>
      </c>
      <c r="AJ258" s="31">
        <f>VLOOKUP($B258,Pitchers!$A1:$S251,11,FALSE)</f>
        <v>48.176666666666669</v>
      </c>
      <c r="AK258" s="31">
        <f>VLOOKUP($B258,Pitchers!$A1:$S251,12,FALSE)</f>
        <v>28.27888888888889</v>
      </c>
      <c r="AL258" s="31">
        <f>VLOOKUP($B258,Pitchers!$A1:$S251,13,FALSE)</f>
        <v>7</v>
      </c>
      <c r="AM258" s="31">
        <f>VLOOKUP($B258,Pitchers!$A1:$S251,14,FALSE)</f>
        <v>60.842222222222226</v>
      </c>
      <c r="AN258" s="31">
        <f>VLOOKUP($B258,Pitchers!$A1:$S251,15,FALSE)</f>
        <v>0</v>
      </c>
      <c r="AO258" s="31">
        <f>VLOOKUP($B258,Pitchers!$A1:$S251,16,FALSE)</f>
        <v>2.99</v>
      </c>
      <c r="AP258" s="31">
        <f>VLOOKUP($B258,Pitchers!$A1:$S251,17,FALSE)</f>
        <v>0</v>
      </c>
      <c r="AQ258" s="31">
        <f>VLOOKUP($B258,Pitchers!$A1:$S251,18,FALSE)</f>
        <v>11</v>
      </c>
      <c r="AR258" s="31">
        <f>VLOOKUP($B258,Pitchers!$A1:$S251,19,FALSE)</f>
        <v>1</v>
      </c>
    </row>
    <row r="259" spans="1:44" ht="20.100000000000001" customHeight="1">
      <c r="A259" s="25">
        <f ca="1">RANK(I259,I$2:I$651)</f>
        <v>258</v>
      </c>
      <c r="B259" s="26" t="s">
        <v>345</v>
      </c>
      <c r="C259" s="27" t="s">
        <v>158</v>
      </c>
      <c r="D259" s="27" t="s">
        <v>74</v>
      </c>
      <c r="E259" s="36" t="s">
        <v>31</v>
      </c>
      <c r="F259" s="37">
        <f ca="1">VLOOKUP(B259,SP!A1:I161,IF(Settings!$J$13="points",4,7),FALSE)</f>
        <v>76</v>
      </c>
      <c r="G259" s="30">
        <f>(AC259*Settings!$F$2)+(AF259*Settings!$F$5)+(AG259*Settings!$F$6)+(AH259*Settings!$F$7)+(AI259*Settings!$F$8)+(AJ259*Settings!$F$9)+(AK259*Settings!$F$10)+(AL259*Settings!$F$11)+(AM259*Settings!$F$12)+(AN259*Settings!$F$13)+(AO259*Settings!$F$14)+(AP259*Settings!$F$15)+(AQ259*Settings!$F$16)+(AR259*Settings!$F$17)</f>
        <v>347.25333333333339</v>
      </c>
      <c r="H259" s="31">
        <f>VLOOKUP(B259,'Standard Deviations'!$A1:$D651,4,FALSE)</f>
        <v>-0.13419705753293018</v>
      </c>
      <c r="I259" s="32">
        <f ca="1">IF(Settings!$J$16="no",VLOOKUP(B259,SP!A1:I161,IF(Settings!$J$13="points",6,9),FALSE),VLOOKUP(B259,'SP+RP'!$A1:$I251,IF(Settings!$J$13="points",6,9),FALSE))</f>
        <v>0.73337870866893695</v>
      </c>
      <c r="J259" s="31"/>
      <c r="K259" s="31">
        <f ca="1">J259-A259</f>
        <v>-258</v>
      </c>
      <c r="L259" s="31"/>
      <c r="M259" s="31"/>
      <c r="N259" s="31"/>
      <c r="O259" s="31"/>
      <c r="P259" s="31"/>
      <c r="Q259" s="31"/>
      <c r="R259" s="152"/>
      <c r="S259" s="152"/>
      <c r="T259" s="154"/>
      <c r="U259" s="154"/>
      <c r="V259" s="154"/>
      <c r="W259" s="154"/>
      <c r="X259" s="154"/>
      <c r="Y259" s="152"/>
      <c r="Z259" s="152"/>
      <c r="AA259" s="31"/>
      <c r="AB259" s="31"/>
      <c r="AC259" s="31">
        <f>VLOOKUP($B259,Pitchers!$A1:$S251,4,FALSE)</f>
        <v>166.85166666666669</v>
      </c>
      <c r="AD259" s="33">
        <f>VLOOKUP($B259,Pitchers!$A1:$S251,5,FALSE)</f>
        <v>4.1743964199738288</v>
      </c>
      <c r="AE259" s="33">
        <f>VLOOKUP($B259,Pitchers!$A1:$S251,6,FALSE)</f>
        <v>1.2406162492966137</v>
      </c>
      <c r="AF259" s="31">
        <f>VLOOKUP($B259,Pitchers!$A1:$S251,7,FALSE)</f>
        <v>142.17666666666665</v>
      </c>
      <c r="AG259" s="31">
        <f>VLOOKUP($B259,Pitchers!$A1:$S251,8,FALSE)</f>
        <v>9.67</v>
      </c>
      <c r="AH259" s="31">
        <f>VLOOKUP($B259,Pitchers!$A1:$S251,9,FALSE)</f>
        <v>0</v>
      </c>
      <c r="AI259" s="31">
        <f>VLOOKUP($B259,Pitchers!$A1:$S251,10,FALSE)</f>
        <v>77.38944444444445</v>
      </c>
      <c r="AJ259" s="31">
        <f>VLOOKUP($B259,Pitchers!$A1:$S251,11,FALSE)</f>
        <v>164.85666666666665</v>
      </c>
      <c r="AK259" s="31">
        <f>VLOOKUP($B259,Pitchers!$A1:$S251,12,FALSE)</f>
        <v>42.142222222222223</v>
      </c>
      <c r="AL259" s="31">
        <f>VLOOKUP($B259,Pitchers!$A1:$S251,13,FALSE)</f>
        <v>24.333333333333332</v>
      </c>
      <c r="AM259" s="31">
        <f>VLOOKUP($B259,Pitchers!$A1:$S251,14,FALSE)</f>
        <v>30.036666666666665</v>
      </c>
      <c r="AN259" s="31">
        <f>VLOOKUP($B259,Pitchers!$A1:$S251,15,FALSE)</f>
        <v>29.703333333333333</v>
      </c>
      <c r="AO259" s="31">
        <f>VLOOKUP($B259,Pitchers!$A1:$S251,16,FALSE)</f>
        <v>9.9383333333333326</v>
      </c>
      <c r="AP259" s="31">
        <f>VLOOKUP($B259,Pitchers!$A1:$S251,17,FALSE)</f>
        <v>14</v>
      </c>
      <c r="AQ259" s="31">
        <f>VLOOKUP($B259,Pitchers!$A1:$S251,18,FALSE)</f>
        <v>0</v>
      </c>
      <c r="AR259" s="31">
        <f>VLOOKUP($B259,Pitchers!$A1:$S251,19,FALSE)</f>
        <v>0</v>
      </c>
    </row>
    <row r="260" spans="1:44" ht="18.600000000000001" customHeight="1">
      <c r="A260" s="25">
        <f ca="1">RANK(I260,I$2:I$651)</f>
        <v>259</v>
      </c>
      <c r="B260" s="26" t="s">
        <v>374</v>
      </c>
      <c r="C260" s="27" t="s">
        <v>86</v>
      </c>
      <c r="D260" s="27" t="s">
        <v>69</v>
      </c>
      <c r="E260" s="34" t="s">
        <v>15</v>
      </c>
      <c r="F260" s="35">
        <f ca="1">VLOOKUP(B260,'3B'!A1:I55,IF(Settings!$J$13="points",4,7),FALSE)</f>
        <v>18</v>
      </c>
      <c r="G260" s="30">
        <f>(M260*Settings!$B$2)+(N260*Settings!$B$3)+(O260*Settings!$B$4)+(P260*Settings!$B$5)+(Q260*Settings!$B$6)+((T260-U260-V260-O260)*Settings!$B$9)+(U260*Settings!$B$10)+(V260*Settings!$B$11)+(W260*Settings!$B$12)+(X260*Settings!$B$13)+(AA260*Settings!$B$16)</f>
        <v>292.51600000000008</v>
      </c>
      <c r="H260" s="31">
        <f>VLOOKUP(B260,'Standard Deviations'!$A1:$D651,4,FALSE)</f>
        <v>0.95309385924057677</v>
      </c>
      <c r="I260" s="32">
        <f ca="1">IF(Settings!$J$15="no",VLOOKUP(B260,'3B'!A1:I55,IF(Settings!$J$13="points",6,9),FALSE),VLOOKUP(B260,'1B+3B'!$A1:$I104,IF(Settings!$J$13="points",6,9),FALSE))</f>
        <v>0.72760998854311787</v>
      </c>
      <c r="J260" s="31"/>
      <c r="K260" s="31">
        <f ca="1">J260-A260</f>
        <v>-259</v>
      </c>
      <c r="L260" s="31"/>
      <c r="M260" s="31">
        <f>VLOOKUP($B260,Hitters!$A1:$R401,4,FALSE)</f>
        <v>477.43786666666665</v>
      </c>
      <c r="N260" s="31">
        <f>VLOOKUP($B260,Hitters!$A1:$R401,5,FALSE)</f>
        <v>55.782933333333339</v>
      </c>
      <c r="O260" s="31">
        <f>VLOOKUP($B260,Hitters!$A1:$R401,6,FALSE)</f>
        <v>20.16</v>
      </c>
      <c r="P260" s="31">
        <f>VLOOKUP($B260,Hitters!$A1:$R401,7,FALSE)</f>
        <v>64.493600000000001</v>
      </c>
      <c r="Q260" s="31">
        <f>VLOOKUP($B260,Hitters!$A1:$R401,8,FALSE)</f>
        <v>5.1941333333333324</v>
      </c>
      <c r="R260" s="152">
        <f>VLOOKUP($B260,Hitters!$A$1:$R$401,14,FALSE)</f>
        <v>0.23854943498407052</v>
      </c>
      <c r="S260" s="152">
        <f>VLOOKUP($B260,Hitters!$A$1:$R$401,15,FALSE)</f>
        <v>0.29595842814803114</v>
      </c>
      <c r="T260" s="154">
        <f>VLOOKUP($B260,Hitters!$A$1:$R$401,9,FALSE)</f>
        <v>113.89253333333333</v>
      </c>
      <c r="U260" s="154">
        <f>VLOOKUP($B260,Hitters!$A$1:$R$401,10,FALSE)</f>
        <v>23.640799999999999</v>
      </c>
      <c r="V260" s="154">
        <f>VLOOKUP($B260,Hitters!$A$1:$R$401,11,FALSE)</f>
        <v>2.1663999999999999</v>
      </c>
      <c r="W260" s="154">
        <f>VLOOKUP($B260,Hitters!$A$1:$R$401,12,FALSE)</f>
        <v>31.009333333333334</v>
      </c>
      <c r="X260" s="154">
        <f>VLOOKUP($B260,Hitters!$A$1:$R$401,13,FALSE)</f>
        <v>143.00853333333333</v>
      </c>
      <c r="Y260" s="152">
        <f>VLOOKUP($B260,Hitters!$A$1:$R$401,16,FALSE)</f>
        <v>0.42381668372066011</v>
      </c>
      <c r="Z260" s="152">
        <f>VLOOKUP($B260,Hitters!$A$1:$R$401,17,FALSE)</f>
        <v>0.71977511186869125</v>
      </c>
      <c r="AA260" s="31">
        <f>VLOOKUP($B260,Hitters!$A1:$R401,18,FALSE)</f>
        <v>0</v>
      </c>
      <c r="AB260" s="31"/>
      <c r="AC260" s="31"/>
      <c r="AD260" s="33"/>
      <c r="AE260" s="33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</row>
    <row r="261" spans="1:44" ht="18.600000000000001" customHeight="1">
      <c r="A261" s="25">
        <f ca="1">RANK(I261,I$2:I$651)</f>
        <v>260</v>
      </c>
      <c r="B261" s="26" t="s">
        <v>139</v>
      </c>
      <c r="C261" s="27" t="s">
        <v>140</v>
      </c>
      <c r="D261" s="27" t="s">
        <v>69</v>
      </c>
      <c r="E261" s="28" t="s">
        <v>23</v>
      </c>
      <c r="F261" s="29">
        <f ca="1">VLOOKUP(B261,OF!A1:I139,IF(Settings!$J$13="points",4,7),FALSE)</f>
        <v>58</v>
      </c>
      <c r="G261" s="30">
        <f>(M261*Settings!$B$2)+(N261*Settings!$B$3)+(O261*Settings!$B$4)+(P261*Settings!$B$5)+(Q261*Settings!$B$6)+((T261-U261-V261-O261)*Settings!$B$9)+(U261*Settings!$B$10)+(V261*Settings!$B$11)+(W261*Settings!$B$12)+(X261*Settings!$B$13)+(AA261*Settings!$B$16)</f>
        <v>250.18449999999993</v>
      </c>
      <c r="H261" s="31">
        <f>VLOOKUP(B261,'Standard Deviations'!$A1:$D651,4,FALSE)</f>
        <v>0.55026198900089696</v>
      </c>
      <c r="I261" s="32">
        <f ca="1">VLOOKUP(B261,OF!A1:I139,IF(Settings!$J$13="points",6,9),FALSE)</f>
        <v>0.70719489390159973</v>
      </c>
      <c r="J261" s="31"/>
      <c r="K261" s="31">
        <f ca="1">J261-A261</f>
        <v>-260</v>
      </c>
      <c r="L261" s="31"/>
      <c r="M261" s="31">
        <f>VLOOKUP($B261,Hitters!$A1:$R401,4,FALSE)</f>
        <v>357.68333333333334</v>
      </c>
      <c r="N261" s="31">
        <f>VLOOKUP($B261,Hitters!$A1:$R401,5,FALSE)</f>
        <v>46.908833333333327</v>
      </c>
      <c r="O261" s="31">
        <f>VLOOKUP($B261,Hitters!$A1:$R401,6,FALSE)</f>
        <v>7.6336666666666666</v>
      </c>
      <c r="P261" s="31">
        <f>VLOOKUP($B261,Hitters!$A1:$R401,7,FALSE)</f>
        <v>34.237833333333334</v>
      </c>
      <c r="Q261" s="31">
        <f>VLOOKUP($B261,Hitters!$A1:$R401,8,FALSE)</f>
        <v>27.074166666666667</v>
      </c>
      <c r="R261" s="152">
        <f>VLOOKUP($B261,Hitters!$A$1:$R$401,14,FALSE)</f>
        <v>0.23548250314524019</v>
      </c>
      <c r="S261" s="152">
        <f>VLOOKUP($B261,Hitters!$A$1:$R$401,15,FALSE)</f>
        <v>0.3042872629610951</v>
      </c>
      <c r="T261" s="154">
        <f>VLOOKUP($B261,Hitters!$A$1:$R$401,9,FALSE)</f>
        <v>84.228166666666667</v>
      </c>
      <c r="U261" s="154">
        <f>VLOOKUP($B261,Hitters!$A$1:$R$401,10,FALSE)</f>
        <v>18.98</v>
      </c>
      <c r="V261" s="154">
        <f>VLOOKUP($B261,Hitters!$A$1:$R$401,11,FALSE)</f>
        <v>2.0220000000000002</v>
      </c>
      <c r="W261" s="154">
        <f>VLOOKUP($B261,Hitters!$A$1:$R$401,12,FALSE)</f>
        <v>29.561000000000003</v>
      </c>
      <c r="X261" s="154">
        <f>VLOOKUP($B261,Hitters!$A$1:$R$401,13,FALSE)</f>
        <v>89.649333333333331</v>
      </c>
      <c r="Y261" s="152">
        <f>VLOOKUP($B261,Hitters!$A$1:$R$401,16,FALSE)</f>
        <v>0.3638781976608732</v>
      </c>
      <c r="Z261" s="152">
        <f>VLOOKUP($B261,Hitters!$A$1:$R$401,17,FALSE)</f>
        <v>0.66816546062196824</v>
      </c>
      <c r="AA261" s="31">
        <f>VLOOKUP($B261,Hitters!$A1:$R401,18,FALSE)</f>
        <v>0</v>
      </c>
      <c r="AB261" s="31"/>
      <c r="AC261" s="31"/>
      <c r="AD261" s="33"/>
      <c r="AE261" s="33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</row>
    <row r="262" spans="1:44" ht="18.600000000000001" customHeight="1">
      <c r="A262" s="25">
        <f ca="1">RANK(I262,I$2:I$651)</f>
        <v>261</v>
      </c>
      <c r="B262" s="26" t="s">
        <v>308</v>
      </c>
      <c r="C262" s="27" t="s">
        <v>97</v>
      </c>
      <c r="D262" s="27" t="s">
        <v>74</v>
      </c>
      <c r="E262" s="28" t="s">
        <v>23</v>
      </c>
      <c r="F262" s="29">
        <f ca="1">VLOOKUP(B262,OF!A1:I139,IF(Settings!$J$13="points",4,7),FALSE)</f>
        <v>59</v>
      </c>
      <c r="G262" s="30">
        <f>(M262*Settings!$B$2)+(N262*Settings!$B$3)+(O262*Settings!$B$4)+(P262*Settings!$B$5)+(Q262*Settings!$B$6)+((T262-U262-V262-O262)*Settings!$B$9)+(U262*Settings!$B$10)+(V262*Settings!$B$11)+(W262*Settings!$B$12)+(X262*Settings!$B$13)+(AA262*Settings!$B$16)</f>
        <v>318.5</v>
      </c>
      <c r="H262" s="31">
        <f>VLOOKUP(B262,'Standard Deviations'!$A1:$D651,4,FALSE)</f>
        <v>0.52701108251640205</v>
      </c>
      <c r="I262" s="32">
        <f ca="1">VLOOKUP(B262,OF!A1:I139,IF(Settings!$J$13="points",6,9),FALSE)</f>
        <v>0.68394107617309352</v>
      </c>
      <c r="J262" s="31"/>
      <c r="K262" s="31">
        <f ca="1">J262-A262</f>
        <v>-261</v>
      </c>
      <c r="L262" s="31"/>
      <c r="M262" s="31">
        <f>VLOOKUP($B262,Hitters!$A1:$R401,4,FALSE)</f>
        <v>419.98888888888888</v>
      </c>
      <c r="N262" s="31">
        <f>VLOOKUP($B262,Hitters!$A1:$R401,5,FALSE)</f>
        <v>60.693333333333335</v>
      </c>
      <c r="O262" s="31">
        <f>VLOOKUP($B262,Hitters!$A1:$R401,6,FALSE)</f>
        <v>16.671666666666667</v>
      </c>
      <c r="P262" s="31">
        <f>VLOOKUP($B262,Hitters!$A1:$R401,7,FALSE)</f>
        <v>57.531111111111109</v>
      </c>
      <c r="Q262" s="31">
        <f>VLOOKUP($B262,Hitters!$A1:$R401,8,FALSE)</f>
        <v>0.66555555555555557</v>
      </c>
      <c r="R262" s="152">
        <f>VLOOKUP($B262,Hitters!$A$1:$R$401,14,FALSE)</f>
        <v>0.2529511362734464</v>
      </c>
      <c r="S262" s="152">
        <f>VLOOKUP($B262,Hitters!$A$1:$R$401,15,FALSE)</f>
        <v>0.3598972786503164</v>
      </c>
      <c r="T262" s="154">
        <f>VLOOKUP($B262,Hitters!$A$1:$R$401,9,FALSE)</f>
        <v>106.23666666666666</v>
      </c>
      <c r="U262" s="154">
        <f>VLOOKUP($B262,Hitters!$A$1:$R$401,10,FALSE)</f>
        <v>21.048333333333332</v>
      </c>
      <c r="V262" s="154">
        <f>VLOOKUP($B262,Hitters!$A$1:$R$401,11,FALSE)</f>
        <v>0.98555555555555552</v>
      </c>
      <c r="W262" s="154">
        <f>VLOOKUP($B262,Hitters!$A$1:$R$401,12,FALSE)</f>
        <v>64.393333333333331</v>
      </c>
      <c r="X262" s="154">
        <f>VLOOKUP($B262,Hitters!$A$1:$R$401,13,FALSE)</f>
        <v>89.44</v>
      </c>
      <c r="Y262" s="152">
        <f>VLOOKUP($B262,Hitters!$A$1:$R$401,16,FALSE)</f>
        <v>0.42684727109182785</v>
      </c>
      <c r="Z262" s="152">
        <f>VLOOKUP($B262,Hitters!$A$1:$R$401,17,FALSE)</f>
        <v>0.78674454974214425</v>
      </c>
      <c r="AA262" s="31">
        <f>VLOOKUP($B262,Hitters!$A1:$R401,18,FALSE)</f>
        <v>0</v>
      </c>
      <c r="AB262" s="31"/>
      <c r="AC262" s="31"/>
      <c r="AD262" s="33"/>
      <c r="AE262" s="33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</row>
    <row r="263" spans="1:44" ht="18.600000000000001" customHeight="1">
      <c r="A263" s="25">
        <f ca="1">RANK(I263,I$2:I$651)</f>
        <v>262</v>
      </c>
      <c r="B263" s="26" t="s">
        <v>323</v>
      </c>
      <c r="C263" s="27" t="s">
        <v>134</v>
      </c>
      <c r="D263" s="27" t="s">
        <v>74</v>
      </c>
      <c r="E263" s="28" t="s">
        <v>23</v>
      </c>
      <c r="F263" s="29">
        <f ca="1">VLOOKUP(B263,OF!A1:I139,IF(Settings!$J$13="points",4,7),FALSE)</f>
        <v>60</v>
      </c>
      <c r="G263" s="30">
        <f>(M263*Settings!$B$2)+(N263*Settings!$B$3)+(O263*Settings!$B$4)+(P263*Settings!$B$5)+(Q263*Settings!$B$6)+((T263-U263-V263-O263)*Settings!$B$9)+(U263*Settings!$B$10)+(V263*Settings!$B$11)+(W263*Settings!$B$12)+(X263*Settings!$B$13)+(AA263*Settings!$B$16)</f>
        <v>307.27166666666659</v>
      </c>
      <c r="H263" s="31">
        <f>VLOOKUP(B263,'Standard Deviations'!$A1:$D651,4,FALSE)</f>
        <v>0.52646246745101888</v>
      </c>
      <c r="I263" s="32">
        <f ca="1">VLOOKUP(B263,OF!A1:I139,IF(Settings!$J$13="points",6,9),FALSE)</f>
        <v>0.68339685608991574</v>
      </c>
      <c r="J263" s="31"/>
      <c r="K263" s="31">
        <f ca="1">J263-A263</f>
        <v>-262</v>
      </c>
      <c r="L263" s="31"/>
      <c r="M263" s="31">
        <f>VLOOKUP($B263,Hitters!$A1:$R401,4,FALSE)</f>
        <v>450.41666666666669</v>
      </c>
      <c r="N263" s="31">
        <f>VLOOKUP($B263,Hitters!$A1:$R401,5,FALSE)</f>
        <v>61.204444444444448</v>
      </c>
      <c r="O263" s="31">
        <f>VLOOKUP($B263,Hitters!$A1:$R401,6,FALSE)</f>
        <v>22.491666666666664</v>
      </c>
      <c r="P263" s="31">
        <f>VLOOKUP($B263,Hitters!$A1:$R401,7,FALSE)</f>
        <v>66.063333333333333</v>
      </c>
      <c r="Q263" s="31">
        <f>VLOOKUP($B263,Hitters!$A1:$R401,8,FALSE)</f>
        <v>1.7011111111111112</v>
      </c>
      <c r="R263" s="152">
        <f>VLOOKUP($B263,Hitters!$A$1:$R$401,14,FALSE)</f>
        <v>0.22819611470860315</v>
      </c>
      <c r="S263" s="152">
        <f>VLOOKUP($B263,Hitters!$A$1:$R$401,15,FALSE)</f>
        <v>0.31964635027474381</v>
      </c>
      <c r="T263" s="154">
        <f>VLOOKUP($B263,Hitters!$A$1:$R$401,9,FALSE)</f>
        <v>102.78333333333335</v>
      </c>
      <c r="U263" s="154">
        <f>VLOOKUP($B263,Hitters!$A$1:$R$401,10,FALSE)</f>
        <v>21.462222222222223</v>
      </c>
      <c r="V263" s="154">
        <f>VLOOKUP($B263,Hitters!$A$1:$R$401,11,FALSE)</f>
        <v>0.98555555555555552</v>
      </c>
      <c r="W263" s="154">
        <f>VLOOKUP($B263,Hitters!$A$1:$R$401,12,FALSE)</f>
        <v>53.515000000000008</v>
      </c>
      <c r="X263" s="154">
        <f>VLOOKUP($B263,Hitters!$A$1:$R$401,13,FALSE)</f>
        <v>141.21</v>
      </c>
      <c r="Y263" s="152">
        <f>VLOOKUP($B263,Hitters!$A$1:$R$401,16,FALSE)</f>
        <v>0.43002775208140609</v>
      </c>
      <c r="Z263" s="152">
        <f>VLOOKUP($B263,Hitters!$A$1:$R$401,17,FALSE)</f>
        <v>0.74967410235614995</v>
      </c>
      <c r="AA263" s="31">
        <f>VLOOKUP($B263,Hitters!$A1:$R401,18,FALSE)</f>
        <v>0</v>
      </c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</row>
    <row r="264" spans="1:44" ht="18.600000000000001" customHeight="1">
      <c r="A264" s="25">
        <f ca="1">RANK(I264,I$2:I$651)</f>
        <v>263</v>
      </c>
      <c r="B264" s="26" t="s">
        <v>384</v>
      </c>
      <c r="C264" s="27" t="s">
        <v>91</v>
      </c>
      <c r="D264" s="27" t="s">
        <v>74</v>
      </c>
      <c r="E264" s="36" t="s">
        <v>31</v>
      </c>
      <c r="F264" s="37">
        <f ca="1">VLOOKUP(B264,SP!A1:I161,IF(Settings!$J$13="points",4,7),FALSE)</f>
        <v>77</v>
      </c>
      <c r="G264" s="30">
        <f>(AC264*Settings!$F$2)+(AF264*Settings!$F$5)+(AG264*Settings!$F$6)+(AH264*Settings!$F$7)+(AI264*Settings!$F$8)+(AJ264*Settings!$F$9)+(AK264*Settings!$F$10)+(AL264*Settings!$F$11)+(AM264*Settings!$F$12)+(AN264*Settings!$F$13)+(AO264*Settings!$F$14)+(AP264*Settings!$F$15)+(AQ264*Settings!$F$16)+(AR264*Settings!$F$17)</f>
        <v>345.71715555555562</v>
      </c>
      <c r="H264" s="31">
        <f>VLOOKUP(B264,'Standard Deviations'!$A1:$D651,4,FALSE)</f>
        <v>-0.20077093537894231</v>
      </c>
      <c r="I264" s="32">
        <f ca="1">IF(Settings!$J$16="no",VLOOKUP(B264,SP!A1:I161,IF(Settings!$J$13="points",6,9),FALSE),VLOOKUP(B264,'SP+RP'!$A1:$I251,IF(Settings!$J$13="points",6,9),FALSE))</f>
        <v>0.66680545349236209</v>
      </c>
      <c r="J264" s="31"/>
      <c r="K264" s="31">
        <f ca="1">J264-A264</f>
        <v>-263</v>
      </c>
      <c r="L264" s="31"/>
      <c r="M264" s="31"/>
      <c r="N264" s="31"/>
      <c r="O264" s="31"/>
      <c r="P264" s="31"/>
      <c r="Q264" s="31"/>
      <c r="R264" s="152"/>
      <c r="S264" s="152"/>
      <c r="T264" s="154"/>
      <c r="U264" s="154"/>
      <c r="V264" s="154"/>
      <c r="W264" s="154"/>
      <c r="X264" s="154"/>
      <c r="Y264" s="152"/>
      <c r="Z264" s="152"/>
      <c r="AA264" s="31"/>
      <c r="AB264" s="31"/>
      <c r="AC264" s="31">
        <f>VLOOKUP($B264,Pitchers!$A1:$S251,4,FALSE)</f>
        <v>161.36000000000001</v>
      </c>
      <c r="AD264" s="33">
        <f>VLOOKUP($B264,Pitchers!$A1:$S251,5,FALSE)</f>
        <v>3.832583044124938</v>
      </c>
      <c r="AE264" s="33">
        <f>VLOOKUP($B264,Pitchers!$A1:$S251,6,FALSE)</f>
        <v>1.3162218366110283</v>
      </c>
      <c r="AF264" s="31">
        <f>VLOOKUP($B264,Pitchers!$A1:$S251,7,FALSE)</f>
        <v>133.24222222222224</v>
      </c>
      <c r="AG264" s="31">
        <f>VLOOKUP($B264,Pitchers!$A1:$S251,8,FALSE)</f>
        <v>10.28</v>
      </c>
      <c r="AH264" s="31">
        <f>VLOOKUP($B264,Pitchers!$A1:$S251,9,FALSE)</f>
        <v>1.1111111111111112E-2</v>
      </c>
      <c r="AI264" s="31">
        <f>VLOOKUP($B264,Pitchers!$A1:$S251,10,FALSE)</f>
        <v>68.713955555555557</v>
      </c>
      <c r="AJ264" s="31">
        <f>VLOOKUP($B264,Pitchers!$A1:$S251,11,FALSE)</f>
        <v>155.94555555555556</v>
      </c>
      <c r="AK264" s="31">
        <f>VLOOKUP($B264,Pitchers!$A1:$S251,12,FALSE)</f>
        <v>56.44</v>
      </c>
      <c r="AL264" s="31">
        <f>VLOOKUP($B264,Pitchers!$A1:$S251,13,FALSE)</f>
        <v>15.833333333333334</v>
      </c>
      <c r="AM264" s="31">
        <f>VLOOKUP($B264,Pitchers!$A1:$S251,14,FALSE)</f>
        <v>29.408888888888885</v>
      </c>
      <c r="AN264" s="31">
        <f>VLOOKUP($B264,Pitchers!$A1:$S251,15,FALSE)</f>
        <v>29.20888888888889</v>
      </c>
      <c r="AO264" s="31">
        <f>VLOOKUP($B264,Pitchers!$A1:$S251,16,FALSE)</f>
        <v>8.1844444444444449</v>
      </c>
      <c r="AP264" s="31">
        <f>VLOOKUP($B264,Pitchers!$A1:$S251,17,FALSE)</f>
        <v>15</v>
      </c>
      <c r="AQ264" s="31">
        <f>VLOOKUP($B264,Pitchers!$A1:$S251,18,FALSE)</f>
        <v>0</v>
      </c>
      <c r="AR264" s="31">
        <f>VLOOKUP($B264,Pitchers!$A1:$S251,19,FALSE)</f>
        <v>0</v>
      </c>
    </row>
    <row r="265" spans="1:44" ht="20.100000000000001" customHeight="1">
      <c r="A265" s="25">
        <f ca="1">RANK(I265,I$2:I$651)</f>
        <v>264</v>
      </c>
      <c r="B265" s="26" t="s">
        <v>304</v>
      </c>
      <c r="C265" s="27" t="s">
        <v>137</v>
      </c>
      <c r="D265" s="27" t="s">
        <v>74</v>
      </c>
      <c r="E265" s="28" t="s">
        <v>23</v>
      </c>
      <c r="F265" s="29">
        <f ca="1">VLOOKUP(B265,OF!A1:I139,IF(Settings!$J$13="points",4,7),FALSE)</f>
        <v>61</v>
      </c>
      <c r="G265" s="30">
        <f>(M265*Settings!$B$2)+(N265*Settings!$B$3)+(O265*Settings!$B$4)+(P265*Settings!$B$5)+(Q265*Settings!$B$6)+((T265-U265-V265-O265)*Settings!$B$9)+(U265*Settings!$B$10)+(V265*Settings!$B$11)+(W265*Settings!$B$12)+(X265*Settings!$B$13)+(AA265*Settings!$B$16)</f>
        <v>305.47416666666663</v>
      </c>
      <c r="H265" s="31">
        <f>VLOOKUP(B265,'Standard Deviations'!$A1:$D651,4,FALSE)</f>
        <v>0.49821466167337702</v>
      </c>
      <c r="I265" s="32">
        <f ca="1">VLOOKUP(B265,OF!A1:I139,IF(Settings!$J$13="points",6,9),FALSE)</f>
        <v>0.655147724983832</v>
      </c>
      <c r="J265" s="31"/>
      <c r="K265" s="31">
        <f ca="1">J265-A265</f>
        <v>-264</v>
      </c>
      <c r="L265" s="31"/>
      <c r="M265" s="31">
        <f>VLOOKUP($B265,Hitters!$A1:$R401,4,FALSE)</f>
        <v>435.15555555555557</v>
      </c>
      <c r="N265" s="31">
        <f>VLOOKUP($B265,Hitters!$A1:$R401,5,FALSE)</f>
        <v>58.830000000000005</v>
      </c>
      <c r="O265" s="31">
        <f>VLOOKUP($B265,Hitters!$A1:$R401,6,FALSE)</f>
        <v>14.974444444444444</v>
      </c>
      <c r="P265" s="31">
        <f>VLOOKUP($B265,Hitters!$A1:$R401,7,FALSE)</f>
        <v>56.788888888888891</v>
      </c>
      <c r="Q265" s="31">
        <f>VLOOKUP($B265,Hitters!$A1:$R401,8,FALSE)</f>
        <v>7.4922222222222219</v>
      </c>
      <c r="R265" s="152">
        <f>VLOOKUP($B265,Hitters!$A$1:$R$401,14,FALSE)</f>
        <v>0.24011336942089673</v>
      </c>
      <c r="S265" s="152">
        <f>VLOOKUP($B265,Hitters!$A$1:$R$401,15,FALSE)</f>
        <v>0.33365272470950436</v>
      </c>
      <c r="T265" s="154">
        <f>VLOOKUP($B265,Hitters!$A$1:$R$401,9,FALSE)</f>
        <v>104.48666666666666</v>
      </c>
      <c r="U265" s="154">
        <f>VLOOKUP($B265,Hitters!$A$1:$R$401,10,FALSE)</f>
        <v>21.973333333333333</v>
      </c>
      <c r="V265" s="154">
        <f>VLOOKUP($B265,Hitters!$A$1:$R$401,11,FALSE)</f>
        <v>0.98444444444444434</v>
      </c>
      <c r="W265" s="154">
        <f>VLOOKUP($B265,Hitters!$A$1:$R$401,12,FALSE)</f>
        <v>54.56444444444444</v>
      </c>
      <c r="X265" s="154">
        <f>VLOOKUP($B265,Hitters!$A$1:$R$401,13,FALSE)</f>
        <v>106.09166666666665</v>
      </c>
      <c r="Y265" s="152">
        <f>VLOOKUP($B265,Hitters!$A$1:$R$401,16,FALSE)</f>
        <v>0.39836839955060771</v>
      </c>
      <c r="Z265" s="152">
        <f>VLOOKUP($B265,Hitters!$A$1:$R$401,17,FALSE)</f>
        <v>0.73202112426011201</v>
      </c>
      <c r="AA265" s="31">
        <f>VLOOKUP($B265,Hitters!$A1:$R401,18,FALSE)</f>
        <v>0</v>
      </c>
      <c r="AB265" s="31"/>
      <c r="AC265" s="31"/>
      <c r="AD265" s="33"/>
      <c r="AE265" s="33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</row>
    <row r="266" spans="1:44" ht="18.600000000000001" customHeight="1">
      <c r="A266" s="25">
        <f ca="1">RANK(I266,I$2:I$651)</f>
        <v>265</v>
      </c>
      <c r="B266" s="26" t="s">
        <v>651</v>
      </c>
      <c r="C266" s="27" t="s">
        <v>68</v>
      </c>
      <c r="D266" s="27" t="s">
        <v>69</v>
      </c>
      <c r="E266" s="38" t="s">
        <v>27</v>
      </c>
      <c r="F266" s="39">
        <f ca="1">VLOOKUP(B266,SS!A1:I45,IF(Settings!$J$13="points",4,7),FALSE)</f>
        <v>21</v>
      </c>
      <c r="G266" s="30">
        <f>(M266*Settings!$B$2)+(N266*Settings!$B$3)+(O266*Settings!$B$4)+(P266*Settings!$B$5)+(Q266*Settings!$B$6)+((T266-U266-V266-O266)*Settings!$B$9)+(U266*Settings!$B$10)+(V266*Settings!$B$11)+(W266*Settings!$B$12)+(X266*Settings!$B$13)+(AA266*Settings!$B$16)</f>
        <v>258.86749999999995</v>
      </c>
      <c r="H266" s="31">
        <f>VLOOKUP(B266,'Standard Deviations'!$A1:$D651,4,FALSE)</f>
        <v>0.65304789855362544</v>
      </c>
      <c r="I266" s="32">
        <f ca="1">IF(Settings!$J$16="no",VLOOKUP(B266,SS!A1:I45,IF(Settings!$J$13="points",6,9),FALSE),VLOOKUP(B266,'2B+SS'!$A1:$I94,IF(Settings!$J$13="points",6,9),FALSE))</f>
        <v>0.64700474423361176</v>
      </c>
      <c r="J266" s="31"/>
      <c r="K266" s="31">
        <f ca="1">J266-A266</f>
        <v>-265</v>
      </c>
      <c r="L266" s="31"/>
      <c r="M266" s="31">
        <f>VLOOKUP($B266,Hitters!$A1:$R401,4,FALSE)</f>
        <v>385.1583333333333</v>
      </c>
      <c r="N266" s="31">
        <f>VLOOKUP($B266,Hitters!$A1:$R401,5,FALSE)</f>
        <v>49.352499999999999</v>
      </c>
      <c r="O266" s="31">
        <f>VLOOKUP($B266,Hitters!$A1:$R401,6,FALSE)</f>
        <v>11.759166666666667</v>
      </c>
      <c r="P266" s="31">
        <f>VLOOKUP($B266,Hitters!$A1:$R401,7,FALSE)</f>
        <v>43.691666666666663</v>
      </c>
      <c r="Q266" s="31">
        <f>VLOOKUP($B266,Hitters!$A1:$R401,8,FALSE)</f>
        <v>16.48416666666667</v>
      </c>
      <c r="R266" s="152">
        <f>VLOOKUP($B266,Hitters!$A$1:$R$401,14,FALSE)</f>
        <v>0.24602868949998918</v>
      </c>
      <c r="S266" s="152">
        <f>VLOOKUP($B266,Hitters!$A$1:$R$401,15,FALSE)</f>
        <v>0.30535618909432954</v>
      </c>
      <c r="T266" s="154">
        <f>VLOOKUP($B266,Hitters!$A$1:$R$401,9,FALSE)</f>
        <v>94.759999999999991</v>
      </c>
      <c r="U266" s="154">
        <f>VLOOKUP($B266,Hitters!$A$1:$R$401,10,FALSE)</f>
        <v>16.849166666666665</v>
      </c>
      <c r="V266" s="154">
        <f>VLOOKUP($B266,Hitters!$A$1:$R$401,11,FALSE)</f>
        <v>1.3699999999999999</v>
      </c>
      <c r="W266" s="154">
        <f>VLOOKUP($B266,Hitters!$A$1:$R$401,12,FALSE)</f>
        <v>26.652499999999993</v>
      </c>
      <c r="X266" s="154">
        <f>VLOOKUP($B266,Hitters!$A$1:$R$401,13,FALSE)</f>
        <v>86.848333333333315</v>
      </c>
      <c r="Y266" s="152">
        <f>VLOOKUP($B266,Hitters!$A$1:$R$401,16,FALSE)</f>
        <v>0.38848092775698306</v>
      </c>
      <c r="Z266" s="152">
        <f>VLOOKUP($B266,Hitters!$A$1:$R$401,17,FALSE)</f>
        <v>0.69383711685131266</v>
      </c>
      <c r="AA266" s="31">
        <f>VLOOKUP($B266,Hitters!$A1:$R401,18,FALSE)</f>
        <v>0</v>
      </c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</row>
    <row r="267" spans="1:44" ht="18.600000000000001" customHeight="1">
      <c r="A267" s="25">
        <f ca="1">RANK(I267,I$2:I$651)</f>
        <v>266</v>
      </c>
      <c r="B267" s="26" t="s">
        <v>426</v>
      </c>
      <c r="C267" s="27" t="s">
        <v>217</v>
      </c>
      <c r="D267" s="27" t="s">
        <v>74</v>
      </c>
      <c r="E267" s="36" t="s">
        <v>31</v>
      </c>
      <c r="F267" s="37">
        <f ca="1">VLOOKUP(B267,SP!A1:I161,IF(Settings!$J$13="points",4,7),FALSE)</f>
        <v>78</v>
      </c>
      <c r="G267" s="30">
        <f>(AC267*Settings!$F$2)+(AF267*Settings!$F$5)+(AG267*Settings!$F$6)+(AH267*Settings!$F$7)+(AI267*Settings!$F$8)+(AJ267*Settings!$F$9)+(AK267*Settings!$F$10)+(AL267*Settings!$F$11)+(AM267*Settings!$F$12)+(AN267*Settings!$F$13)+(AO267*Settings!$F$14)+(AP267*Settings!$F$15)+(AQ267*Settings!$F$16)+(AR267*Settings!$F$17)</f>
        <v>269.48249999999996</v>
      </c>
      <c r="H267" s="31">
        <f>VLOOKUP(B267,'Standard Deviations'!$A1:$D651,4,FALSE)</f>
        <v>-0.22839005965954889</v>
      </c>
      <c r="I267" s="32">
        <f ca="1">IF(Settings!$J$16="no",VLOOKUP(B267,SP!A1:I161,IF(Settings!$J$13="points",6,9),FALSE),VLOOKUP(B267,'SP+RP'!$A1:$I251,IF(Settings!$J$13="points",6,9),FALSE))</f>
        <v>0.63919423791156615</v>
      </c>
      <c r="J267" s="31"/>
      <c r="K267" s="31">
        <f ca="1">J267-A267</f>
        <v>-266</v>
      </c>
      <c r="L267" s="31"/>
      <c r="M267" s="31"/>
      <c r="N267" s="31"/>
      <c r="O267" s="31"/>
      <c r="P267" s="31"/>
      <c r="Q267" s="31"/>
      <c r="R267" s="152"/>
      <c r="S267" s="152"/>
      <c r="T267" s="154"/>
      <c r="U267" s="154"/>
      <c r="V267" s="154"/>
      <c r="W267" s="154"/>
      <c r="X267" s="154"/>
      <c r="Y267" s="152"/>
      <c r="Z267" s="152"/>
      <c r="AA267" s="31"/>
      <c r="AB267" s="31"/>
      <c r="AC267" s="31">
        <f>VLOOKUP($B267,Pitchers!$A1:$S251,4,FALSE)</f>
        <v>123.40111111111111</v>
      </c>
      <c r="AD267" s="33">
        <f>VLOOKUP($B267,Pitchers!$A1:$S251,5,FALSE)</f>
        <v>3.8583931353040222</v>
      </c>
      <c r="AE267" s="33">
        <f>VLOOKUP($B267,Pitchers!$A1:$S251,6,FALSE)</f>
        <v>1.22670424361387</v>
      </c>
      <c r="AF267" s="31">
        <f>VLOOKUP($B267,Pitchers!$A1:$S251,7,FALSE)</f>
        <v>120.97166666666665</v>
      </c>
      <c r="AG267" s="31">
        <f>VLOOKUP($B267,Pitchers!$A1:$S251,8,FALSE)</f>
        <v>7.8977777777777787</v>
      </c>
      <c r="AH267" s="31">
        <f>VLOOKUP($B267,Pitchers!$A1:$S251,9,FALSE)</f>
        <v>0</v>
      </c>
      <c r="AI267" s="31">
        <f>VLOOKUP($B267,Pitchers!$A1:$S251,10,FALSE)</f>
        <v>52.903333333333336</v>
      </c>
      <c r="AJ267" s="31">
        <f>VLOOKUP($B267,Pitchers!$A1:$S251,11,FALSE)</f>
        <v>118.51333333333334</v>
      </c>
      <c r="AK267" s="31">
        <f>VLOOKUP($B267,Pitchers!$A1:$S251,12,FALSE)</f>
        <v>32.86333333333333</v>
      </c>
      <c r="AL267" s="31">
        <f>VLOOKUP($B267,Pitchers!$A1:$S251,13,FALSE)</f>
        <v>14</v>
      </c>
      <c r="AM267" s="31">
        <f>VLOOKUP($B267,Pitchers!$A1:$S251,14,FALSE)</f>
        <v>34.534444444444439</v>
      </c>
      <c r="AN267" s="31">
        <f>VLOOKUP($B267,Pitchers!$A1:$S251,15,FALSE)</f>
        <v>20.685000000000002</v>
      </c>
      <c r="AO267" s="31">
        <f>VLOOKUP($B267,Pitchers!$A1:$S251,16,FALSE)</f>
        <v>7.2422222222222219</v>
      </c>
      <c r="AP267" s="31">
        <f>VLOOKUP($B267,Pitchers!$A1:$S251,17,FALSE)</f>
        <v>8</v>
      </c>
      <c r="AQ267" s="31">
        <f>VLOOKUP($B267,Pitchers!$A1:$S251,18,FALSE)</f>
        <v>0</v>
      </c>
      <c r="AR267" s="31">
        <f>VLOOKUP($B267,Pitchers!$A1:$S251,19,FALSE)</f>
        <v>0</v>
      </c>
    </row>
    <row r="268" spans="1:44" ht="18.600000000000001" customHeight="1">
      <c r="A268" s="25">
        <f ca="1">RANK(I268,I$2:I$651)</f>
        <v>267</v>
      </c>
      <c r="B268" s="26" t="s">
        <v>417</v>
      </c>
      <c r="C268" s="27" t="s">
        <v>81</v>
      </c>
      <c r="D268" s="27" t="s">
        <v>74</v>
      </c>
      <c r="E268" s="42" t="s">
        <v>34</v>
      </c>
      <c r="F268" s="43">
        <f ca="1">VLOOKUP(B268,RP!A1:I91,IF(Settings!$J$13="points",4,7),FALSE)</f>
        <v>28</v>
      </c>
      <c r="G268" s="30">
        <f>(AC268*Settings!$F$2)+(AF268*Settings!$F$5)+(AG268*Settings!$F$6)+(AH268*Settings!$F$7)+(AI268*Settings!$F$8)+(AJ268*Settings!$F$9)+(AK268*Settings!$F$10)+(AL268*Settings!$F$11)+(AM268*Settings!$F$12)+(AN268*Settings!$F$13)+(AO268*Settings!$F$14)+(AP268*Settings!$F$15)+(AQ268*Settings!$F$16)+(AR268*Settings!$F$17)</f>
        <v>200.54583333333335</v>
      </c>
      <c r="H268" s="31">
        <f>VLOOKUP(B268,'Standard Deviations'!$A1:$D651,4,FALSE)</f>
        <v>-0.23254154174402752</v>
      </c>
      <c r="I268" s="32">
        <f ca="1">IF(Settings!$J$16="no",VLOOKUP(B268,RP!A1:I91,IF(Settings!$J$13="points",6,9),FALSE),VLOOKUP(B268,'SP+RP'!$A1:$I251,IF(Settings!$J$13="points",6,9),FALSE))</f>
        <v>0.63503724178955601</v>
      </c>
      <c r="J268" s="31"/>
      <c r="K268" s="31">
        <f ca="1">J268-A268</f>
        <v>-267</v>
      </c>
      <c r="L268" s="31"/>
      <c r="M268" s="31"/>
      <c r="N268" s="31"/>
      <c r="O268" s="31"/>
      <c r="P268" s="31"/>
      <c r="Q268" s="31"/>
      <c r="R268" s="152"/>
      <c r="S268" s="152"/>
      <c r="T268" s="154"/>
      <c r="U268" s="154"/>
      <c r="V268" s="154"/>
      <c r="W268" s="154"/>
      <c r="X268" s="154"/>
      <c r="Y268" s="152"/>
      <c r="Z268" s="152"/>
      <c r="AA268" s="31"/>
      <c r="AB268" s="31"/>
      <c r="AC268" s="31">
        <f>VLOOKUP($B268,Pitchers!$A1:$S251,4,FALSE)</f>
        <v>51.898333333333341</v>
      </c>
      <c r="AD268" s="33">
        <f>VLOOKUP($B268,Pitchers!$A1:$S251,5,FALSE)</f>
        <v>3.7374995985741348</v>
      </c>
      <c r="AE268" s="33">
        <f>VLOOKUP($B268,Pitchers!$A1:$S251,6,FALSE)</f>
        <v>1.1607523255938426</v>
      </c>
      <c r="AF268" s="31">
        <f>VLOOKUP($B268,Pitchers!$A1:$S251,7,FALSE)</f>
        <v>62.041666666666664</v>
      </c>
      <c r="AG268" s="31">
        <f>VLOOKUP($B268,Pitchers!$A1:$S251,8,FALSE)</f>
        <v>3.17</v>
      </c>
      <c r="AH268" s="31">
        <f>VLOOKUP($B268,Pitchers!$A1:$S251,9,FALSE)</f>
        <v>12.177777777777777</v>
      </c>
      <c r="AI268" s="31">
        <f>VLOOKUP($B268,Pitchers!$A1:$S251,10,FALSE)</f>
        <v>21.552222222222223</v>
      </c>
      <c r="AJ268" s="31">
        <f>VLOOKUP($B268,Pitchers!$A1:$S251,11,FALSE)</f>
        <v>43.566666666666663</v>
      </c>
      <c r="AK268" s="31">
        <f>VLOOKUP($B268,Pitchers!$A1:$S251,12,FALSE)</f>
        <v>16.674444444444443</v>
      </c>
      <c r="AL268" s="31">
        <f>VLOOKUP($B268,Pitchers!$A1:$S251,13,FALSE)</f>
        <v>7.1333333333333329</v>
      </c>
      <c r="AM268" s="31">
        <f>VLOOKUP($B268,Pitchers!$A1:$S251,14,FALSE)</f>
        <v>53.230000000000011</v>
      </c>
      <c r="AN268" s="31">
        <f>VLOOKUP($B268,Pitchers!$A1:$S251,15,FALSE)</f>
        <v>0</v>
      </c>
      <c r="AO268" s="31">
        <f>VLOOKUP($B268,Pitchers!$A1:$S251,16,FALSE)</f>
        <v>2.3622222222222224</v>
      </c>
      <c r="AP268" s="31">
        <f>VLOOKUP($B268,Pitchers!$A1:$S251,17,FALSE)</f>
        <v>0</v>
      </c>
      <c r="AQ268" s="31">
        <f>VLOOKUP($B268,Pitchers!$A1:$S251,18,FALSE)</f>
        <v>12.5</v>
      </c>
      <c r="AR268" s="31">
        <f>VLOOKUP($B268,Pitchers!$A1:$S251,19,FALSE)</f>
        <v>2</v>
      </c>
    </row>
    <row r="269" spans="1:44" ht="18.600000000000001" customHeight="1">
      <c r="A269" s="25">
        <f ca="1">RANK(I269,I$2:I$651)</f>
        <v>268</v>
      </c>
      <c r="B269" s="26" t="s">
        <v>551</v>
      </c>
      <c r="C269" s="27" t="s">
        <v>114</v>
      </c>
      <c r="D269" s="27" t="s">
        <v>69</v>
      </c>
      <c r="E269" s="38" t="s">
        <v>27</v>
      </c>
      <c r="F269" s="39">
        <f ca="1">VLOOKUP(B269,SS!A1:I45,IF(Settings!$J$13="points",4,7),FALSE)</f>
        <v>22</v>
      </c>
      <c r="G269" s="30">
        <f>(M269*Settings!$B$2)+(N269*Settings!$B$3)+(O269*Settings!$B$4)+(P269*Settings!$B$5)+(Q269*Settings!$B$6)+((T269-U269-V269-O269)*Settings!$B$9)+(U269*Settings!$B$10)+(V269*Settings!$B$11)+(W269*Settings!$B$12)+(X269*Settings!$B$13)+(AA269*Settings!$B$16)</f>
        <v>283.72722222222228</v>
      </c>
      <c r="H269" s="31">
        <f>VLOOKUP(B269,'Standard Deviations'!$A1:$D651,4,FALSE)</f>
        <v>0.62428203102641411</v>
      </c>
      <c r="I269" s="32">
        <f ca="1">IF(Settings!$J$16="no",VLOOKUP(B269,SS!A1:I45,IF(Settings!$J$13="points",6,9),FALSE),VLOOKUP(B269,'2B+SS'!$A1:$I94,IF(Settings!$J$13="points",6,9),FALSE))</f>
        <v>0.61824090710525137</v>
      </c>
      <c r="J269" s="31"/>
      <c r="K269" s="31">
        <f ca="1">J269-A269</f>
        <v>-268</v>
      </c>
      <c r="L269" s="31"/>
      <c r="M269" s="31">
        <f>VLOOKUP($B269,Hitters!$A1:$R401,4,FALSE)</f>
        <v>435.92222222222222</v>
      </c>
      <c r="N269" s="31">
        <f>VLOOKUP($B269,Hitters!$A1:$R401,5,FALSE)</f>
        <v>53.234444444444442</v>
      </c>
      <c r="O269" s="31">
        <f>VLOOKUP($B269,Hitters!$A1:$R401,6,FALSE)</f>
        <v>9.9866666666666664</v>
      </c>
      <c r="P269" s="31">
        <f>VLOOKUP($B269,Hitters!$A1:$R401,7,FALSE)</f>
        <v>46.728888888888889</v>
      </c>
      <c r="Q269" s="31">
        <f>VLOOKUP($B269,Hitters!$A1:$R401,8,FALSE)</f>
        <v>14.535555555555556</v>
      </c>
      <c r="R269" s="152">
        <f>VLOOKUP($B269,Hitters!$A$1:$R$401,14,FALSE)</f>
        <v>0.24899701781663397</v>
      </c>
      <c r="S269" s="152">
        <f>VLOOKUP($B269,Hitters!$A$1:$R$401,15,FALSE)</f>
        <v>0.30635290977391105</v>
      </c>
      <c r="T269" s="154">
        <f>VLOOKUP($B269,Hitters!$A$1:$R$401,9,FALSE)</f>
        <v>108.54333333333334</v>
      </c>
      <c r="U269" s="154">
        <f>VLOOKUP($B269,Hitters!$A$1:$R$401,10,FALSE)</f>
        <v>22.626666666666665</v>
      </c>
      <c r="V269" s="154">
        <f>VLOOKUP($B269,Hitters!$A$1:$R$401,11,FALSE)</f>
        <v>0.99555555555555564</v>
      </c>
      <c r="W269" s="154">
        <f>VLOOKUP($B269,Hitters!$A$1:$R$401,12,FALSE)</f>
        <v>28.997777777777781</v>
      </c>
      <c r="X269" s="154">
        <f>VLOOKUP($B269,Hitters!$A$1:$R$401,13,FALSE)</f>
        <v>74.852222222222224</v>
      </c>
      <c r="Y269" s="152">
        <f>VLOOKUP($B269,Hitters!$A$1:$R$401,16,FALSE)</f>
        <v>0.37419774169704073</v>
      </c>
      <c r="Z269" s="152">
        <f>VLOOKUP($B269,Hitters!$A$1:$R$401,17,FALSE)</f>
        <v>0.68055065147095184</v>
      </c>
      <c r="AA269" s="31">
        <f>VLOOKUP($B269,Hitters!$A1:$R401,18,FALSE)</f>
        <v>0</v>
      </c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</row>
    <row r="270" spans="1:44" ht="18.600000000000001" customHeight="1">
      <c r="A270" s="25">
        <f ca="1">RANK(I270,I$2:I$651)</f>
        <v>269</v>
      </c>
      <c r="B270" s="26" t="s">
        <v>342</v>
      </c>
      <c r="C270" s="27" t="s">
        <v>101</v>
      </c>
      <c r="D270" s="27" t="s">
        <v>69</v>
      </c>
      <c r="E270" s="28" t="s">
        <v>23</v>
      </c>
      <c r="F270" s="29">
        <f ca="1">VLOOKUP(B270,OF!A1:I139,IF(Settings!$J$13="points",4,7),FALSE)</f>
        <v>62</v>
      </c>
      <c r="G270" s="30">
        <f>(M270*Settings!$B$2)+(N270*Settings!$B$3)+(O270*Settings!$B$4)+(P270*Settings!$B$5)+(Q270*Settings!$B$6)+((T270-U270-V270-O270)*Settings!$B$9)+(U270*Settings!$B$10)+(V270*Settings!$B$11)+(W270*Settings!$B$12)+(X270*Settings!$B$13)+(AA270*Settings!$B$16)</f>
        <v>249.57666666666665</v>
      </c>
      <c r="H270" s="31">
        <f>VLOOKUP(B270,'Standard Deviations'!$A1:$D651,4,FALSE)</f>
        <v>0.45305649877027121</v>
      </c>
      <c r="I270" s="32">
        <f ca="1">VLOOKUP(B270,OF!A1:I139,IF(Settings!$J$13="points",6,9),FALSE)</f>
        <v>0.60998571354195363</v>
      </c>
      <c r="J270" s="31"/>
      <c r="K270" s="31">
        <f ca="1">J270-A270</f>
        <v>-269</v>
      </c>
      <c r="L270" s="31"/>
      <c r="M270" s="31">
        <f>VLOOKUP($B270,Hitters!$A1:$R401,4,FALSE)</f>
        <v>412.61111111111109</v>
      </c>
      <c r="N270" s="31">
        <f>VLOOKUP($B270,Hitters!$A1:$R401,5,FALSE)</f>
        <v>53.567777777777771</v>
      </c>
      <c r="O270" s="31">
        <f>VLOOKUP($B270,Hitters!$A1:$R401,6,FALSE)</f>
        <v>13.742222222222223</v>
      </c>
      <c r="P270" s="31">
        <f>VLOOKUP($B270,Hitters!$A1:$R401,7,FALSE)</f>
        <v>48.126666666666665</v>
      </c>
      <c r="Q270" s="31">
        <f>VLOOKUP($B270,Hitters!$A1:$R401,8,FALSE)</f>
        <v>18.45888888888889</v>
      </c>
      <c r="R270" s="152">
        <f>VLOOKUP($B270,Hitters!$A$1:$R$401,14,FALSE)</f>
        <v>0.22446209775144743</v>
      </c>
      <c r="S270" s="152">
        <f>VLOOKUP($B270,Hitters!$A$1:$R$401,15,FALSE)</f>
        <v>0.28253463644107568</v>
      </c>
      <c r="T270" s="154">
        <f>VLOOKUP($B270,Hitters!$A$1:$R$401,9,FALSE)</f>
        <v>92.615555555555559</v>
      </c>
      <c r="U270" s="154">
        <f>VLOOKUP($B270,Hitters!$A$1:$R$401,10,FALSE)</f>
        <v>18.732222222222223</v>
      </c>
      <c r="V270" s="154">
        <f>VLOOKUP($B270,Hitters!$A$1:$R$401,11,FALSE)</f>
        <v>2.9955555555555553</v>
      </c>
      <c r="W270" s="154">
        <f>VLOOKUP($B270,Hitters!$A$1:$R$401,12,FALSE)</f>
        <v>26.331666666666663</v>
      </c>
      <c r="X270" s="154">
        <f>VLOOKUP($B270,Hitters!$A$1:$R$401,13,FALSE)</f>
        <v>147.86555555555557</v>
      </c>
      <c r="Y270" s="152">
        <f>VLOOKUP($B270,Hitters!$A$1:$R$401,16,FALSE)</f>
        <v>0.38429783223374181</v>
      </c>
      <c r="Z270" s="152">
        <f>VLOOKUP($B270,Hitters!$A$1:$R$401,17,FALSE)</f>
        <v>0.66683246867481749</v>
      </c>
      <c r="AA270" s="31">
        <f>VLOOKUP($B270,Hitters!$A1:$R401,18,FALSE)</f>
        <v>0</v>
      </c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</row>
    <row r="271" spans="1:44" ht="20.100000000000001" customHeight="1">
      <c r="A271" s="25">
        <f ca="1">RANK(I271,I$2:I$651)</f>
        <v>270</v>
      </c>
      <c r="B271" s="26" t="s">
        <v>456</v>
      </c>
      <c r="C271" s="27" t="s">
        <v>95</v>
      </c>
      <c r="D271" s="27" t="s">
        <v>74</v>
      </c>
      <c r="E271" s="34" t="s">
        <v>15</v>
      </c>
      <c r="F271" s="35">
        <f ca="1">VLOOKUP(B271,'3B'!A1:I55,IF(Settings!$J$13="points",4,7),FALSE)</f>
        <v>19</v>
      </c>
      <c r="G271" s="30">
        <f>(M271*Settings!$B$2)+(N271*Settings!$B$3)+(O271*Settings!$B$4)+(P271*Settings!$B$5)+(Q271*Settings!$B$6)+((T271-U271-V271-O271)*Settings!$B$9)+(U271*Settings!$B$10)+(V271*Settings!$B$11)+(W271*Settings!$B$12)+(X271*Settings!$B$13)+(AA271*Settings!$B$16)</f>
        <v>298.26038933333331</v>
      </c>
      <c r="H271" s="31">
        <f>VLOOKUP(B271,'Standard Deviations'!$A1:$D651,4,FALSE)</f>
        <v>0.81174873081330479</v>
      </c>
      <c r="I271" s="32">
        <f ca="1">IF(Settings!$J$15="no",VLOOKUP(B271,'3B'!A1:I55,IF(Settings!$J$13="points",6,9),FALSE),VLOOKUP(B271,'1B+3B'!$A1:$I104,IF(Settings!$J$13="points",6,9),FALSE))</f>
        <v>0.5862665439156981</v>
      </c>
      <c r="J271" s="31"/>
      <c r="K271" s="31">
        <f ca="1">J271-A271</f>
        <v>-270</v>
      </c>
      <c r="L271" s="31"/>
      <c r="M271" s="31">
        <f>VLOOKUP($B271,Hitters!$A1:$R401,4,FALSE)</f>
        <v>433.14398933333331</v>
      </c>
      <c r="N271" s="31">
        <f>VLOOKUP($B271,Hitters!$A1:$R401,5,FALSE)</f>
        <v>57.96769066666667</v>
      </c>
      <c r="O271" s="31">
        <f>VLOOKUP($B271,Hitters!$A1:$R401,6,FALSE)</f>
        <v>20.074506666666668</v>
      </c>
      <c r="P271" s="31">
        <f>VLOOKUP($B271,Hitters!$A1:$R401,7,FALSE)</f>
        <v>56.900015999999994</v>
      </c>
      <c r="Q271" s="31">
        <f>VLOOKUP($B271,Hitters!$A1:$R401,8,FALSE)</f>
        <v>2.2097119999999997</v>
      </c>
      <c r="R271" s="152">
        <f>VLOOKUP($B271,Hitters!$A$1:$R$401,14,FALSE)</f>
        <v>0.24895207749729609</v>
      </c>
      <c r="S271" s="152">
        <f>VLOOKUP($B271,Hitters!$A$1:$R$401,15,FALSE)</f>
        <v>0.32528784012230855</v>
      </c>
      <c r="T271" s="154">
        <f>VLOOKUP($B271,Hitters!$A$1:$R$401,9,FALSE)</f>
        <v>107.83209599999998</v>
      </c>
      <c r="U271" s="154">
        <f>VLOOKUP($B271,Hitters!$A$1:$R$401,10,FALSE)</f>
        <v>19.420687999999998</v>
      </c>
      <c r="V271" s="154">
        <f>VLOOKUP($B271,Hitters!$A$1:$R$401,11,FALSE)</f>
        <v>0</v>
      </c>
      <c r="W271" s="154">
        <f>VLOOKUP($B271,Hitters!$A$1:$R$401,12,FALSE)</f>
        <v>42.353050666666661</v>
      </c>
      <c r="X271" s="154">
        <f>VLOOKUP($B271,Hitters!$A$1:$R$401,13,FALSE)</f>
        <v>101.71219199999997</v>
      </c>
      <c r="Y271" s="152">
        <f>VLOOKUP($B271,Hitters!$A$1:$R$401,16,FALSE)</f>
        <v>0.43282674726377052</v>
      </c>
      <c r="Z271" s="152">
        <f>VLOOKUP($B271,Hitters!$A$1:$R$401,17,FALSE)</f>
        <v>0.75811458738607906</v>
      </c>
      <c r="AA271" s="31">
        <f>VLOOKUP($B271,Hitters!$A1:$R401,18,FALSE)</f>
        <v>0</v>
      </c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</row>
    <row r="272" spans="1:44" ht="18.600000000000001" customHeight="1">
      <c r="A272" s="25">
        <f ca="1">RANK(I272,I$2:I$651)</f>
        <v>271</v>
      </c>
      <c r="B272" s="26" t="s">
        <v>292</v>
      </c>
      <c r="C272" s="27" t="s">
        <v>123</v>
      </c>
      <c r="D272" s="27" t="s">
        <v>74</v>
      </c>
      <c r="E272" s="28" t="s">
        <v>23</v>
      </c>
      <c r="F272" s="29">
        <f ca="1">VLOOKUP(B272,OF!A1:I139,IF(Settings!$J$13="points",4,7),FALSE)</f>
        <v>63</v>
      </c>
      <c r="G272" s="30">
        <f>(M272*Settings!$B$2)+(N272*Settings!$B$3)+(O272*Settings!$B$4)+(P272*Settings!$B$5)+(Q272*Settings!$B$6)+((T272-U272-V272-O272)*Settings!$B$9)+(U272*Settings!$B$10)+(V272*Settings!$B$11)+(W272*Settings!$B$12)+(X272*Settings!$B$13)+(AA272*Settings!$B$16)</f>
        <v>301.92</v>
      </c>
      <c r="H272" s="31">
        <f>VLOOKUP(B272,'Standard Deviations'!$A1:$D651,4,FALSE)</f>
        <v>0.42666442586634201</v>
      </c>
      <c r="I272" s="32">
        <f ca="1">VLOOKUP(B272,OF!A1:I139,IF(Settings!$J$13="points",6,9),FALSE)</f>
        <v>0.58359042693819152</v>
      </c>
      <c r="J272" s="31"/>
      <c r="K272" s="31">
        <f ca="1">J272-A272</f>
        <v>-271</v>
      </c>
      <c r="L272" s="31"/>
      <c r="M272" s="31">
        <f>VLOOKUP($B272,Hitters!$A1:$R401,4,FALSE)</f>
        <v>442.43333333333334</v>
      </c>
      <c r="N272" s="31">
        <f>VLOOKUP($B272,Hitters!$A1:$R401,5,FALSE)</f>
        <v>60.958333333333321</v>
      </c>
      <c r="O272" s="31">
        <f>VLOOKUP($B272,Hitters!$A1:$R401,6,FALSE)</f>
        <v>12.023333333333333</v>
      </c>
      <c r="P272" s="31">
        <f>VLOOKUP($B272,Hitters!$A1:$R401,7,FALSE)</f>
        <v>53.51</v>
      </c>
      <c r="Q272" s="31">
        <f>VLOOKUP($B272,Hitters!$A1:$R401,8,FALSE)</f>
        <v>5.6099999999999994</v>
      </c>
      <c r="R272" s="152">
        <f>VLOOKUP($B272,Hitters!$A$1:$R$401,14,FALSE)</f>
        <v>0.25198900022602272</v>
      </c>
      <c r="S272" s="152">
        <f>VLOOKUP($B272,Hitters!$A$1:$R$401,15,FALSE)</f>
        <v>0.33162729232868365</v>
      </c>
      <c r="T272" s="154">
        <f>VLOOKUP($B272,Hitters!$A$1:$R$401,9,FALSE)</f>
        <v>111.48833333333333</v>
      </c>
      <c r="U272" s="154">
        <f>VLOOKUP($B272,Hitters!$A$1:$R$401,10,FALSE)</f>
        <v>26.983333333333334</v>
      </c>
      <c r="V272" s="154">
        <f>VLOOKUP($B272,Hitters!$A$1:$R$401,11,FALSE)</f>
        <v>3.0150000000000001</v>
      </c>
      <c r="W272" s="154">
        <f>VLOOKUP($B272,Hitters!$A$1:$R$401,12,FALSE)</f>
        <v>46.046666666666674</v>
      </c>
      <c r="X272" s="154">
        <f>VLOOKUP($B272,Hitters!$A$1:$R$401,13,FALSE)</f>
        <v>100.77333333333333</v>
      </c>
      <c r="Y272" s="152">
        <f>VLOOKUP($B272,Hitters!$A$1:$R$401,16,FALSE)</f>
        <v>0.4081330520605741</v>
      </c>
      <c r="Z272" s="152">
        <f>VLOOKUP($B272,Hitters!$A$1:$R$401,17,FALSE)</f>
        <v>0.73976034438925775</v>
      </c>
      <c r="AA272" s="31">
        <f>VLOOKUP($B272,Hitters!$A1:$R401,18,FALSE)</f>
        <v>0</v>
      </c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</row>
    <row r="273" spans="1:44" ht="18.600000000000001" customHeight="1">
      <c r="A273" s="25">
        <f ca="1">RANK(I273,I$2:I$651)</f>
        <v>272</v>
      </c>
      <c r="B273" s="26" t="s">
        <v>321</v>
      </c>
      <c r="C273" s="27" t="s">
        <v>76</v>
      </c>
      <c r="D273" s="27" t="s">
        <v>69</v>
      </c>
      <c r="E273" s="28" t="s">
        <v>23</v>
      </c>
      <c r="F273" s="29">
        <f ca="1">VLOOKUP(B273,OF!A1:I139,IF(Settings!$J$13="points",4,7),FALSE)</f>
        <v>64</v>
      </c>
      <c r="G273" s="30">
        <f>(M273*Settings!$B$2)+(N273*Settings!$B$3)+(O273*Settings!$B$4)+(P273*Settings!$B$5)+(Q273*Settings!$B$6)+((T273-U273-V273-O273)*Settings!$B$9)+(U273*Settings!$B$10)+(V273*Settings!$B$11)+(W273*Settings!$B$12)+(X273*Settings!$B$13)+(AA273*Settings!$B$16)</f>
        <v>279.85055555555556</v>
      </c>
      <c r="H273" s="31">
        <f>VLOOKUP(B273,'Standard Deviations'!$A1:$D651,4,FALSE)</f>
        <v>0.41892172195859234</v>
      </c>
      <c r="I273" s="32">
        <f ca="1">VLOOKUP(B273,OF!A1:I139,IF(Settings!$J$13="points",6,9),FALSE)</f>
        <v>0.57585686585271589</v>
      </c>
      <c r="J273" s="31"/>
      <c r="K273" s="31">
        <f ca="1">J273-A273</f>
        <v>-272</v>
      </c>
      <c r="L273" s="31"/>
      <c r="M273" s="31">
        <f>VLOOKUP($B273,Hitters!$A1:$R401,4,FALSE)</f>
        <v>431.18888888888887</v>
      </c>
      <c r="N273" s="31">
        <f>VLOOKUP($B273,Hitters!$A1:$R401,5,FALSE)</f>
        <v>55.668888888888887</v>
      </c>
      <c r="O273" s="31">
        <f>VLOOKUP($B273,Hitters!$A1:$R401,6,FALSE)</f>
        <v>1.9922222222222221</v>
      </c>
      <c r="P273" s="31">
        <f>VLOOKUP($B273,Hitters!$A1:$R401,7,FALSE)</f>
        <v>35.798888888888889</v>
      </c>
      <c r="Q273" s="31">
        <f>VLOOKUP($B273,Hitters!$A1:$R401,8,FALSE)</f>
        <v>21.89222222222222</v>
      </c>
      <c r="R273" s="152">
        <f>VLOOKUP($B273,Hitters!$A$1:$R$401,14,FALSE)</f>
        <v>0.25164016801092587</v>
      </c>
      <c r="S273" s="152">
        <f>VLOOKUP($B273,Hitters!$A$1:$R$401,15,FALSE)</f>
        <v>0.33167479592066595</v>
      </c>
      <c r="T273" s="154">
        <f>VLOOKUP($B273,Hitters!$A$1:$R$401,9,FALSE)</f>
        <v>108.50444444444445</v>
      </c>
      <c r="U273" s="154">
        <f>VLOOKUP($B273,Hitters!$A$1:$R$401,10,FALSE)</f>
        <v>20.34888888888889</v>
      </c>
      <c r="V273" s="154">
        <f>VLOOKUP($B273,Hitters!$A$1:$R$401,11,FALSE)</f>
        <v>1.9955555555555555</v>
      </c>
      <c r="W273" s="154">
        <f>VLOOKUP($B273,Hitters!$A$1:$R$401,12,FALSE)</f>
        <v>45.136666666666663</v>
      </c>
      <c r="X273" s="154">
        <f>VLOOKUP($B273,Hitters!$A$1:$R$401,13,FALSE)</f>
        <v>78.718888888888884</v>
      </c>
      <c r="Y273" s="152">
        <f>VLOOKUP($B273,Hitters!$A$1:$R$401,16,FALSE)</f>
        <v>0.3219496482593347</v>
      </c>
      <c r="Z273" s="152">
        <f>VLOOKUP($B273,Hitters!$A$1:$R$401,17,FALSE)</f>
        <v>0.65362444418000065</v>
      </c>
      <c r="AA273" s="31">
        <f>VLOOKUP($B273,Hitters!$A1:$R401,18,FALSE)</f>
        <v>0</v>
      </c>
      <c r="AB273" s="31"/>
      <c r="AC273" s="31"/>
      <c r="AD273" s="33"/>
      <c r="AE273" s="33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</row>
    <row r="274" spans="1:44" ht="18.600000000000001" customHeight="1">
      <c r="A274" s="25">
        <f ca="1">RANK(I274,I$2:I$651)</f>
        <v>273</v>
      </c>
      <c r="B274" s="26" t="s">
        <v>502</v>
      </c>
      <c r="C274" s="27" t="s">
        <v>81</v>
      </c>
      <c r="D274" s="27" t="s">
        <v>74</v>
      </c>
      <c r="E274" s="42" t="s">
        <v>34</v>
      </c>
      <c r="F274" s="43">
        <f ca="1">VLOOKUP(B274,RP!A1:I91,IF(Settings!$J$13="points",4,7),FALSE)</f>
        <v>29</v>
      </c>
      <c r="G274" s="30">
        <f>(AC274*Settings!$F$2)+(AF274*Settings!$F$5)+(AG274*Settings!$F$6)+(AH274*Settings!$F$7)+(AI274*Settings!$F$8)+(AJ274*Settings!$F$9)+(AK274*Settings!$F$10)+(AL274*Settings!$F$11)+(AM274*Settings!$F$12)+(AN274*Settings!$F$13)+(AO274*Settings!$F$14)+(AP274*Settings!$F$15)+(AQ274*Settings!$F$16)+(AR274*Settings!$F$17)</f>
        <v>172.60940000000002</v>
      </c>
      <c r="H274" s="31">
        <f>VLOOKUP(B274,'Standard Deviations'!$A1:$D651,4,FALSE)</f>
        <v>-0.30836915750025484</v>
      </c>
      <c r="I274" s="32">
        <f ca="1">IF(Settings!$J$16="no",VLOOKUP(B274,RP!A1:I91,IF(Settings!$J$13="points",6,9),FALSE),VLOOKUP(B274,'SP+RP'!$A1:$I251,IF(Settings!$J$13="points",6,9),FALSE))</f>
        <v>0.55921562138922742</v>
      </c>
      <c r="J274" s="31"/>
      <c r="K274" s="31">
        <f ca="1">J274-A274</f>
        <v>-273</v>
      </c>
      <c r="L274" s="31"/>
      <c r="M274" s="31"/>
      <c r="N274" s="31"/>
      <c r="O274" s="31"/>
      <c r="P274" s="31"/>
      <c r="Q274" s="31"/>
      <c r="R274" s="152"/>
      <c r="S274" s="152"/>
      <c r="T274" s="154"/>
      <c r="U274" s="154"/>
      <c r="V274" s="154"/>
      <c r="W274" s="154"/>
      <c r="X274" s="154"/>
      <c r="Y274" s="152"/>
      <c r="Z274" s="152"/>
      <c r="AA274" s="31"/>
      <c r="AB274" s="31"/>
      <c r="AC274" s="31">
        <f>VLOOKUP($B274,Pitchers!$A1:$S251,4,FALSE)</f>
        <v>61.43555555555556</v>
      </c>
      <c r="AD274" s="33">
        <f>VLOOKUP($B274,Pitchers!$A1:$S251,5,FALSE)</f>
        <v>3.3677631483758952</v>
      </c>
      <c r="AE274" s="33">
        <f>VLOOKUP($B274,Pitchers!$A1:$S251,6,FALSE)</f>
        <v>1.1715076322071909</v>
      </c>
      <c r="AF274" s="31">
        <f>VLOOKUP($B274,Pitchers!$A1:$S251,7,FALSE)</f>
        <v>57.021111111111111</v>
      </c>
      <c r="AG274" s="31">
        <f>VLOOKUP($B274,Pitchers!$A1:$S251,8,FALSE)</f>
        <v>3.3322222222222222</v>
      </c>
      <c r="AH274" s="31">
        <f>VLOOKUP($B274,Pitchers!$A1:$S251,9,FALSE)</f>
        <v>6.6333333333333329</v>
      </c>
      <c r="AI274" s="31">
        <f>VLOOKUP($B274,Pitchers!$A1:$S251,10,FALSE)</f>
        <v>22.988933333333335</v>
      </c>
      <c r="AJ274" s="31">
        <f>VLOOKUP($B274,Pitchers!$A1:$S251,11,FALSE)</f>
        <v>55.065555555555555</v>
      </c>
      <c r="AK274" s="31">
        <f>VLOOKUP($B274,Pitchers!$A1:$S251,12,FALSE)</f>
        <v>16.906666666666666</v>
      </c>
      <c r="AL274" s="31">
        <f>VLOOKUP($B274,Pitchers!$A1:$S251,13,FALSE)</f>
        <v>5.0333333333333332</v>
      </c>
      <c r="AM274" s="31">
        <f>VLOOKUP($B274,Pitchers!$A1:$S251,14,FALSE)</f>
        <v>59.26444444444445</v>
      </c>
      <c r="AN274" s="31">
        <f>VLOOKUP($B274,Pitchers!$A1:$S251,15,FALSE)</f>
        <v>3.3333333333333333E-2</v>
      </c>
      <c r="AO274" s="31">
        <f>VLOOKUP($B274,Pitchers!$A1:$S251,16,FALSE)</f>
        <v>3.0011111111111113</v>
      </c>
      <c r="AP274" s="31">
        <f>VLOOKUP($B274,Pitchers!$A1:$S251,17,FALSE)</f>
        <v>0</v>
      </c>
      <c r="AQ274" s="31">
        <f>VLOOKUP($B274,Pitchers!$A1:$S251,18,FALSE)</f>
        <v>14.5</v>
      </c>
      <c r="AR274" s="31">
        <f>VLOOKUP($B274,Pitchers!$A1:$S251,19,FALSE)</f>
        <v>2</v>
      </c>
    </row>
    <row r="275" spans="1:44" ht="18.600000000000001" customHeight="1">
      <c r="A275" s="25">
        <f ca="1">RANK(I275,I$2:I$651)</f>
        <v>274</v>
      </c>
      <c r="B275" s="26" t="s">
        <v>432</v>
      </c>
      <c r="C275" s="27" t="s">
        <v>73</v>
      </c>
      <c r="D275" s="27" t="s">
        <v>74</v>
      </c>
      <c r="E275" s="42" t="s">
        <v>34</v>
      </c>
      <c r="F275" s="43">
        <f ca="1">VLOOKUP(B275,RP!A1:I91,IF(Settings!$J$13="points",4,7),FALSE)</f>
        <v>30</v>
      </c>
      <c r="G275" s="30">
        <f>(AC275*Settings!$F$2)+(AF275*Settings!$F$5)+(AG275*Settings!$F$6)+(AH275*Settings!$F$7)+(AI275*Settings!$F$8)+(AJ275*Settings!$F$9)+(AK275*Settings!$F$10)+(AL275*Settings!$F$11)+(AM275*Settings!$F$12)+(AN275*Settings!$F$13)+(AO275*Settings!$F$14)+(AP275*Settings!$F$15)+(AQ275*Settings!$F$16)+(AR275*Settings!$F$17)</f>
        <v>155.71055555555554</v>
      </c>
      <c r="H275" s="31">
        <f>VLOOKUP(B275,'Standard Deviations'!$A1:$D651,4,FALSE)</f>
        <v>-0.31451328394510625</v>
      </c>
      <c r="I275" s="32">
        <f ca="1">IF(Settings!$J$16="no",VLOOKUP(B275,RP!A1:I91,IF(Settings!$J$13="points",6,9),FALSE),VLOOKUP(B275,'SP+RP'!$A1:$I251,IF(Settings!$J$13="points",6,9),FALSE))</f>
        <v>0.55306610171047699</v>
      </c>
      <c r="J275" s="31"/>
      <c r="K275" s="31">
        <f ca="1">J275-A275</f>
        <v>-274</v>
      </c>
      <c r="L275" s="31"/>
      <c r="M275" s="31"/>
      <c r="N275" s="31"/>
      <c r="O275" s="31"/>
      <c r="P275" s="31"/>
      <c r="Q275" s="31"/>
      <c r="R275" s="152"/>
      <c r="S275" s="152"/>
      <c r="T275" s="154"/>
      <c r="U275" s="154"/>
      <c r="V275" s="154"/>
      <c r="W275" s="154"/>
      <c r="X275" s="154"/>
      <c r="Y275" s="152"/>
      <c r="Z275" s="152"/>
      <c r="AA275" s="31"/>
      <c r="AB275" s="31"/>
      <c r="AC275" s="31">
        <f>VLOOKUP($B275,Pitchers!$A1:$S251,4,FALSE)</f>
        <v>64.569999999999993</v>
      </c>
      <c r="AD275" s="33">
        <f>VLOOKUP($B275,Pitchers!$A1:$S251,5,FALSE)</f>
        <v>3.3774198544215581</v>
      </c>
      <c r="AE275" s="33">
        <f>VLOOKUP($B275,Pitchers!$A1:$S251,6,FALSE)</f>
        <v>1.144563178634729</v>
      </c>
      <c r="AF275" s="31">
        <f>VLOOKUP($B275,Pitchers!$A1:$S251,7,FALSE)</f>
        <v>69.239999999999995</v>
      </c>
      <c r="AG275" s="31">
        <f>VLOOKUP($B275,Pitchers!$A1:$S251,8,FALSE)</f>
        <v>4.0149999999999997</v>
      </c>
      <c r="AH275" s="31">
        <f>VLOOKUP($B275,Pitchers!$A1:$S251,9,FALSE)</f>
        <v>1.0833333333333333</v>
      </c>
      <c r="AI275" s="31">
        <f>VLOOKUP($B275,Pitchers!$A1:$S251,10,FALSE)</f>
        <v>24.231111111111108</v>
      </c>
      <c r="AJ275" s="31">
        <f>VLOOKUP($B275,Pitchers!$A1:$S251,11,FALSE)</f>
        <v>56.786666666666669</v>
      </c>
      <c r="AK275" s="31">
        <f>VLOOKUP($B275,Pitchers!$A1:$S251,12,FALSE)</f>
        <v>17.117777777777778</v>
      </c>
      <c r="AL275" s="31">
        <f>VLOOKUP($B275,Pitchers!$A1:$S251,13,FALSE)</f>
        <v>6.6000000000000005</v>
      </c>
      <c r="AM275" s="31">
        <f>VLOOKUP($B275,Pitchers!$A1:$S251,14,FALSE)</f>
        <v>57.986666666666672</v>
      </c>
      <c r="AN275" s="31">
        <f>VLOOKUP($B275,Pitchers!$A1:$S251,15,FALSE)</f>
        <v>0.93333333333333324</v>
      </c>
      <c r="AO275" s="31">
        <f>VLOOKUP($B275,Pitchers!$A1:$S251,16,FALSE)</f>
        <v>2.0344444444444445</v>
      </c>
      <c r="AP275" s="31">
        <f>VLOOKUP($B275,Pitchers!$A1:$S251,17,FALSE)</f>
        <v>0</v>
      </c>
      <c r="AQ275" s="31">
        <f>VLOOKUP($B275,Pitchers!$A1:$S251,18,FALSE)</f>
        <v>16</v>
      </c>
      <c r="AR275" s="31">
        <f>VLOOKUP($B275,Pitchers!$A1:$S251,19,FALSE)</f>
        <v>3</v>
      </c>
    </row>
    <row r="276" spans="1:44" ht="18.600000000000001" customHeight="1">
      <c r="A276" s="25">
        <f ca="1">RANK(I276,I$2:I$651)</f>
        <v>275</v>
      </c>
      <c r="B276" s="26" t="s">
        <v>421</v>
      </c>
      <c r="C276" s="27" t="s">
        <v>81</v>
      </c>
      <c r="D276" s="27" t="s">
        <v>74</v>
      </c>
      <c r="E276" s="48" t="s">
        <v>11</v>
      </c>
      <c r="F276" s="49">
        <f ca="1">VLOOKUP(B276,'2B'!A1:I50,IF(Settings!$J$13="points",4,7),FALSE)</f>
        <v>24</v>
      </c>
      <c r="G276" s="30">
        <f>(M276*Settings!$B$2)+(N276*Settings!$B$3)+(O276*Settings!$B$4)+(P276*Settings!$B$5)+(Q276*Settings!$B$6)+((T276-U276-V276-O276)*Settings!$B$9)+(U276*Settings!$B$10)+(V276*Settings!$B$11)+(W276*Settings!$B$12)+(X276*Settings!$B$13)+(AA276*Settings!$B$16)</f>
        <v>288.47833333333335</v>
      </c>
      <c r="H276" s="31">
        <f>VLOOKUP(B276,'Standard Deviations'!$A1:$D651,4,FALSE)</f>
        <v>0.54431716402029318</v>
      </c>
      <c r="I276" s="32">
        <f ca="1">IF(Settings!$J$16="no",VLOOKUP(B276,'2B'!A1:I50,IF(Settings!$J$13="points",6,9),FALSE),VLOOKUP(B276,'2B+SS'!$A1:$I94,IF(Settings!$J$13="points",6,9),FALSE))</f>
        <v>0.53827430642215202</v>
      </c>
      <c r="J276" s="31"/>
      <c r="K276" s="31">
        <f ca="1">J276-A276</f>
        <v>-275</v>
      </c>
      <c r="L276" s="31"/>
      <c r="M276" s="31">
        <f>VLOOKUP($B276,Hitters!$A1:$R401,4,FALSE)</f>
        <v>453.40000000000003</v>
      </c>
      <c r="N276" s="31">
        <f>VLOOKUP($B276,Hitters!$A1:$R401,5,FALSE)</f>
        <v>61.917777777777779</v>
      </c>
      <c r="O276" s="31">
        <f>VLOOKUP($B276,Hitters!$A1:$R401,6,FALSE)</f>
        <v>14.125</v>
      </c>
      <c r="P276" s="31">
        <f>VLOOKUP($B276,Hitters!$A1:$R401,7,FALSE)</f>
        <v>56.646666666666668</v>
      </c>
      <c r="Q276" s="31">
        <f>VLOOKUP($B276,Hitters!$A1:$R401,8,FALSE)</f>
        <v>10.192222222222222</v>
      </c>
      <c r="R276" s="152">
        <f>VLOOKUP($B276,Hitters!$A$1:$R$401,14,FALSE)</f>
        <v>0.23308827133264715</v>
      </c>
      <c r="S276" s="152">
        <f>VLOOKUP($B276,Hitters!$A$1:$R$401,15,FALSE)</f>
        <v>0.31779791549551911</v>
      </c>
      <c r="T276" s="154">
        <f>VLOOKUP($B276,Hitters!$A$1:$R$401,9,FALSE)</f>
        <v>105.68222222222222</v>
      </c>
      <c r="U276" s="154">
        <f>VLOOKUP($B276,Hitters!$A$1:$R$401,10,FALSE)</f>
        <v>24.637777777777774</v>
      </c>
      <c r="V276" s="154">
        <f>VLOOKUP($B276,Hitters!$A$1:$R$401,11,FALSE)</f>
        <v>3.01</v>
      </c>
      <c r="W276" s="154">
        <f>VLOOKUP($B276,Hitters!$A$1:$R$401,12,FALSE)</f>
        <v>49.188333333333333</v>
      </c>
      <c r="X276" s="154">
        <f>VLOOKUP($B276,Hitters!$A$1:$R$401,13,FALSE)</f>
        <v>156.74777777777777</v>
      </c>
      <c r="Y276" s="152">
        <f>VLOOKUP($B276,Hitters!$A$1:$R$401,16,FALSE)</f>
        <v>0.39416629907366563</v>
      </c>
      <c r="Z276" s="152">
        <f>VLOOKUP($B276,Hitters!$A$1:$R$401,17,FALSE)</f>
        <v>0.71196421456918468</v>
      </c>
      <c r="AA276" s="31">
        <f>VLOOKUP($B276,Hitters!$A1:$R401,18,FALSE)</f>
        <v>0</v>
      </c>
      <c r="AB276" s="31"/>
      <c r="AC276" s="31"/>
      <c r="AD276" s="33"/>
      <c r="AE276" s="33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</row>
    <row r="277" spans="1:44" ht="18.600000000000001" customHeight="1">
      <c r="A277" s="25">
        <f ca="1">RANK(I277,I$2:I$651)</f>
        <v>276</v>
      </c>
      <c r="B277" s="26" t="s">
        <v>303</v>
      </c>
      <c r="C277" s="27" t="s">
        <v>223</v>
      </c>
      <c r="D277" s="27" t="s">
        <v>74</v>
      </c>
      <c r="E277" s="28" t="s">
        <v>23</v>
      </c>
      <c r="F277" s="29">
        <f ca="1">VLOOKUP(B277,OF!A1:I139,IF(Settings!$J$13="points",4,7),FALSE)</f>
        <v>65</v>
      </c>
      <c r="G277" s="30">
        <f>(M277*Settings!$B$2)+(N277*Settings!$B$3)+(O277*Settings!$B$4)+(P277*Settings!$B$5)+(Q277*Settings!$B$6)+((T277-U277-V277-O277)*Settings!$B$9)+(U277*Settings!$B$10)+(V277*Settings!$B$11)+(W277*Settings!$B$12)+(X277*Settings!$B$13)+(AA277*Settings!$B$16)</f>
        <v>277.97277777777776</v>
      </c>
      <c r="H277" s="31">
        <f>VLOOKUP(B277,'Standard Deviations'!$A1:$D651,4,FALSE)</f>
        <v>0.35490910707916246</v>
      </c>
      <c r="I277" s="32">
        <f ca="1">VLOOKUP(B277,OF!A1:I139,IF(Settings!$J$13="points",6,9),FALSE)</f>
        <v>0.51184288850240778</v>
      </c>
      <c r="J277" s="31"/>
      <c r="K277" s="31">
        <f ca="1">J277-A277</f>
        <v>-276</v>
      </c>
      <c r="L277" s="31"/>
      <c r="M277" s="31">
        <f>VLOOKUP($B277,Hitters!$A1:$R401,4,FALSE)</f>
        <v>392.09999999999997</v>
      </c>
      <c r="N277" s="31">
        <f>VLOOKUP($B277,Hitters!$A1:$R401,5,FALSE)</f>
        <v>53.638333333333343</v>
      </c>
      <c r="O277" s="31">
        <f>VLOOKUP($B277,Hitters!$A1:$R401,6,FALSE)</f>
        <v>12.214999999999998</v>
      </c>
      <c r="P277" s="31">
        <f>VLOOKUP($B277,Hitters!$A1:$R401,7,FALSE)</f>
        <v>46.634999999999998</v>
      </c>
      <c r="Q277" s="31">
        <f>VLOOKUP($B277,Hitters!$A1:$R401,8,FALSE)</f>
        <v>11.341666666666667</v>
      </c>
      <c r="R277" s="152">
        <f>VLOOKUP($B277,Hitters!$A$1:$R$401,14,FALSE)</f>
        <v>0.24693530561931484</v>
      </c>
      <c r="S277" s="152">
        <f>VLOOKUP($B277,Hitters!$A$1:$R$401,15,FALSE)</f>
        <v>0.3213728275547606</v>
      </c>
      <c r="T277" s="154">
        <f>VLOOKUP($B277,Hitters!$A$1:$R$401,9,FALSE)</f>
        <v>96.823333333333338</v>
      </c>
      <c r="U277" s="154">
        <f>VLOOKUP($B277,Hitters!$A$1:$R$401,10,FALSE)</f>
        <v>17.395</v>
      </c>
      <c r="V277" s="154">
        <f>VLOOKUP($B277,Hitters!$A$1:$R$401,11,FALSE)</f>
        <v>4.0616666666666665</v>
      </c>
      <c r="W277" s="154">
        <f>VLOOKUP($B277,Hitters!$A$1:$R$401,12,FALSE)</f>
        <v>36.919999999999995</v>
      </c>
      <c r="X277" s="154">
        <f>VLOOKUP($B277,Hitters!$A$1:$R$401,13,FALSE)</f>
        <v>81.781111111111116</v>
      </c>
      <c r="Y277" s="152">
        <f>VLOOKUP($B277,Hitters!$A$1:$R$401,16,FALSE)</f>
        <v>0.4054747938451076</v>
      </c>
      <c r="Z277" s="152">
        <f>VLOOKUP($B277,Hitters!$A$1:$R$401,17,FALSE)</f>
        <v>0.72684762139986825</v>
      </c>
      <c r="AA277" s="31">
        <f>VLOOKUP($B277,Hitters!$A1:$R401,18,FALSE)</f>
        <v>0</v>
      </c>
      <c r="AB277" s="31"/>
      <c r="AC277" s="31"/>
      <c r="AD277" s="33"/>
      <c r="AE277" s="33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</row>
    <row r="278" spans="1:44" ht="18.600000000000001" customHeight="1">
      <c r="A278" s="25">
        <f ca="1">RANK(I278,I$2:I$651)</f>
        <v>277</v>
      </c>
      <c r="B278" s="26" t="s">
        <v>302</v>
      </c>
      <c r="C278" s="27" t="s">
        <v>84</v>
      </c>
      <c r="D278" s="27" t="s">
        <v>69</v>
      </c>
      <c r="E278" s="34" t="s">
        <v>15</v>
      </c>
      <c r="F278" s="35">
        <f ca="1">VLOOKUP(B278,'3B'!A1:I55,IF(Settings!$J$13="points",4,7),FALSE)</f>
        <v>20</v>
      </c>
      <c r="G278" s="30">
        <f>(M278*Settings!$B$2)+(N278*Settings!$B$3)+(O278*Settings!$B$4)+(P278*Settings!$B$5)+(Q278*Settings!$B$6)+((T278-U278-V278-O278)*Settings!$B$9)+(U278*Settings!$B$10)+(V278*Settings!$B$11)+(W278*Settings!$B$12)+(X278*Settings!$B$13)+(AA278*Settings!$B$16)</f>
        <v>293.47555555555556</v>
      </c>
      <c r="H278" s="31">
        <f>VLOOKUP(B278,'Standard Deviations'!$A1:$D651,4,FALSE)</f>
        <v>0.73468652468273299</v>
      </c>
      <c r="I278" s="32">
        <f ca="1">IF(Settings!$J$15="no",VLOOKUP(B278,'3B'!A1:I55,IF(Settings!$J$13="points",6,9),FALSE),VLOOKUP(B278,'1B+3B'!$A1:$I104,IF(Settings!$J$13="points",6,9),FALSE))</f>
        <v>0.50920453963777834</v>
      </c>
      <c r="J278" s="31"/>
      <c r="K278" s="31">
        <f ca="1">J278-A278</f>
        <v>-277</v>
      </c>
      <c r="L278" s="31"/>
      <c r="M278" s="31">
        <f>VLOOKUP($B278,Hitters!$A1:$R401,4,FALSE)</f>
        <v>448.38888888888891</v>
      </c>
      <c r="N278" s="31">
        <f>VLOOKUP($B278,Hitters!$A1:$R401,5,FALSE)</f>
        <v>58.606666666666662</v>
      </c>
      <c r="O278" s="31">
        <f>VLOOKUP($B278,Hitters!$A1:$R401,6,FALSE)</f>
        <v>18.60777777777778</v>
      </c>
      <c r="P278" s="31">
        <f>VLOOKUP($B278,Hitters!$A1:$R401,7,FALSE)</f>
        <v>61.957777777777778</v>
      </c>
      <c r="Q278" s="31">
        <f>VLOOKUP($B278,Hitters!$A1:$R401,8,FALSE)</f>
        <v>2.5088888888888889</v>
      </c>
      <c r="R278" s="152">
        <f>VLOOKUP($B278,Hitters!$A$1:$R$401,14,FALSE)</f>
        <v>0.24518399207037542</v>
      </c>
      <c r="S278" s="152">
        <f>VLOOKUP($B278,Hitters!$A$1:$R$401,15,FALSE)</f>
        <v>0.30623024222155781</v>
      </c>
      <c r="T278" s="154">
        <f>VLOOKUP($B278,Hitters!$A$1:$R$401,9,FALSE)</f>
        <v>109.93777777777778</v>
      </c>
      <c r="U278" s="154">
        <f>VLOOKUP($B278,Hitters!$A$1:$R$401,10,FALSE)</f>
        <v>23.452222222222222</v>
      </c>
      <c r="V278" s="154">
        <f>VLOOKUP($B278,Hitters!$A$1:$R$401,11,FALSE)</f>
        <v>1.0249999999999999</v>
      </c>
      <c r="W278" s="154">
        <f>VLOOKUP($B278,Hitters!$A$1:$R$401,12,FALSE)</f>
        <v>32.203333333333333</v>
      </c>
      <c r="X278" s="154">
        <f>VLOOKUP($B278,Hitters!$A$1:$R$401,13,FALSE)</f>
        <v>111.14666666666666</v>
      </c>
      <c r="Y278" s="152">
        <f>VLOOKUP($B278,Hitters!$A$1:$R$401,16,FALSE)</f>
        <v>0.42655680832610582</v>
      </c>
      <c r="Z278" s="152">
        <f>VLOOKUP($B278,Hitters!$A$1:$R$401,17,FALSE)</f>
        <v>0.73278705054766369</v>
      </c>
      <c r="AA278" s="31">
        <f>VLOOKUP($B278,Hitters!$A1:$R401,18,FALSE)</f>
        <v>0</v>
      </c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</row>
    <row r="279" spans="1:44" ht="18.600000000000001" customHeight="1">
      <c r="A279" s="25">
        <f ca="1">RANK(I279,I$2:I$651)</f>
        <v>278</v>
      </c>
      <c r="B279" s="26" t="s">
        <v>266</v>
      </c>
      <c r="C279" s="27" t="s">
        <v>78</v>
      </c>
      <c r="D279" s="27" t="s">
        <v>69</v>
      </c>
      <c r="E279" s="28" t="s">
        <v>23</v>
      </c>
      <c r="F279" s="29">
        <f ca="1">VLOOKUP(B279,OF!A1:I139,IF(Settings!$J$13="points",4,7),FALSE)</f>
        <v>66</v>
      </c>
      <c r="G279" s="30">
        <f>(M279*Settings!$B$2)+(N279*Settings!$B$3)+(O279*Settings!$B$4)+(P279*Settings!$B$5)+(Q279*Settings!$B$6)+((T279-U279-V279-O279)*Settings!$B$9)+(U279*Settings!$B$10)+(V279*Settings!$B$11)+(W279*Settings!$B$12)+(X279*Settings!$B$13)+(AA279*Settings!$B$16)</f>
        <v>275.54833333333329</v>
      </c>
      <c r="H279" s="31">
        <f>VLOOKUP(B279,'Standard Deviations'!$A1:$D651,4,FALSE)</f>
        <v>0.32797270221320152</v>
      </c>
      <c r="I279" s="32">
        <f ca="1">VLOOKUP(B279,OF!A1:I139,IF(Settings!$J$13="points",6,9),FALSE)</f>
        <v>0.48490487017427442</v>
      </c>
      <c r="J279" s="31"/>
      <c r="K279" s="31">
        <f ca="1">J279-A279</f>
        <v>-278</v>
      </c>
      <c r="L279" s="31"/>
      <c r="M279" s="31">
        <f>VLOOKUP($B279,Hitters!$A1:$R401,4,FALSE)</f>
        <v>392.7166666666667</v>
      </c>
      <c r="N279" s="31">
        <f>VLOOKUP($B279,Hitters!$A1:$R401,5,FALSE)</f>
        <v>53.48</v>
      </c>
      <c r="O279" s="31">
        <f>VLOOKUP($B279,Hitters!$A1:$R401,6,FALSE)</f>
        <v>8.2149999999999999</v>
      </c>
      <c r="P279" s="31">
        <f>VLOOKUP($B279,Hitters!$A1:$R401,7,FALSE)</f>
        <v>45.608333333333327</v>
      </c>
      <c r="Q279" s="31">
        <f>VLOOKUP($B279,Hitters!$A1:$R401,8,FALSE)</f>
        <v>2.0066666666666668</v>
      </c>
      <c r="R279" s="152">
        <f>VLOOKUP($B279,Hitters!$A$1:$R$401,14,FALSE)</f>
        <v>0.28256164325425448</v>
      </c>
      <c r="S279" s="152">
        <f>VLOOKUP($B279,Hitters!$A$1:$R$401,15,FALSE)</f>
        <v>0.35252924725385171</v>
      </c>
      <c r="T279" s="154">
        <f>VLOOKUP($B279,Hitters!$A$1:$R$401,9,FALSE)</f>
        <v>110.96666666666665</v>
      </c>
      <c r="U279" s="154">
        <f>VLOOKUP($B279,Hitters!$A$1:$R$401,10,FALSE)</f>
        <v>21.982222222222219</v>
      </c>
      <c r="V279" s="154">
        <f>VLOOKUP($B279,Hitters!$A$1:$R$401,11,FALSE)</f>
        <v>2.0016666666666665</v>
      </c>
      <c r="W279" s="154">
        <f>VLOOKUP($B279,Hitters!$A$1:$R$401,12,FALSE)</f>
        <v>36.896666666666668</v>
      </c>
      <c r="X279" s="154">
        <f>VLOOKUP($B279,Hitters!$A$1:$R$401,13,FALSE)</f>
        <v>52.094444444444441</v>
      </c>
      <c r="Y279" s="152">
        <f>VLOOKUP($B279,Hitters!$A$1:$R$401,16,FALSE)</f>
        <v>0.41148552108531739</v>
      </c>
      <c r="Z279" s="152">
        <f>VLOOKUP($B279,Hitters!$A$1:$R$401,17,FALSE)</f>
        <v>0.76401476833916915</v>
      </c>
      <c r="AA279" s="31">
        <f>VLOOKUP($B279,Hitters!$A1:$R401,18,FALSE)</f>
        <v>0</v>
      </c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</row>
    <row r="280" spans="1:44" ht="18.600000000000001" customHeight="1">
      <c r="A280" s="25">
        <f ca="1">RANK(I280,I$2:I$651)</f>
        <v>279</v>
      </c>
      <c r="B280" s="26" t="s">
        <v>361</v>
      </c>
      <c r="C280" s="27" t="s">
        <v>95</v>
      </c>
      <c r="D280" s="27" t="s">
        <v>74</v>
      </c>
      <c r="E280" s="36" t="s">
        <v>31</v>
      </c>
      <c r="F280" s="37">
        <f ca="1">VLOOKUP(B280,SP!A1:I161,IF(Settings!$J$13="points",4,7),FALSE)</f>
        <v>79</v>
      </c>
      <c r="G280" s="30">
        <f>(AC280*Settings!$F$2)+(AF280*Settings!$F$5)+(AG280*Settings!$F$6)+(AH280*Settings!$F$7)+(AI280*Settings!$F$8)+(AJ280*Settings!$F$9)+(AK280*Settings!$F$10)+(AL280*Settings!$F$11)+(AM280*Settings!$F$12)+(AN280*Settings!$F$13)+(AO280*Settings!$F$14)+(AP280*Settings!$F$15)+(AQ280*Settings!$F$16)+(AR280*Settings!$F$17)</f>
        <v>317.76636666666656</v>
      </c>
      <c r="H280" s="31">
        <f>VLOOKUP(B280,'Standard Deviations'!$A1:$D651,4,FALSE)</f>
        <v>-0.39339165985830404</v>
      </c>
      <c r="I280" s="32">
        <f ca="1">IF(Settings!$J$16="no",VLOOKUP(B280,SP!A1:I161,IF(Settings!$J$13="points",6,9),FALSE),VLOOKUP(B280,'SP+RP'!$A1:$I251,IF(Settings!$J$13="points",6,9),FALSE))</f>
        <v>0.47419319037660879</v>
      </c>
      <c r="J280" s="31"/>
      <c r="K280" s="31">
        <f ca="1">J280-A280</f>
        <v>-279</v>
      </c>
      <c r="L280" s="31"/>
      <c r="M280" s="31"/>
      <c r="N280" s="31"/>
      <c r="O280" s="31"/>
      <c r="P280" s="31"/>
      <c r="Q280" s="31"/>
      <c r="R280" s="152"/>
      <c r="S280" s="152"/>
      <c r="T280" s="154"/>
      <c r="U280" s="154"/>
      <c r="V280" s="154"/>
      <c r="W280" s="154"/>
      <c r="X280" s="154"/>
      <c r="Y280" s="152"/>
      <c r="Z280" s="152"/>
      <c r="AA280" s="31"/>
      <c r="AB280" s="31"/>
      <c r="AC280" s="31">
        <f>VLOOKUP($B280,Pitchers!$A1:$S251,4,FALSE)</f>
        <v>146.27222222222221</v>
      </c>
      <c r="AD280" s="33">
        <f>VLOOKUP($B280,Pitchers!$A1:$S251,5,FALSE)</f>
        <v>4.1087445782217333</v>
      </c>
      <c r="AE280" s="33">
        <f>VLOOKUP($B280,Pitchers!$A1:$S251,6,FALSE)</f>
        <v>1.283558053856964</v>
      </c>
      <c r="AF280" s="31">
        <f>VLOOKUP($B280,Pitchers!$A1:$S251,7,FALSE)</f>
        <v>140.11499999999998</v>
      </c>
      <c r="AG280" s="31">
        <f>VLOOKUP($B280,Pitchers!$A1:$S251,8,FALSE)</f>
        <v>10.038333333333334</v>
      </c>
      <c r="AH280" s="31">
        <f>VLOOKUP($B280,Pitchers!$A1:$S251,9,FALSE)</f>
        <v>0</v>
      </c>
      <c r="AI280" s="31">
        <f>VLOOKUP($B280,Pitchers!$A1:$S251,10,FALSE)</f>
        <v>66.777244444444449</v>
      </c>
      <c r="AJ280" s="31">
        <f>VLOOKUP($B280,Pitchers!$A1:$S251,11,FALSE)</f>
        <v>144.58111111111111</v>
      </c>
      <c r="AK280" s="31">
        <f>VLOOKUP($B280,Pitchers!$A1:$S251,12,FALSE)</f>
        <v>43.167777777777779</v>
      </c>
      <c r="AL280" s="31">
        <f>VLOOKUP($B280,Pitchers!$A1:$S251,13,FALSE)</f>
        <v>19.633333333333333</v>
      </c>
      <c r="AM280" s="31">
        <f>VLOOKUP($B280,Pitchers!$A1:$S251,14,FALSE)</f>
        <v>27.968888888888888</v>
      </c>
      <c r="AN280" s="31">
        <f>VLOOKUP($B280,Pitchers!$A1:$S251,15,FALSE)</f>
        <v>27.968888888888888</v>
      </c>
      <c r="AO280" s="31">
        <f>VLOOKUP($B280,Pitchers!$A1:$S251,16,FALSE)</f>
        <v>8.57</v>
      </c>
      <c r="AP280" s="31">
        <f>VLOOKUP($B280,Pitchers!$A1:$S251,17,FALSE)</f>
        <v>12</v>
      </c>
      <c r="AQ280" s="31">
        <f>VLOOKUP($B280,Pitchers!$A1:$S251,18,FALSE)</f>
        <v>0</v>
      </c>
      <c r="AR280" s="31">
        <f>VLOOKUP($B280,Pitchers!$A1:$S251,19,FALSE)</f>
        <v>0</v>
      </c>
    </row>
    <row r="281" spans="1:44" ht="18.600000000000001" customHeight="1">
      <c r="A281" s="25">
        <f ca="1">RANK(I281,I$2:I$651)</f>
        <v>280</v>
      </c>
      <c r="B281" s="26" t="s">
        <v>360</v>
      </c>
      <c r="C281" s="27" t="s">
        <v>63</v>
      </c>
      <c r="D281" s="27" t="s">
        <v>74</v>
      </c>
      <c r="E281" s="34" t="s">
        <v>15</v>
      </c>
      <c r="F281" s="35">
        <f ca="1">VLOOKUP(B281,'3B'!A1:I55,IF(Settings!$J$13="points",4,7),FALSE)</f>
        <v>21</v>
      </c>
      <c r="G281" s="30">
        <f>(M281*Settings!$B$2)+(N281*Settings!$B$3)+(O281*Settings!$B$4)+(P281*Settings!$B$5)+(Q281*Settings!$B$6)+((T281-U281-V281-O281)*Settings!$B$9)+(U281*Settings!$B$10)+(V281*Settings!$B$11)+(W281*Settings!$B$12)+(X281*Settings!$B$13)+(AA281*Settings!$B$16)</f>
        <v>306.84500000000003</v>
      </c>
      <c r="H281" s="31">
        <f>VLOOKUP(B281,'Standard Deviations'!$A1:$D651,4,FALSE)</f>
        <v>0.69805951979248526</v>
      </c>
      <c r="I281" s="32">
        <f ca="1">IF(Settings!$J$15="no",VLOOKUP(B281,'3B'!A1:I55,IF(Settings!$J$13="points",6,9),FALSE),VLOOKUP(B281,'1B+3B'!$A1:$I104,IF(Settings!$J$13="points",6,9),FALSE))</f>
        <v>0.47258520617093569</v>
      </c>
      <c r="J281" s="31"/>
      <c r="K281" s="31">
        <f ca="1">J281-A281</f>
        <v>-280</v>
      </c>
      <c r="L281" s="31"/>
      <c r="M281" s="31">
        <f>VLOOKUP($B281,Hitters!$A1:$R401,4,FALSE)</f>
        <v>454.43333333333339</v>
      </c>
      <c r="N281" s="31">
        <f>VLOOKUP($B281,Hitters!$A1:$R401,5,FALSE)</f>
        <v>58.681666666666665</v>
      </c>
      <c r="O281" s="31">
        <f>VLOOKUP($B281,Hitters!$A1:$R401,6,FALSE)</f>
        <v>12.365</v>
      </c>
      <c r="P281" s="31">
        <f>VLOOKUP($B281,Hitters!$A1:$R401,7,FALSE)</f>
        <v>53.73555555555555</v>
      </c>
      <c r="Q281" s="31">
        <f>VLOOKUP($B281,Hitters!$A1:$R401,8,FALSE)</f>
        <v>11.173333333333332</v>
      </c>
      <c r="R281" s="152">
        <f>VLOOKUP($B281,Hitters!$A$1:$R$401,14,FALSE)</f>
        <v>0.24296682070466269</v>
      </c>
      <c r="S281" s="152">
        <f>VLOOKUP($B281,Hitters!$A$1:$R$401,15,FALSE)</f>
        <v>0.31796034175509547</v>
      </c>
      <c r="T281" s="154">
        <f>VLOOKUP($B281,Hitters!$A$1:$R$401,9,FALSE)</f>
        <v>110.41222222222223</v>
      </c>
      <c r="U281" s="154">
        <f>VLOOKUP($B281,Hitters!$A$1:$R$401,10,FALSE)</f>
        <v>23.438888888888886</v>
      </c>
      <c r="V281" s="154">
        <f>VLOOKUP($B281,Hitters!$A$1:$R$401,11,FALSE)</f>
        <v>2.4433333333333334</v>
      </c>
      <c r="W281" s="154">
        <f>VLOOKUP($B281,Hitters!$A$1:$R$401,12,FALSE)</f>
        <v>42.843333333333334</v>
      </c>
      <c r="X281" s="154">
        <f>VLOOKUP($B281,Hitters!$A$1:$R$401,13,FALSE)</f>
        <v>93.19</v>
      </c>
      <c r="Y281" s="152">
        <f>VLOOKUP($B281,Hitters!$A$1:$R$401,16,FALSE)</f>
        <v>0.38692755324091049</v>
      </c>
      <c r="Z281" s="152">
        <f>VLOOKUP($B281,Hitters!$A$1:$R$401,17,FALSE)</f>
        <v>0.70488789499600601</v>
      </c>
      <c r="AA281" s="31">
        <f>VLOOKUP($B281,Hitters!$A1:$R401,18,FALSE)</f>
        <v>0</v>
      </c>
      <c r="AB281" s="31"/>
      <c r="AC281" s="31"/>
      <c r="AD281" s="33"/>
      <c r="AE281" s="33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</row>
    <row r="282" spans="1:44" ht="18.600000000000001" customHeight="1">
      <c r="A282" s="25">
        <f ca="1">RANK(I282,I$2:I$651)</f>
        <v>281</v>
      </c>
      <c r="B282" s="26" t="s">
        <v>406</v>
      </c>
      <c r="C282" s="27" t="s">
        <v>123</v>
      </c>
      <c r="D282" s="27" t="s">
        <v>74</v>
      </c>
      <c r="E282" s="36" t="s">
        <v>31</v>
      </c>
      <c r="F282" s="37">
        <f ca="1">VLOOKUP(B282,SP!A1:I161,IF(Settings!$J$13="points",4,7),FALSE)</f>
        <v>80</v>
      </c>
      <c r="G282" s="30">
        <f>(AC282*Settings!$F$2)+(AF282*Settings!$F$5)+(AG282*Settings!$F$6)+(AH282*Settings!$F$7)+(AI282*Settings!$F$8)+(AJ282*Settings!$F$9)+(AK282*Settings!$F$10)+(AL282*Settings!$F$11)+(AM282*Settings!$F$12)+(AN282*Settings!$F$13)+(AO282*Settings!$F$14)+(AP282*Settings!$F$15)+(AQ282*Settings!$F$16)+(AR282*Settings!$F$17)</f>
        <v>301.37125555555554</v>
      </c>
      <c r="H282" s="31">
        <f>VLOOKUP(B282,'Standard Deviations'!$A1:$D651,4,FALSE)</f>
        <v>-0.40927174291699625</v>
      </c>
      <c r="I282" s="32">
        <f ca="1">IF(Settings!$J$16="no",VLOOKUP(B282,SP!A1:I161,IF(Settings!$J$13="points",6,9),FALSE),VLOOKUP(B282,'SP+RP'!$A1:$I251,IF(Settings!$J$13="points",6,9),FALSE))</f>
        <v>0.4583056946257032</v>
      </c>
      <c r="J282" s="31"/>
      <c r="K282" s="31">
        <f ca="1">J282-A282</f>
        <v>-281</v>
      </c>
      <c r="L282" s="31"/>
      <c r="M282" s="31"/>
      <c r="N282" s="31"/>
      <c r="O282" s="31"/>
      <c r="P282" s="31"/>
      <c r="Q282" s="31"/>
      <c r="R282" s="152"/>
      <c r="S282" s="152"/>
      <c r="T282" s="154"/>
      <c r="U282" s="154"/>
      <c r="V282" s="154"/>
      <c r="W282" s="154"/>
      <c r="X282" s="154"/>
      <c r="Y282" s="152"/>
      <c r="Z282" s="152"/>
      <c r="AA282" s="31"/>
      <c r="AB282" s="31"/>
      <c r="AC282" s="31">
        <f>VLOOKUP($B282,Pitchers!$A1:$S251,4,FALSE)</f>
        <v>136.63444444444443</v>
      </c>
      <c r="AD282" s="33">
        <f>VLOOKUP($B282,Pitchers!$A1:$S251,5,FALSE)</f>
        <v>4.0017266672630134</v>
      </c>
      <c r="AE282" s="33">
        <f>VLOOKUP($B282,Pitchers!$A1:$S251,6,FALSE)</f>
        <v>1.2596750453358925</v>
      </c>
      <c r="AF282" s="31">
        <f>VLOOKUP($B282,Pitchers!$A1:$S251,7,FALSE)</f>
        <v>130.32888888888888</v>
      </c>
      <c r="AG282" s="31">
        <f>VLOOKUP($B282,Pitchers!$A1:$S251,8,FALSE)</f>
        <v>8.9577777777777783</v>
      </c>
      <c r="AH282" s="31">
        <f>VLOOKUP($B282,Pitchers!$A1:$S251,9,FALSE)</f>
        <v>0</v>
      </c>
      <c r="AI282" s="31">
        <f>VLOOKUP($B282,Pitchers!$A1:$S251,10,FALSE)</f>
        <v>60.752633333333335</v>
      </c>
      <c r="AJ282" s="31">
        <f>VLOOKUP($B282,Pitchers!$A1:$S251,11,FALSE)</f>
        <v>122.33333333333333</v>
      </c>
      <c r="AK282" s="31">
        <f>VLOOKUP($B282,Pitchers!$A1:$S251,12,FALSE)</f>
        <v>49.781666666666666</v>
      </c>
      <c r="AL282" s="31">
        <f>VLOOKUP($B282,Pitchers!$A1:$S251,13,FALSE)</f>
        <v>18.400000000000002</v>
      </c>
      <c r="AM282" s="31">
        <f>VLOOKUP($B282,Pitchers!$A1:$S251,14,FALSE)</f>
        <v>27.916666666666668</v>
      </c>
      <c r="AN282" s="31">
        <f>VLOOKUP($B282,Pitchers!$A1:$S251,15,FALSE)</f>
        <v>25.827777777777779</v>
      </c>
      <c r="AO282" s="31">
        <f>VLOOKUP($B282,Pitchers!$A1:$S251,16,FALSE)</f>
        <v>7.3066666666666658</v>
      </c>
      <c r="AP282" s="31">
        <f>VLOOKUP($B282,Pitchers!$A1:$S251,17,FALSE)</f>
        <v>11</v>
      </c>
      <c r="AQ282" s="31">
        <f>VLOOKUP($B282,Pitchers!$A1:$S251,18,FALSE)</f>
        <v>0</v>
      </c>
      <c r="AR282" s="31">
        <f>VLOOKUP($B282,Pitchers!$A1:$S251,19,FALSE)</f>
        <v>0</v>
      </c>
    </row>
    <row r="283" spans="1:44" ht="18.600000000000001" customHeight="1">
      <c r="A283" s="25">
        <f ca="1">RANK(I283,I$2:I$651)</f>
        <v>282</v>
      </c>
      <c r="B283" s="26" t="s">
        <v>517</v>
      </c>
      <c r="C283" s="27" t="s">
        <v>68</v>
      </c>
      <c r="D283" s="27" t="s">
        <v>69</v>
      </c>
      <c r="E283" s="42" t="s">
        <v>34</v>
      </c>
      <c r="F283" s="43">
        <f ca="1">VLOOKUP(B283,RP!A1:I91,IF(Settings!$J$13="points",4,7),FALSE)</f>
        <v>31</v>
      </c>
      <c r="G283" s="30">
        <f>(AC283*Settings!$F$2)+(AF283*Settings!$F$5)+(AG283*Settings!$F$6)+(AH283*Settings!$F$7)+(AI283*Settings!$F$8)+(AJ283*Settings!$F$9)+(AK283*Settings!$F$10)+(AL283*Settings!$F$11)+(AM283*Settings!$F$12)+(AN283*Settings!$F$13)+(AO283*Settings!$F$14)+(AP283*Settings!$F$15)+(AQ283*Settings!$F$16)+(AR283*Settings!$F$17)</f>
        <v>156.89277777777781</v>
      </c>
      <c r="H283" s="31">
        <f>VLOOKUP(B283,'Standard Deviations'!$A1:$D651,4,FALSE)</f>
        <v>-0.41266226988546084</v>
      </c>
      <c r="I283" s="32">
        <f ca="1">IF(Settings!$J$16="no",VLOOKUP(B283,RP!A1:I91,IF(Settings!$J$13="points",6,9),FALSE),VLOOKUP(B283,'SP+RP'!$A1:$I251,IF(Settings!$J$13="points",6,9),FALSE))</f>
        <v>0.45491517872400605</v>
      </c>
      <c r="J283" s="31"/>
      <c r="K283" s="31">
        <f ca="1">J283-A283</f>
        <v>-282</v>
      </c>
      <c r="L283" s="31"/>
      <c r="M283" s="31"/>
      <c r="N283" s="31"/>
      <c r="O283" s="31"/>
      <c r="P283" s="31"/>
      <c r="Q283" s="31"/>
      <c r="R283" s="152"/>
      <c r="S283" s="152"/>
      <c r="T283" s="154"/>
      <c r="U283" s="154"/>
      <c r="V283" s="154"/>
      <c r="W283" s="154"/>
      <c r="X283" s="154"/>
      <c r="Y283" s="152"/>
      <c r="Z283" s="152"/>
      <c r="AA283" s="31"/>
      <c r="AB283" s="31"/>
      <c r="AC283" s="31">
        <f>VLOOKUP($B283,Pitchers!$A1:$S251,4,FALSE)</f>
        <v>59.981111111111112</v>
      </c>
      <c r="AD283" s="33">
        <f>VLOOKUP($B283,Pitchers!$A1:$S251,5,FALSE)</f>
        <v>3.3858992645832942</v>
      </c>
      <c r="AE283" s="33">
        <f>VLOOKUP($B283,Pitchers!$A1:$S251,6,FALSE)</f>
        <v>1.1712761424893021</v>
      </c>
      <c r="AF283" s="31">
        <f>VLOOKUP($B283,Pitchers!$A1:$S251,7,FALSE)</f>
        <v>69.078888888888898</v>
      </c>
      <c r="AG283" s="31">
        <f>VLOOKUP($B283,Pitchers!$A1:$S251,8,FALSE)</f>
        <v>3.9233333333333333</v>
      </c>
      <c r="AH283" s="31">
        <f>VLOOKUP($B283,Pitchers!$A1:$S251,9,FALSE)</f>
        <v>2.9222222222222221</v>
      </c>
      <c r="AI283" s="31">
        <f>VLOOKUP($B283,Pitchers!$A1:$S251,10,FALSE)</f>
        <v>22.565555555555552</v>
      </c>
      <c r="AJ283" s="31">
        <f>VLOOKUP($B283,Pitchers!$A1:$S251,11,FALSE)</f>
        <v>50.473333333333336</v>
      </c>
      <c r="AK283" s="31">
        <f>VLOOKUP($B283,Pitchers!$A1:$S251,12,FALSE)</f>
        <v>19.781111111111112</v>
      </c>
      <c r="AL283" s="31">
        <f>VLOOKUP($B283,Pitchers!$A1:$S251,13,FALSE)</f>
        <v>6.0333333333333341</v>
      </c>
      <c r="AM283" s="31">
        <f>VLOOKUP($B283,Pitchers!$A1:$S251,14,FALSE)</f>
        <v>49.905555555555559</v>
      </c>
      <c r="AN283" s="31">
        <f>VLOOKUP($B283,Pitchers!$A1:$S251,15,FALSE)</f>
        <v>4.4444444444444446E-2</v>
      </c>
      <c r="AO283" s="31">
        <f>VLOOKUP($B283,Pitchers!$A1:$S251,16,FALSE)</f>
        <v>2.5377777777777779</v>
      </c>
      <c r="AP283" s="31">
        <f>VLOOKUP($B283,Pitchers!$A1:$S251,17,FALSE)</f>
        <v>0</v>
      </c>
      <c r="AQ283" s="31">
        <f>VLOOKUP($B283,Pitchers!$A1:$S251,18,FALSE)</f>
        <v>12</v>
      </c>
      <c r="AR283" s="31">
        <f>VLOOKUP($B283,Pitchers!$A1:$S251,19,FALSE)</f>
        <v>0</v>
      </c>
    </row>
    <row r="284" spans="1:44" ht="18.600000000000001" customHeight="1">
      <c r="A284" s="25">
        <f ca="1">RANK(I284,I$2:I$651)</f>
        <v>283</v>
      </c>
      <c r="B284" s="26" t="s">
        <v>377</v>
      </c>
      <c r="C284" s="27" t="s">
        <v>94</v>
      </c>
      <c r="D284" s="27" t="s">
        <v>69</v>
      </c>
      <c r="E284" s="46" t="s">
        <v>19</v>
      </c>
      <c r="F284" s="47">
        <f ca="1">VLOOKUP(B284,'C'!A1:I54,IF(Settings!$J$13="points",4,7),FALSE)</f>
        <v>13</v>
      </c>
      <c r="G284" s="30">
        <f>(M284*Settings!$B$2)+(N284*Settings!$B$3)+(O284*Settings!$B$4)+(P284*Settings!$B$5)+(Q284*Settings!$B$6)+((T284-U284-V284-O284)*Settings!$B$9)+(U284*Settings!$B$10)+(V284*Settings!$B$11)+(W284*Settings!$B$12)+(X284*Settings!$B$13)+(AA284*Settings!$B$16)</f>
        <v>269.91833333333329</v>
      </c>
      <c r="H284" s="31">
        <f>VLOOKUP(B284,'Standard Deviations'!$A1:$D651,4,FALSE)</f>
        <v>-0.33232806686624172</v>
      </c>
      <c r="I284" s="32">
        <f ca="1">VLOOKUP(B284,'C'!A1:I54,IF(Settings!$J$13="points",6,9),FALSE)</f>
        <v>0.45419560463198239</v>
      </c>
      <c r="J284" s="31"/>
      <c r="K284" s="31">
        <f ca="1">J284-A284</f>
        <v>-283</v>
      </c>
      <c r="L284" s="31"/>
      <c r="M284" s="31">
        <f>VLOOKUP($B284,Hitters!$A1:$R401,4,FALSE)</f>
        <v>358.7166666666667</v>
      </c>
      <c r="N284" s="31">
        <f>VLOOKUP($B284,Hitters!$A1:$R401,5,FALSE)</f>
        <v>51.726666666666667</v>
      </c>
      <c r="O284" s="31">
        <f>VLOOKUP($B284,Hitters!$A1:$R401,6,FALSE)</f>
        <v>19.39</v>
      </c>
      <c r="P284" s="31">
        <f>VLOOKUP($B284,Hitters!$A1:$R401,7,FALSE)</f>
        <v>56.388333333333343</v>
      </c>
      <c r="Q284" s="31">
        <f>VLOOKUP($B284,Hitters!$A1:$R401,8,FALSE)</f>
        <v>1.9911111111111113</v>
      </c>
      <c r="R284" s="152">
        <f>VLOOKUP($B284,Hitters!$A$1:$R$401,14,FALSE)</f>
        <v>0.23518096919574411</v>
      </c>
      <c r="S284" s="152">
        <f>VLOOKUP($B284,Hitters!$A$1:$R$401,15,FALSE)</f>
        <v>0.31638825412236254</v>
      </c>
      <c r="T284" s="154">
        <f>VLOOKUP($B284,Hitters!$A$1:$R$401,9,FALSE)</f>
        <v>84.363333333333344</v>
      </c>
      <c r="U284" s="154">
        <f>VLOOKUP($B284,Hitters!$A$1:$R$401,10,FALSE)</f>
        <v>17.434999999999999</v>
      </c>
      <c r="V284" s="154">
        <f>VLOOKUP($B284,Hitters!$A$1:$R$401,11,FALSE)</f>
        <v>0.98444444444444434</v>
      </c>
      <c r="W284" s="154">
        <f>VLOOKUP($B284,Hitters!$A$1:$R$401,12,FALSE)</f>
        <v>36.965000000000003</v>
      </c>
      <c r="X284" s="154">
        <f>VLOOKUP($B284,Hitters!$A$1:$R$401,13,FALSE)</f>
        <v>82.162222222222226</v>
      </c>
      <c r="Y284" s="152">
        <f>VLOOKUP($B284,Hitters!$A$1:$R$401,16,FALSE)</f>
        <v>0.4514348991001873</v>
      </c>
      <c r="Z284" s="152">
        <f>VLOOKUP($B284,Hitters!$A$1:$R$401,17,FALSE)</f>
        <v>0.7678231532225499</v>
      </c>
      <c r="AA284" s="31">
        <f>VLOOKUP($B284,Hitters!$A1:$R401,18,FALSE)</f>
        <v>0</v>
      </c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</row>
    <row r="285" spans="1:44" ht="18.600000000000001" customHeight="1">
      <c r="A285" s="25">
        <f ca="1">RANK(I285,I$2:I$651)</f>
        <v>284</v>
      </c>
      <c r="B285" s="26" t="s">
        <v>441</v>
      </c>
      <c r="C285" s="27" t="s">
        <v>68</v>
      </c>
      <c r="D285" s="27" t="s">
        <v>69</v>
      </c>
      <c r="E285" s="36" t="s">
        <v>31</v>
      </c>
      <c r="F285" s="37">
        <f ca="1">VLOOKUP(B285,SP!A1:I161,IF(Settings!$J$13="points",4,7),FALSE)</f>
        <v>81</v>
      </c>
      <c r="G285" s="30">
        <f>(AC285*Settings!$F$2)+(AF285*Settings!$F$5)+(AG285*Settings!$F$6)+(AH285*Settings!$F$7)+(AI285*Settings!$F$8)+(AJ285*Settings!$F$9)+(AK285*Settings!$F$10)+(AL285*Settings!$F$11)+(AM285*Settings!$F$12)+(AN285*Settings!$F$13)+(AO285*Settings!$F$14)+(AP285*Settings!$F$15)+(AQ285*Settings!$F$16)+(AR285*Settings!$F$17)</f>
        <v>302.65750000000014</v>
      </c>
      <c r="H285" s="31">
        <f>VLOOKUP(B285,'Standard Deviations'!$A1:$D651,4,FALSE)</f>
        <v>-0.41412434909752632</v>
      </c>
      <c r="I285" s="32">
        <f ca="1">IF(Settings!$J$16="no",VLOOKUP(B285,SP!A1:I161,IF(Settings!$J$13="points",6,9),FALSE),VLOOKUP(B285,'SP+RP'!$A1:$I251,IF(Settings!$J$13="points",6,9),FALSE))</f>
        <v>0.4534565963141905</v>
      </c>
      <c r="J285" s="31"/>
      <c r="K285" s="31">
        <f ca="1">J285-A285</f>
        <v>-284</v>
      </c>
      <c r="L285" s="31"/>
      <c r="M285" s="31"/>
      <c r="N285" s="31"/>
      <c r="O285" s="31"/>
      <c r="P285" s="31"/>
      <c r="Q285" s="31"/>
      <c r="R285" s="152"/>
      <c r="S285" s="152"/>
      <c r="T285" s="154"/>
      <c r="U285" s="154"/>
      <c r="V285" s="154"/>
      <c r="W285" s="154"/>
      <c r="X285" s="154"/>
      <c r="Y285" s="152"/>
      <c r="Z285" s="152"/>
      <c r="AA285" s="31"/>
      <c r="AB285" s="31"/>
      <c r="AC285" s="31">
        <f>VLOOKUP($B285,Pitchers!$A1:$S251,4,FALSE)</f>
        <v>133.02333333333334</v>
      </c>
      <c r="AD285" s="33">
        <f>VLOOKUP($B285,Pitchers!$A1:$S251,5,FALSE)</f>
        <v>4.0729696544465881</v>
      </c>
      <c r="AE285" s="33">
        <f>VLOOKUP($B285,Pitchers!$A1:$S251,6,FALSE)</f>
        <v>1.179377469282749</v>
      </c>
      <c r="AF285" s="31">
        <f>VLOOKUP($B285,Pitchers!$A1:$S251,7,FALSE)</f>
        <v>114.75916666666667</v>
      </c>
      <c r="AG285" s="31">
        <f>VLOOKUP($B285,Pitchers!$A1:$S251,8,FALSE)</f>
        <v>7.5945833333333335</v>
      </c>
      <c r="AH285" s="31">
        <f>VLOOKUP($B285,Pitchers!$A1:$S251,9,FALSE)</f>
        <v>0</v>
      </c>
      <c r="AI285" s="31">
        <f>VLOOKUP($B285,Pitchers!$A1:$S251,10,FALSE)</f>
        <v>60.199999999999996</v>
      </c>
      <c r="AJ285" s="31">
        <f>VLOOKUP($B285,Pitchers!$A1:$S251,11,FALSE)</f>
        <v>122.39999999999999</v>
      </c>
      <c r="AK285" s="31">
        <f>VLOOKUP($B285,Pitchers!$A1:$S251,12,FALSE)</f>
        <v>34.484722222222224</v>
      </c>
      <c r="AL285" s="31">
        <f>VLOOKUP($B285,Pitchers!$A1:$S251,13,FALSE)</f>
        <v>20.166666666666668</v>
      </c>
      <c r="AM285" s="31">
        <f>VLOOKUP($B285,Pitchers!$A1:$S251,14,FALSE)</f>
        <v>33.902499999999996</v>
      </c>
      <c r="AN285" s="31">
        <f>VLOOKUP($B285,Pitchers!$A1:$S251,15,FALSE)</f>
        <v>22.999166666666667</v>
      </c>
      <c r="AO285" s="31">
        <f>VLOOKUP($B285,Pitchers!$A1:$S251,16,FALSE)</f>
        <v>7.4238888888888894</v>
      </c>
      <c r="AP285" s="31">
        <f>VLOOKUP($B285,Pitchers!$A1:$S251,17,FALSE)</f>
        <v>15.75</v>
      </c>
      <c r="AQ285" s="31">
        <f>VLOOKUP($B285,Pitchers!$A1:$S251,18,FALSE)</f>
        <v>3.5</v>
      </c>
      <c r="AR285" s="31">
        <f>VLOOKUP($B285,Pitchers!$A1:$S251,19,FALSE)</f>
        <v>0</v>
      </c>
    </row>
    <row r="286" spans="1:44" ht="18.600000000000001" customHeight="1">
      <c r="A286" s="25">
        <f ca="1">RANK(I286,I$2:I$651)</f>
        <v>285</v>
      </c>
      <c r="B286" s="26" t="s">
        <v>375</v>
      </c>
      <c r="C286" s="27" t="s">
        <v>217</v>
      </c>
      <c r="D286" s="27" t="s">
        <v>74</v>
      </c>
      <c r="E286" s="36" t="s">
        <v>31</v>
      </c>
      <c r="F286" s="37">
        <f ca="1">VLOOKUP(B286,SP!A1:I161,IF(Settings!$J$13="points",4,7),FALSE)</f>
        <v>82</v>
      </c>
      <c r="G286" s="30">
        <f>(AC286*Settings!$F$2)+(AF286*Settings!$F$5)+(AG286*Settings!$F$6)+(AH286*Settings!$F$7)+(AI286*Settings!$F$8)+(AJ286*Settings!$F$9)+(AK286*Settings!$F$10)+(AL286*Settings!$F$11)+(AM286*Settings!$F$12)+(AN286*Settings!$F$13)+(AO286*Settings!$F$14)+(AP286*Settings!$F$15)+(AQ286*Settings!$F$16)+(AR286*Settings!$F$17)</f>
        <v>332.28324444444445</v>
      </c>
      <c r="H286" s="31">
        <f>VLOOKUP(B286,'Standard Deviations'!$A1:$D651,4,FALSE)</f>
        <v>-0.42108042920378974</v>
      </c>
      <c r="I286" s="32">
        <f ca="1">IF(Settings!$J$16="no",VLOOKUP(B286,SP!A1:I161,IF(Settings!$J$13="points",6,9),FALSE),VLOOKUP(B286,'SP+RP'!$A1:$I251,IF(Settings!$J$13="points",6,9),FALSE))</f>
        <v>0.44650230828775084</v>
      </c>
      <c r="J286" s="31"/>
      <c r="K286" s="31">
        <f ca="1">J286-A286</f>
        <v>-285</v>
      </c>
      <c r="L286" s="31"/>
      <c r="M286" s="31"/>
      <c r="N286" s="31"/>
      <c r="O286" s="31"/>
      <c r="P286" s="31"/>
      <c r="Q286" s="31"/>
      <c r="R286" s="152"/>
      <c r="S286" s="152"/>
      <c r="T286" s="154"/>
      <c r="U286" s="154"/>
      <c r="V286" s="154"/>
      <c r="W286" s="154"/>
      <c r="X286" s="154"/>
      <c r="Y286" s="152"/>
      <c r="Z286" s="152"/>
      <c r="AA286" s="31"/>
      <c r="AB286" s="31"/>
      <c r="AC286" s="31">
        <f>VLOOKUP($B286,Pitchers!$A1:$S251,4,FALSE)</f>
        <v>157.98222222222222</v>
      </c>
      <c r="AD286" s="33">
        <f>VLOOKUP($B286,Pitchers!$A1:$S251,5,FALSE)</f>
        <v>4.1424648342992176</v>
      </c>
      <c r="AE286" s="33">
        <f>VLOOKUP($B286,Pitchers!$A1:$S251,6,FALSE)</f>
        <v>1.272787374106791</v>
      </c>
      <c r="AF286" s="31">
        <f>VLOOKUP($B286,Pitchers!$A1:$S251,7,FALSE)</f>
        <v>151.00555555555556</v>
      </c>
      <c r="AG286" s="31">
        <f>VLOOKUP($B286,Pitchers!$A1:$S251,8,FALSE)</f>
        <v>9.0022222222222226</v>
      </c>
      <c r="AH286" s="31">
        <f>VLOOKUP($B286,Pitchers!$A1:$S251,9,FALSE)</f>
        <v>0</v>
      </c>
      <c r="AI286" s="31">
        <f>VLOOKUP($B286,Pitchers!$A1:$S251,10,FALSE)</f>
        <v>72.715088888888886</v>
      </c>
      <c r="AJ286" s="31">
        <f>VLOOKUP($B286,Pitchers!$A1:$S251,11,FALSE)</f>
        <v>156.05222222222221</v>
      </c>
      <c r="AK286" s="31">
        <f>VLOOKUP($B286,Pitchers!$A1:$S251,12,FALSE)</f>
        <v>45.025555555555549</v>
      </c>
      <c r="AL286" s="31">
        <f>VLOOKUP($B286,Pitchers!$A1:$S251,13,FALSE)</f>
        <v>22.033333333333331</v>
      </c>
      <c r="AM286" s="31">
        <f>VLOOKUP($B286,Pitchers!$A1:$S251,14,FALSE)</f>
        <v>28.364444444444445</v>
      </c>
      <c r="AN286" s="31">
        <f>VLOOKUP($B286,Pitchers!$A1:$S251,15,FALSE)</f>
        <v>28.353333333333335</v>
      </c>
      <c r="AO286" s="31">
        <f>VLOOKUP($B286,Pitchers!$A1:$S251,16,FALSE)</f>
        <v>9.0777777777777775</v>
      </c>
      <c r="AP286" s="31">
        <f>VLOOKUP($B286,Pitchers!$A1:$S251,17,FALSE)</f>
        <v>13</v>
      </c>
      <c r="AQ286" s="31">
        <f>VLOOKUP($B286,Pitchers!$A1:$S251,18,FALSE)</f>
        <v>0</v>
      </c>
      <c r="AR286" s="31">
        <f>VLOOKUP($B286,Pitchers!$A1:$S251,19,FALSE)</f>
        <v>0</v>
      </c>
    </row>
    <row r="287" spans="1:44" ht="18.600000000000001" customHeight="1">
      <c r="A287" s="25">
        <f ca="1">RANK(I287,I$2:I$651)</f>
        <v>286</v>
      </c>
      <c r="B287" s="26" t="s">
        <v>280</v>
      </c>
      <c r="C287" s="27" t="s">
        <v>95</v>
      </c>
      <c r="D287" s="27" t="s">
        <v>74</v>
      </c>
      <c r="E287" s="28" t="s">
        <v>23</v>
      </c>
      <c r="F287" s="29">
        <f ca="1">VLOOKUP(B287,OF!A1:I139,IF(Settings!$J$13="points",4,7),FALSE)</f>
        <v>67</v>
      </c>
      <c r="G287" s="30">
        <f>(M287*Settings!$B$2)+(N287*Settings!$B$3)+(O287*Settings!$B$4)+(P287*Settings!$B$5)+(Q287*Settings!$B$6)+((T287-U287-V287-O287)*Settings!$B$9)+(U287*Settings!$B$10)+(V287*Settings!$B$11)+(W287*Settings!$B$12)+(X287*Settings!$B$13)+(AA287*Settings!$B$16)</f>
        <v>305.54555555555561</v>
      </c>
      <c r="H287" s="31">
        <f>VLOOKUP(B287,'Standard Deviations'!$A1:$D651,4,FALSE)</f>
        <v>0.27634525583910352</v>
      </c>
      <c r="I287" s="32">
        <f ca="1">VLOOKUP(B287,OF!A1:I139,IF(Settings!$J$13="points",6,9),FALSE)</f>
        <v>0.4332800976645777</v>
      </c>
      <c r="J287" s="31"/>
      <c r="K287" s="31">
        <f ca="1">J287-A287</f>
        <v>-286</v>
      </c>
      <c r="L287" s="31"/>
      <c r="M287" s="31">
        <f>VLOOKUP($B287,Hitters!$A1:$R401,4,FALSE)</f>
        <v>446.7833333333333</v>
      </c>
      <c r="N287" s="31">
        <f>VLOOKUP($B287,Hitters!$A1:$R401,5,FALSE)</f>
        <v>64.486666666666665</v>
      </c>
      <c r="O287" s="31">
        <f>VLOOKUP($B287,Hitters!$A1:$R401,6,FALSE)</f>
        <v>13.026666666666666</v>
      </c>
      <c r="P287" s="31">
        <f>VLOOKUP($B287,Hitters!$A1:$R401,7,FALSE)</f>
        <v>55.352222222222224</v>
      </c>
      <c r="Q287" s="31">
        <f>VLOOKUP($B287,Hitters!$A1:$R401,8,FALSE)</f>
        <v>5.3711111111111114</v>
      </c>
      <c r="R287" s="152">
        <f>VLOOKUP($B287,Hitters!$A$1:$R$401,14,FALSE)</f>
        <v>0.24264930801656287</v>
      </c>
      <c r="S287" s="152">
        <f>VLOOKUP($B287,Hitters!$A$1:$R$401,15,FALSE)</f>
        <v>0.33429147022650751</v>
      </c>
      <c r="T287" s="154">
        <f>VLOOKUP($B287,Hitters!$A$1:$R$401,9,FALSE)</f>
        <v>108.41166666666668</v>
      </c>
      <c r="U287" s="154">
        <f>VLOOKUP($B287,Hitters!$A$1:$R$401,10,FALSE)</f>
        <v>21.045000000000002</v>
      </c>
      <c r="V287" s="154">
        <f>VLOOKUP($B287,Hitters!$A$1:$R$401,11,FALSE)</f>
        <v>1.9922222222222221</v>
      </c>
      <c r="W287" s="154">
        <f>VLOOKUP($B287,Hitters!$A$1:$R$401,12,FALSE)</f>
        <v>54.822222222222223</v>
      </c>
      <c r="X287" s="154">
        <f>VLOOKUP($B287,Hitters!$A$1:$R$401,13,FALSE)</f>
        <v>104.75777777777778</v>
      </c>
      <c r="Y287" s="152">
        <f>VLOOKUP($B287,Hitters!$A$1:$R$401,16,FALSE)</f>
        <v>0.38614043595578273</v>
      </c>
      <c r="Z287" s="152">
        <f>VLOOKUP($B287,Hitters!$A$1:$R$401,17,FALSE)</f>
        <v>0.72043190618229025</v>
      </c>
      <c r="AA287" s="31">
        <f>VLOOKUP($B287,Hitters!$A1:$R401,18,FALSE)</f>
        <v>0</v>
      </c>
      <c r="AB287" s="31"/>
      <c r="AC287" s="31"/>
      <c r="AD287" s="33"/>
      <c r="AE287" s="33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</row>
    <row r="288" spans="1:44" ht="18.600000000000001" customHeight="1">
      <c r="A288" s="25">
        <f ca="1">RANK(I288,I$2:I$651)</f>
        <v>287</v>
      </c>
      <c r="B288" s="26" t="s">
        <v>317</v>
      </c>
      <c r="C288" s="27" t="s">
        <v>134</v>
      </c>
      <c r="D288" s="27" t="s">
        <v>74</v>
      </c>
      <c r="E288" s="28" t="s">
        <v>23</v>
      </c>
      <c r="F288" s="29">
        <f ca="1">VLOOKUP(B288,OF!A1:I139,IF(Settings!$J$13="points",4,7),FALSE)</f>
        <v>68</v>
      </c>
      <c r="G288" s="30">
        <f>(M288*Settings!$B$2)+(N288*Settings!$B$3)+(O288*Settings!$B$4)+(P288*Settings!$B$5)+(Q288*Settings!$B$6)+((T288-U288-V288-O288)*Settings!$B$9)+(U288*Settings!$B$10)+(V288*Settings!$B$11)+(W288*Settings!$B$12)+(X288*Settings!$B$13)+(AA288*Settings!$B$16)</f>
        <v>259.92416666666662</v>
      </c>
      <c r="H288" s="31">
        <f>VLOOKUP(B288,'Standard Deviations'!$A1:$D651,4,FALSE)</f>
        <v>0.27284880366360664</v>
      </c>
      <c r="I288" s="32">
        <f ca="1">VLOOKUP(B288,OF!A1:I139,IF(Settings!$J$13="points",6,9),FALSE)</f>
        <v>0.42978353230316391</v>
      </c>
      <c r="J288" s="31"/>
      <c r="K288" s="31">
        <f ca="1">J288-A288</f>
        <v>-287</v>
      </c>
      <c r="L288" s="31"/>
      <c r="M288" s="31">
        <f>VLOOKUP($B288,Hitters!$A1:$R401,4,FALSE)</f>
        <v>417.15000000000003</v>
      </c>
      <c r="N288" s="31">
        <f>VLOOKUP($B288,Hitters!$A1:$R401,5,FALSE)</f>
        <v>50.451666666666675</v>
      </c>
      <c r="O288" s="31">
        <f>VLOOKUP($B288,Hitters!$A1:$R401,6,FALSE)</f>
        <v>13.358333333333333</v>
      </c>
      <c r="P288" s="31">
        <f>VLOOKUP($B288,Hitters!$A1:$R401,7,FALSE)</f>
        <v>52.092500000000001</v>
      </c>
      <c r="Q288" s="31">
        <f>VLOOKUP($B288,Hitters!$A1:$R401,8,FALSE)</f>
        <v>4.9683333333333328</v>
      </c>
      <c r="R288" s="152">
        <f>VLOOKUP($B288,Hitters!$A$1:$R$401,14,FALSE)</f>
        <v>0.25801869830996038</v>
      </c>
      <c r="S288" s="152">
        <f>VLOOKUP($B288,Hitters!$A$1:$R$401,15,FALSE)</f>
        <v>0.31549317157813073</v>
      </c>
      <c r="T288" s="154">
        <f>VLOOKUP($B288,Hitters!$A$1:$R$401,9,FALSE)</f>
        <v>107.63249999999999</v>
      </c>
      <c r="U288" s="154">
        <f>VLOOKUP($B288,Hitters!$A$1:$R$401,10,FALSE)</f>
        <v>21.510833333333334</v>
      </c>
      <c r="V288" s="154">
        <f>VLOOKUP($B288,Hitters!$A$1:$R$401,11,FALSE)</f>
        <v>1.8</v>
      </c>
      <c r="W288" s="154">
        <f>VLOOKUP($B288,Hitters!$A$1:$R$401,12,FALSE)</f>
        <v>28.442499999999999</v>
      </c>
      <c r="X288" s="154">
        <f>VLOOKUP($B288,Hitters!$A$1:$R$401,13,FALSE)</f>
        <v>107.63499999999999</v>
      </c>
      <c r="Y288" s="152">
        <f>VLOOKUP($B288,Hitters!$A$1:$R$401,16,FALSE)</f>
        <v>0.414283431219785</v>
      </c>
      <c r="Z288" s="152">
        <f>VLOOKUP($B288,Hitters!$A$1:$R$401,17,FALSE)</f>
        <v>0.72977660279791579</v>
      </c>
      <c r="AA288" s="31">
        <f>VLOOKUP($B288,Hitters!$A1:$R401,18,FALSE)</f>
        <v>0</v>
      </c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</row>
    <row r="289" spans="1:44" ht="20.100000000000001" customHeight="1">
      <c r="A289" s="25">
        <f ca="1">RANK(I289,I$2:I$651)</f>
        <v>288</v>
      </c>
      <c r="B289" s="26" t="s">
        <v>370</v>
      </c>
      <c r="C289" s="27" t="s">
        <v>156</v>
      </c>
      <c r="D289" s="27" t="s">
        <v>69</v>
      </c>
      <c r="E289" s="28" t="s">
        <v>23</v>
      </c>
      <c r="F289" s="29">
        <f ca="1">VLOOKUP(B289,OF!A1:I139,IF(Settings!$J$13="points",4,7),FALSE)</f>
        <v>69</v>
      </c>
      <c r="G289" s="30">
        <f>(M289*Settings!$B$2)+(N289*Settings!$B$3)+(O289*Settings!$B$4)+(P289*Settings!$B$5)+(Q289*Settings!$B$6)+((T289-U289-V289-O289)*Settings!$B$9)+(U289*Settings!$B$10)+(V289*Settings!$B$11)+(W289*Settings!$B$12)+(X289*Settings!$B$13)+(AA289*Settings!$B$16)</f>
        <v>315.92500000000007</v>
      </c>
      <c r="H289" s="31">
        <f>VLOOKUP(B289,'Standard Deviations'!$A1:$D651,4,FALSE)</f>
        <v>0.2611793587465383</v>
      </c>
      <c r="I289" s="32">
        <f ca="1">VLOOKUP(B289,OF!A1:I139,IF(Settings!$J$13="points",6,9),FALSE)</f>
        <v>0.41811408064993677</v>
      </c>
      <c r="J289" s="31"/>
      <c r="K289" s="31">
        <f ca="1">J289-A289</f>
        <v>-288</v>
      </c>
      <c r="L289" s="31"/>
      <c r="M289" s="31">
        <f>VLOOKUP($B289,Hitters!$A1:$R401,4,FALSE)</f>
        <v>436.82222222222225</v>
      </c>
      <c r="N289" s="31">
        <f>VLOOKUP($B289,Hitters!$A1:$R401,5,FALSE)</f>
        <v>59.96</v>
      </c>
      <c r="O289" s="31">
        <f>VLOOKUP($B289,Hitters!$A1:$R401,6,FALSE)</f>
        <v>15.985555555555555</v>
      </c>
      <c r="P289" s="31">
        <f>VLOOKUP($B289,Hitters!$A1:$R401,7,FALSE)</f>
        <v>57.118333333333332</v>
      </c>
      <c r="Q289" s="31">
        <f>VLOOKUP($B289,Hitters!$A1:$R401,8,FALSE)</f>
        <v>5.746666666666667</v>
      </c>
      <c r="R289" s="152">
        <f>VLOOKUP($B289,Hitters!$A$1:$R$401,14,FALSE)</f>
        <v>0.23663326041613675</v>
      </c>
      <c r="S289" s="152">
        <f>VLOOKUP($B289,Hitters!$A$1:$R$401,15,FALSE)</f>
        <v>0.32719615034823951</v>
      </c>
      <c r="T289" s="154">
        <f>VLOOKUP($B289,Hitters!$A$1:$R$401,9,FALSE)</f>
        <v>103.36666666666667</v>
      </c>
      <c r="U289" s="154">
        <f>VLOOKUP($B289,Hitters!$A$1:$R$401,10,FALSE)</f>
        <v>22.597777777777779</v>
      </c>
      <c r="V289" s="154">
        <f>VLOOKUP($B289,Hitters!$A$1:$R$401,11,FALSE)</f>
        <v>1.9955555555555555</v>
      </c>
      <c r="W289" s="154">
        <f>VLOOKUP($B289,Hitters!$A$1:$R$401,12,FALSE)</f>
        <v>52.126666666666665</v>
      </c>
      <c r="X289" s="154">
        <f>VLOOKUP($B289,Hitters!$A$1:$R$401,13,FALSE)</f>
        <v>85.371111111111119</v>
      </c>
      <c r="Y289" s="152">
        <f>VLOOKUP($B289,Hitters!$A$1:$R$401,16,FALSE)</f>
        <v>0.40728748028692069</v>
      </c>
      <c r="Z289" s="152">
        <f>VLOOKUP($B289,Hitters!$A$1:$R$401,17,FALSE)</f>
        <v>0.7344836306351602</v>
      </c>
      <c r="AA289" s="31">
        <f>VLOOKUP($B289,Hitters!$A1:$R401,18,FALSE)</f>
        <v>0</v>
      </c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</row>
    <row r="290" spans="1:44" ht="18.600000000000001" customHeight="1">
      <c r="A290" s="25">
        <f ca="1">RANK(I290,I$2:I$651)</f>
        <v>289</v>
      </c>
      <c r="B290" s="26" t="s">
        <v>285</v>
      </c>
      <c r="C290" s="27" t="s">
        <v>91</v>
      </c>
      <c r="D290" s="27" t="s">
        <v>74</v>
      </c>
      <c r="E290" s="34" t="s">
        <v>15</v>
      </c>
      <c r="F290" s="35">
        <f ca="1">VLOOKUP(B290,'3B'!A1:I55,IF(Settings!$J$13="points",4,7),FALSE)</f>
        <v>22</v>
      </c>
      <c r="G290" s="30">
        <f>(M290*Settings!$B$2)+(N290*Settings!$B$3)+(O290*Settings!$B$4)+(P290*Settings!$B$5)+(Q290*Settings!$B$6)+((T290-U290-V290-O290)*Settings!$B$9)+(U290*Settings!$B$10)+(V290*Settings!$B$11)+(W290*Settings!$B$12)+(X290*Settings!$B$13)+(AA290*Settings!$B$16)</f>
        <v>291.60300000000001</v>
      </c>
      <c r="H290" s="31">
        <f>VLOOKUP(B290,'Standard Deviations'!$A1:$D651,4,FALSE)</f>
        <v>0.62212804510937847</v>
      </c>
      <c r="I290" s="32">
        <f ca="1">IF(Settings!$J$15="no",VLOOKUP(B290,'3B'!A1:I55,IF(Settings!$J$13="points",6,9),FALSE),VLOOKUP(B290,'1B+3B'!$A1:$I104,IF(Settings!$J$13="points",6,9),FALSE))</f>
        <v>0.39664407860628836</v>
      </c>
      <c r="J290" s="31"/>
      <c r="K290" s="31">
        <f ca="1">J290-A290</f>
        <v>-289</v>
      </c>
      <c r="L290" s="31"/>
      <c r="M290" s="31">
        <f>VLOOKUP($B290,Hitters!$A1:$R401,4,FALSE)</f>
        <v>441.40333333333325</v>
      </c>
      <c r="N290" s="31">
        <f>VLOOKUP($B290,Hitters!$A1:$R401,5,FALSE)</f>
        <v>57.021000000000008</v>
      </c>
      <c r="O290" s="31">
        <f>VLOOKUP($B290,Hitters!$A1:$R401,6,FALSE)</f>
        <v>11.537999999999998</v>
      </c>
      <c r="P290" s="31">
        <f>VLOOKUP($B290,Hitters!$A1:$R401,7,FALSE)</f>
        <v>50.593333333333334</v>
      </c>
      <c r="Q290" s="31">
        <f>VLOOKUP($B290,Hitters!$A1:$R401,8,FALSE)</f>
        <v>11.451333333333332</v>
      </c>
      <c r="R290" s="152">
        <f>VLOOKUP($B290,Hitters!$A$1:$R$401,14,FALSE)</f>
        <v>0.24694950196721066</v>
      </c>
      <c r="S290" s="152">
        <f>VLOOKUP($B290,Hitters!$A$1:$R$401,15,FALSE)</f>
        <v>0.3201137742783432</v>
      </c>
      <c r="T290" s="154">
        <f>VLOOKUP($B290,Hitters!$A$1:$R$401,9,FALSE)</f>
        <v>109.00433333333332</v>
      </c>
      <c r="U290" s="154">
        <f>VLOOKUP($B290,Hitters!$A$1:$R$401,10,FALSE)</f>
        <v>21.346999999999998</v>
      </c>
      <c r="V290" s="154">
        <f>VLOOKUP($B290,Hitters!$A$1:$R$401,11,FALSE)</f>
        <v>2.9953333333333334</v>
      </c>
      <c r="W290" s="154">
        <f>VLOOKUP($B290,Hitters!$A$1:$R$401,12,FALSE)</f>
        <v>40.622</v>
      </c>
      <c r="X290" s="154">
        <f>VLOOKUP($B290,Hitters!$A$1:$R$401,13,FALSE)</f>
        <v>100.98399999999999</v>
      </c>
      <c r="Y290" s="152">
        <f>VLOOKUP($B290,Hitters!$A$1:$R$401,16,FALSE)</f>
        <v>0.38730110783032906</v>
      </c>
      <c r="Z290" s="152">
        <f>VLOOKUP($B290,Hitters!$A$1:$R$401,17,FALSE)</f>
        <v>0.70741488210867232</v>
      </c>
      <c r="AA290" s="31">
        <f>VLOOKUP($B290,Hitters!$A1:$R401,18,FALSE)</f>
        <v>0</v>
      </c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</row>
    <row r="291" spans="1:44" ht="18.600000000000001" customHeight="1">
      <c r="A291" s="25">
        <f ca="1">RANK(I291,I$2:I$651)</f>
        <v>290</v>
      </c>
      <c r="B291" s="26" t="s">
        <v>524</v>
      </c>
      <c r="C291" s="27" t="s">
        <v>63</v>
      </c>
      <c r="D291" s="27" t="s">
        <v>74</v>
      </c>
      <c r="E291" s="36" t="s">
        <v>31</v>
      </c>
      <c r="F291" s="37">
        <f ca="1">VLOOKUP(B291,SP!A1:I161,IF(Settings!$J$13="points",4,7),FALSE)</f>
        <v>83</v>
      </c>
      <c r="G291" s="30">
        <f>(AC291*Settings!$F$2)+(AF291*Settings!$F$5)+(AG291*Settings!$F$6)+(AH291*Settings!$F$7)+(AI291*Settings!$F$8)+(AJ291*Settings!$F$9)+(AK291*Settings!$F$10)+(AL291*Settings!$F$11)+(AM291*Settings!$F$12)+(AN291*Settings!$F$13)+(AO291*Settings!$F$14)+(AP291*Settings!$F$15)+(AQ291*Settings!$F$16)+(AR291*Settings!$F$17)</f>
        <v>255.06666666666675</v>
      </c>
      <c r="H291" s="31">
        <f>VLOOKUP(B291,'Standard Deviations'!$A1:$D651,4,FALSE)</f>
        <v>-0.48896418230794125</v>
      </c>
      <c r="I291" s="32">
        <f ca="1">IF(Settings!$J$16="no",VLOOKUP(B291,SP!A1:I161,IF(Settings!$J$13="points",6,9),FALSE),VLOOKUP(B291,'SP+RP'!$A1:$I251,IF(Settings!$J$13="points",6,9),FALSE))</f>
        <v>0.37861483597376194</v>
      </c>
      <c r="J291" s="31"/>
      <c r="K291" s="31">
        <f ca="1">J291-A291</f>
        <v>-290</v>
      </c>
      <c r="L291" s="31"/>
      <c r="M291" s="31"/>
      <c r="N291" s="31"/>
      <c r="O291" s="31"/>
      <c r="P291" s="31"/>
      <c r="Q291" s="31"/>
      <c r="R291" s="152"/>
      <c r="S291" s="152"/>
      <c r="T291" s="154"/>
      <c r="U291" s="154"/>
      <c r="V291" s="154"/>
      <c r="W291" s="154"/>
      <c r="X291" s="154"/>
      <c r="Y291" s="152"/>
      <c r="Z291" s="152"/>
      <c r="AA291" s="31"/>
      <c r="AB291" s="31"/>
      <c r="AC291" s="31">
        <f>VLOOKUP($B291,Pitchers!$A1:$S251,4,FALSE)</f>
        <v>115.06666666666668</v>
      </c>
      <c r="AD291" s="33">
        <f>VLOOKUP($B291,Pitchers!$A1:$S251,5,FALSE)</f>
        <v>3.8381662804171488</v>
      </c>
      <c r="AE291" s="33">
        <f>VLOOKUP($B291,Pitchers!$A1:$S251,6,FALSE)</f>
        <v>1.1965623792970259</v>
      </c>
      <c r="AF291" s="31">
        <f>VLOOKUP($B291,Pitchers!$A1:$S251,7,FALSE)</f>
        <v>114.33333333333333</v>
      </c>
      <c r="AG291" s="31">
        <f>VLOOKUP($B291,Pitchers!$A1:$S251,8,FALSE)</f>
        <v>5.9044444444444437</v>
      </c>
      <c r="AH291" s="31">
        <f>VLOOKUP($B291,Pitchers!$A1:$S251,9,FALSE)</f>
        <v>0.60777777777777775</v>
      </c>
      <c r="AI291" s="31">
        <f>VLOOKUP($B291,Pitchers!$A1:$S251,10,FALSE)</f>
        <v>49.071666666666665</v>
      </c>
      <c r="AJ291" s="31">
        <f>VLOOKUP($B291,Pitchers!$A1:$S251,11,FALSE)</f>
        <v>101.52422222222224</v>
      </c>
      <c r="AK291" s="31">
        <f>VLOOKUP($B291,Pitchers!$A1:$S251,12,FALSE)</f>
        <v>36.160222222222224</v>
      </c>
      <c r="AL291" s="31">
        <f>VLOOKUP($B291,Pitchers!$A1:$S251,13,FALSE)</f>
        <v>14.776666666666666</v>
      </c>
      <c r="AM291" s="31">
        <f>VLOOKUP($B291,Pitchers!$A1:$S251,14,FALSE)</f>
        <v>45.381333333333338</v>
      </c>
      <c r="AN291" s="31">
        <f>VLOOKUP($B291,Pitchers!$A1:$S251,15,FALSE)</f>
        <v>14.66688888888889</v>
      </c>
      <c r="AO291" s="31">
        <f>VLOOKUP($B291,Pitchers!$A1:$S251,16,FALSE)</f>
        <v>5.9058888888888887</v>
      </c>
      <c r="AP291" s="31">
        <f>VLOOKUP($B291,Pitchers!$A1:$S251,17,FALSE)</f>
        <v>7.8000000000000007</v>
      </c>
      <c r="AQ291" s="31">
        <f>VLOOKUP($B291,Pitchers!$A1:$S251,18,FALSE)</f>
        <v>8.4500000000000011</v>
      </c>
      <c r="AR291" s="31">
        <f>VLOOKUP($B291,Pitchers!$A1:$S251,19,FALSE)</f>
        <v>0</v>
      </c>
    </row>
    <row r="292" spans="1:44" ht="18.600000000000001" customHeight="1">
      <c r="A292" s="25">
        <f ca="1">RANK(I292,I$2:I$651)</f>
        <v>291</v>
      </c>
      <c r="B292" s="26" t="s">
        <v>410</v>
      </c>
      <c r="C292" s="27" t="s">
        <v>95</v>
      </c>
      <c r="D292" s="27" t="s">
        <v>74</v>
      </c>
      <c r="E292" s="36" t="s">
        <v>31</v>
      </c>
      <c r="F292" s="37">
        <f ca="1">VLOOKUP(B292,SP!A1:I161,IF(Settings!$J$13="points",4,7),FALSE)</f>
        <v>84</v>
      </c>
      <c r="G292" s="30">
        <f>(AC292*Settings!$F$2)+(AF292*Settings!$F$5)+(AG292*Settings!$F$6)+(AH292*Settings!$F$7)+(AI292*Settings!$F$8)+(AJ292*Settings!$F$9)+(AK292*Settings!$F$10)+(AL292*Settings!$F$11)+(AM292*Settings!$F$12)+(AN292*Settings!$F$13)+(AO292*Settings!$F$14)+(AP292*Settings!$F$15)+(AQ292*Settings!$F$16)+(AR292*Settings!$F$17)</f>
        <v>208.10055555555553</v>
      </c>
      <c r="H292" s="31">
        <f>VLOOKUP(B292,'Standard Deviations'!$A1:$D651,4,FALSE)</f>
        <v>-0.49534591686564472</v>
      </c>
      <c r="I292" s="32">
        <f ca="1">IF(Settings!$J$16="no",VLOOKUP(B292,SP!A1:I161,IF(Settings!$J$13="points",6,9),FALSE),VLOOKUP(B292,'SP+RP'!$A1:$I251,IF(Settings!$J$13="points",6,9),FALSE))</f>
        <v>0.37223597010158471</v>
      </c>
      <c r="J292" s="31"/>
      <c r="K292" s="31">
        <f ca="1">J292-A292</f>
        <v>-291</v>
      </c>
      <c r="L292" s="31"/>
      <c r="M292" s="31"/>
      <c r="N292" s="31"/>
      <c r="O292" s="31"/>
      <c r="P292" s="31"/>
      <c r="Q292" s="31"/>
      <c r="R292" s="152"/>
      <c r="S292" s="152"/>
      <c r="T292" s="154"/>
      <c r="U292" s="154"/>
      <c r="V292" s="154"/>
      <c r="W292" s="154"/>
      <c r="X292" s="154"/>
      <c r="Y292" s="152"/>
      <c r="Z292" s="152"/>
      <c r="AA292" s="31"/>
      <c r="AB292" s="31"/>
      <c r="AC292" s="31">
        <f>VLOOKUP($B292,Pitchers!$A1:$S251,4,FALSE)</f>
        <v>95.862222222222229</v>
      </c>
      <c r="AD292" s="33">
        <f>VLOOKUP($B292,Pitchers!$A1:$S251,5,FALSE)</f>
        <v>3.5676201956511657</v>
      </c>
      <c r="AE292" s="33">
        <f>VLOOKUP($B292,Pitchers!$A1:$S251,6,FALSE)</f>
        <v>1.2304117019796932</v>
      </c>
      <c r="AF292" s="31">
        <f>VLOOKUP($B292,Pitchers!$A1:$S251,7,FALSE)</f>
        <v>105.14444444444445</v>
      </c>
      <c r="AG292" s="31">
        <f>VLOOKUP($B292,Pitchers!$A1:$S251,8,FALSE)</f>
        <v>6</v>
      </c>
      <c r="AH292" s="31">
        <f>VLOOKUP($B292,Pitchers!$A1:$S251,9,FALSE)</f>
        <v>0</v>
      </c>
      <c r="AI292" s="31">
        <f>VLOOKUP($B292,Pitchers!$A1:$S251,10,FALSE)</f>
        <v>38</v>
      </c>
      <c r="AJ292" s="31">
        <f>VLOOKUP($B292,Pitchers!$A1:$S251,11,FALSE)</f>
        <v>80.466666666666669</v>
      </c>
      <c r="AK292" s="31">
        <f>VLOOKUP($B292,Pitchers!$A1:$S251,12,FALSE)</f>
        <v>37.483333333333341</v>
      </c>
      <c r="AL292" s="31">
        <f>VLOOKUP($B292,Pitchers!$A1:$S251,13,FALSE)</f>
        <v>8.6</v>
      </c>
      <c r="AM292" s="31">
        <f>VLOOKUP($B292,Pitchers!$A1:$S251,14,FALSE)</f>
        <v>37.123333333333335</v>
      </c>
      <c r="AN292" s="31">
        <f>VLOOKUP($B292,Pitchers!$A1:$S251,15,FALSE)</f>
        <v>12.422222222222222</v>
      </c>
      <c r="AO292" s="31">
        <f>VLOOKUP($B292,Pitchers!$A1:$S251,16,FALSE)</f>
        <v>4.8216666666666663</v>
      </c>
      <c r="AP292" s="31">
        <f>VLOOKUP($B292,Pitchers!$A1:$S251,17,FALSE)</f>
        <v>2</v>
      </c>
      <c r="AQ292" s="31">
        <f>VLOOKUP($B292,Pitchers!$A1:$S251,18,FALSE)</f>
        <v>2</v>
      </c>
      <c r="AR292" s="31">
        <f>VLOOKUP($B292,Pitchers!$A1:$S251,19,FALSE)</f>
        <v>0</v>
      </c>
    </row>
    <row r="293" spans="1:44" ht="18.600000000000001" customHeight="1">
      <c r="A293" s="25">
        <f ca="1">RANK(I293,I$2:I$651)</f>
        <v>292</v>
      </c>
      <c r="B293" s="26" t="s">
        <v>407</v>
      </c>
      <c r="C293" s="27" t="s">
        <v>63</v>
      </c>
      <c r="D293" s="27" t="s">
        <v>74</v>
      </c>
      <c r="E293" s="42" t="s">
        <v>34</v>
      </c>
      <c r="F293" s="43">
        <f ca="1">VLOOKUP(B293,RP!A1:I91,IF(Settings!$J$13="points",4,7),FALSE)</f>
        <v>32</v>
      </c>
      <c r="G293" s="30">
        <f>(AC293*Settings!$F$2)+(AF293*Settings!$F$5)+(AG293*Settings!$F$6)+(AH293*Settings!$F$7)+(AI293*Settings!$F$8)+(AJ293*Settings!$F$9)+(AK293*Settings!$F$10)+(AL293*Settings!$F$11)+(AM293*Settings!$F$12)+(AN293*Settings!$F$13)+(AO293*Settings!$F$14)+(AP293*Settings!$F$15)+(AQ293*Settings!$F$16)+(AR293*Settings!$F$17)</f>
        <v>163.01166666666666</v>
      </c>
      <c r="H293" s="31">
        <f>VLOOKUP(B293,'Standard Deviations'!$A1:$D651,4,FALSE)</f>
        <v>-0.5504186468218657</v>
      </c>
      <c r="I293" s="32">
        <f ca="1">IF(Settings!$J$16="no",VLOOKUP(B293,RP!A1:I91,IF(Settings!$J$13="points",6,9),FALSE),VLOOKUP(B293,'SP+RP'!$A1:$I251,IF(Settings!$J$13="points",6,9),FALSE))</f>
        <v>0.31716530955160871</v>
      </c>
      <c r="J293" s="31"/>
      <c r="K293" s="31">
        <f ca="1">J293-A293</f>
        <v>-292</v>
      </c>
      <c r="L293" s="31"/>
      <c r="M293" s="31"/>
      <c r="N293" s="31"/>
      <c r="O293" s="31"/>
      <c r="P293" s="31"/>
      <c r="Q293" s="31"/>
      <c r="R293" s="152"/>
      <c r="S293" s="152"/>
      <c r="T293" s="154"/>
      <c r="U293" s="154"/>
      <c r="V293" s="154"/>
      <c r="W293" s="154"/>
      <c r="X293" s="154"/>
      <c r="Y293" s="152"/>
      <c r="Z293" s="152"/>
      <c r="AA293" s="31"/>
      <c r="AB293" s="31"/>
      <c r="AC293" s="31">
        <f>VLOOKUP($B293,Pitchers!$A1:$S251,4,FALSE)</f>
        <v>63.287777777777769</v>
      </c>
      <c r="AD293" s="33">
        <f>VLOOKUP($B293,Pitchers!$A1:$S251,5,FALSE)</f>
        <v>3.3722151020909785</v>
      </c>
      <c r="AE293" s="33">
        <f>VLOOKUP($B293,Pitchers!$A1:$S251,6,FALSE)</f>
        <v>1.1966502220895734</v>
      </c>
      <c r="AF293" s="31">
        <f>VLOOKUP($B293,Pitchers!$A1:$S251,7,FALSE)</f>
        <v>72.572222222222223</v>
      </c>
      <c r="AG293" s="31">
        <f>VLOOKUP($B293,Pitchers!$A1:$S251,8,FALSE)</f>
        <v>3.9544444444444444</v>
      </c>
      <c r="AH293" s="31">
        <f>VLOOKUP($B293,Pitchers!$A1:$S251,9,FALSE)</f>
        <v>3.1222222222222222</v>
      </c>
      <c r="AI293" s="31">
        <f>VLOOKUP($B293,Pitchers!$A1:$S251,10,FALSE)</f>
        <v>23.713333333333335</v>
      </c>
      <c r="AJ293" s="31">
        <f>VLOOKUP($B293,Pitchers!$A1:$S251,11,FALSE)</f>
        <v>50.363333333333337</v>
      </c>
      <c r="AK293" s="31">
        <f>VLOOKUP($B293,Pitchers!$A1:$S251,12,FALSE)</f>
        <v>25.37</v>
      </c>
      <c r="AL293" s="31">
        <f>VLOOKUP($B293,Pitchers!$A1:$S251,13,FALSE)</f>
        <v>6.5</v>
      </c>
      <c r="AM293" s="31">
        <f>VLOOKUP($B293,Pitchers!$A1:$S251,14,FALSE)</f>
        <v>62.175555555555555</v>
      </c>
      <c r="AN293" s="31">
        <f>VLOOKUP($B293,Pitchers!$A1:$S251,15,FALSE)</f>
        <v>0</v>
      </c>
      <c r="AO293" s="31">
        <f>VLOOKUP($B293,Pitchers!$A1:$S251,16,FALSE)</f>
        <v>2.6455555555555557</v>
      </c>
      <c r="AP293" s="31">
        <f>VLOOKUP($B293,Pitchers!$A1:$S251,17,FALSE)</f>
        <v>0</v>
      </c>
      <c r="AQ293" s="31">
        <f>VLOOKUP($B293,Pitchers!$A1:$S251,18,FALSE)</f>
        <v>16.5</v>
      </c>
      <c r="AR293" s="31">
        <f>VLOOKUP($B293,Pitchers!$A1:$S251,19,FALSE)</f>
        <v>0</v>
      </c>
    </row>
    <row r="294" spans="1:44" ht="18.600000000000001" customHeight="1">
      <c r="A294" s="25">
        <f ca="1">RANK(I294,I$2:I$651)</f>
        <v>293</v>
      </c>
      <c r="B294" s="26" t="s">
        <v>378</v>
      </c>
      <c r="C294" s="27" t="s">
        <v>258</v>
      </c>
      <c r="D294" s="27" t="s">
        <v>69</v>
      </c>
      <c r="E294" s="36" t="s">
        <v>31</v>
      </c>
      <c r="F294" s="37">
        <f ca="1">VLOOKUP(B294,SP!A1:I161,IF(Settings!$J$13="points",4,7),FALSE)</f>
        <v>85</v>
      </c>
      <c r="G294" s="30">
        <f>(AC294*Settings!$F$2)+(AF294*Settings!$F$5)+(AG294*Settings!$F$6)+(AH294*Settings!$F$7)+(AI294*Settings!$F$8)+(AJ294*Settings!$F$9)+(AK294*Settings!$F$10)+(AL294*Settings!$F$11)+(AM294*Settings!$F$12)+(AN294*Settings!$F$13)+(AO294*Settings!$F$14)+(AP294*Settings!$F$15)+(AQ294*Settings!$F$16)+(AR294*Settings!$F$17)</f>
        <v>324.15478888888885</v>
      </c>
      <c r="H294" s="31">
        <f>VLOOKUP(B294,'Standard Deviations'!$A1:$D651,4,FALSE)</f>
        <v>-0.57005835417383444</v>
      </c>
      <c r="I294" s="32">
        <f ca="1">IF(Settings!$J$16="no",VLOOKUP(B294,SP!A1:I161,IF(Settings!$J$13="points",6,9),FALSE),VLOOKUP(B294,'SP+RP'!$A1:$I251,IF(Settings!$J$13="points",6,9),FALSE))</f>
        <v>0.29751737698699576</v>
      </c>
      <c r="J294" s="31"/>
      <c r="K294" s="31">
        <f ca="1">J294-A294</f>
        <v>-293</v>
      </c>
      <c r="L294" s="31"/>
      <c r="M294" s="31"/>
      <c r="N294" s="31"/>
      <c r="O294" s="31"/>
      <c r="P294" s="31"/>
      <c r="Q294" s="31"/>
      <c r="R294" s="152"/>
      <c r="S294" s="152"/>
      <c r="T294" s="154"/>
      <c r="U294" s="154"/>
      <c r="V294" s="154"/>
      <c r="W294" s="154"/>
      <c r="X294" s="154"/>
      <c r="Y294" s="152"/>
      <c r="Z294" s="152"/>
      <c r="AA294" s="31"/>
      <c r="AB294" s="31"/>
      <c r="AC294" s="31">
        <f>VLOOKUP($B294,Pitchers!$A1:$S251,4,FALSE)</f>
        <v>154.77444444444444</v>
      </c>
      <c r="AD294" s="33">
        <f>VLOOKUP($B294,Pitchers!$A1:$S251,5,FALSE)</f>
        <v>4.008119054968879</v>
      </c>
      <c r="AE294" s="33">
        <f>VLOOKUP($B294,Pitchers!$A1:$S251,6,FALSE)</f>
        <v>1.2924470735191711</v>
      </c>
      <c r="AF294" s="31">
        <f>VLOOKUP($B294,Pitchers!$A1:$S251,7,FALSE)</f>
        <v>139.95166666666665</v>
      </c>
      <c r="AG294" s="31">
        <f>VLOOKUP($B294,Pitchers!$A1:$S251,8,FALSE)</f>
        <v>8.99</v>
      </c>
      <c r="AH294" s="31">
        <f>VLOOKUP($B294,Pitchers!$A1:$S251,9,FALSE)</f>
        <v>0</v>
      </c>
      <c r="AI294" s="31">
        <f>VLOOKUP($B294,Pitchers!$A1:$S251,10,FALSE)</f>
        <v>68.928266666666659</v>
      </c>
      <c r="AJ294" s="31">
        <f>VLOOKUP($B294,Pitchers!$A1:$S251,11,FALSE)</f>
        <v>149.82555555555555</v>
      </c>
      <c r="AK294" s="31">
        <f>VLOOKUP($B294,Pitchers!$A1:$S251,12,FALSE)</f>
        <v>50.212222222222216</v>
      </c>
      <c r="AL294" s="31">
        <f>VLOOKUP($B294,Pitchers!$A1:$S251,13,FALSE)</f>
        <v>18.066666666666666</v>
      </c>
      <c r="AM294" s="31">
        <f>VLOOKUP($B294,Pitchers!$A1:$S251,14,FALSE)</f>
        <v>28.153333333333336</v>
      </c>
      <c r="AN294" s="31">
        <f>VLOOKUP($B294,Pitchers!$A1:$S251,15,FALSE)</f>
        <v>27.986666666666668</v>
      </c>
      <c r="AO294" s="31">
        <f>VLOOKUP($B294,Pitchers!$A1:$S251,16,FALSE)</f>
        <v>9.8216666666666672</v>
      </c>
      <c r="AP294" s="31">
        <f>VLOOKUP($B294,Pitchers!$A1:$S251,17,FALSE)</f>
        <v>15</v>
      </c>
      <c r="AQ294" s="31">
        <f>VLOOKUP($B294,Pitchers!$A1:$S251,18,FALSE)</f>
        <v>0</v>
      </c>
      <c r="AR294" s="31">
        <f>VLOOKUP($B294,Pitchers!$A1:$S251,19,FALSE)</f>
        <v>0</v>
      </c>
    </row>
    <row r="295" spans="1:44" ht="18.600000000000001" customHeight="1">
      <c r="A295" s="25">
        <f ca="1">RANK(I295,I$2:I$651)</f>
        <v>294</v>
      </c>
      <c r="B295" s="26" t="s">
        <v>507</v>
      </c>
      <c r="C295" s="27" t="s">
        <v>73</v>
      </c>
      <c r="D295" s="27" t="s">
        <v>74</v>
      </c>
      <c r="E295" s="42" t="s">
        <v>34</v>
      </c>
      <c r="F295" s="43">
        <f ca="1">VLOOKUP(B295,RP!A1:I91,IF(Settings!$J$13="points",4,7),FALSE)</f>
        <v>33</v>
      </c>
      <c r="G295" s="30">
        <f>(AC295*Settings!$F$2)+(AF295*Settings!$F$5)+(AG295*Settings!$F$6)+(AH295*Settings!$F$7)+(AI295*Settings!$F$8)+(AJ295*Settings!$F$9)+(AK295*Settings!$F$10)+(AL295*Settings!$F$11)+(AM295*Settings!$F$12)+(AN295*Settings!$F$13)+(AO295*Settings!$F$14)+(AP295*Settings!$F$15)+(AQ295*Settings!$F$16)+(AR295*Settings!$F$17)</f>
        <v>130.97555555555553</v>
      </c>
      <c r="H295" s="31">
        <f>VLOOKUP(B295,'Standard Deviations'!$A1:$D651,4,FALSE)</f>
        <v>-0.58256284859358187</v>
      </c>
      <c r="I295" s="32">
        <f ca="1">IF(Settings!$J$16="no",VLOOKUP(B295,RP!A1:I91,IF(Settings!$J$13="points",6,9),FALSE),VLOOKUP(B295,'SP+RP'!$A1:$I251,IF(Settings!$J$13="points",6,9),FALSE))</f>
        <v>0.28501945453326039</v>
      </c>
      <c r="J295" s="31"/>
      <c r="K295" s="31">
        <f ca="1">J295-A295</f>
        <v>-294</v>
      </c>
      <c r="L295" s="31"/>
      <c r="M295" s="31"/>
      <c r="N295" s="31"/>
      <c r="O295" s="31"/>
      <c r="P295" s="31"/>
      <c r="Q295" s="31"/>
      <c r="R295" s="152"/>
      <c r="S295" s="152"/>
      <c r="T295" s="154"/>
      <c r="U295" s="154"/>
      <c r="V295" s="154"/>
      <c r="W295" s="154"/>
      <c r="X295" s="154"/>
      <c r="Y295" s="152"/>
      <c r="Z295" s="152"/>
      <c r="AA295" s="31"/>
      <c r="AB295" s="31"/>
      <c r="AC295" s="31">
        <f>VLOOKUP($B295,Pitchers!$A1:$S251,4,FALSE)</f>
        <v>56.193333333333328</v>
      </c>
      <c r="AD295" s="33">
        <f>VLOOKUP($B295,Pitchers!$A1:$S251,5,FALSE)</f>
        <v>3.3799383082216159</v>
      </c>
      <c r="AE295" s="33">
        <f>VLOOKUP($B295,Pitchers!$A1:$S251,6,FALSE)</f>
        <v>1.1342883695179342</v>
      </c>
      <c r="AF295" s="31">
        <f>VLOOKUP($B295,Pitchers!$A1:$S251,7,FALSE)</f>
        <v>61.94222222222222</v>
      </c>
      <c r="AG295" s="31">
        <f>VLOOKUP($B295,Pitchers!$A1:$S251,8,FALSE)</f>
        <v>3.7488888888888887</v>
      </c>
      <c r="AH295" s="31">
        <f>VLOOKUP($B295,Pitchers!$A1:$S251,9,FALSE)</f>
        <v>0</v>
      </c>
      <c r="AI295" s="31">
        <f>VLOOKUP($B295,Pitchers!$A1:$S251,10,FALSE)</f>
        <v>21.103333333333332</v>
      </c>
      <c r="AJ295" s="31">
        <f>VLOOKUP($B295,Pitchers!$A1:$S251,11,FALSE)</f>
        <v>48.80833333333333</v>
      </c>
      <c r="AK295" s="31">
        <f>VLOOKUP($B295,Pitchers!$A1:$S251,12,FALSE)</f>
        <v>14.931111111111113</v>
      </c>
      <c r="AL295" s="31">
        <f>VLOOKUP($B295,Pitchers!$A1:$S251,13,FALSE)</f>
        <v>6.8500000000000005</v>
      </c>
      <c r="AM295" s="31">
        <f>VLOOKUP($B295,Pitchers!$A1:$S251,14,FALSE)</f>
        <v>54.218888888888891</v>
      </c>
      <c r="AN295" s="31">
        <f>VLOOKUP($B295,Pitchers!$A1:$S251,15,FALSE)</f>
        <v>0</v>
      </c>
      <c r="AO295" s="31">
        <f>VLOOKUP($B295,Pitchers!$A1:$S251,16,FALSE)</f>
        <v>1.9950000000000001</v>
      </c>
      <c r="AP295" s="31">
        <f>VLOOKUP($B295,Pitchers!$A1:$S251,17,FALSE)</f>
        <v>0</v>
      </c>
      <c r="AQ295" s="31">
        <f>VLOOKUP($B295,Pitchers!$A1:$S251,18,FALSE)</f>
        <v>11</v>
      </c>
      <c r="AR295" s="31">
        <f>VLOOKUP($B295,Pitchers!$A1:$S251,19,FALSE)</f>
        <v>2</v>
      </c>
    </row>
    <row r="296" spans="1:44" ht="18.600000000000001" customHeight="1">
      <c r="A296" s="25">
        <f ca="1">RANK(I296,I$2:I$651)</f>
        <v>295</v>
      </c>
      <c r="B296" s="26" t="s">
        <v>274</v>
      </c>
      <c r="C296" s="27" t="s">
        <v>78</v>
      </c>
      <c r="D296" s="27" t="s">
        <v>69</v>
      </c>
      <c r="E296" s="36" t="s">
        <v>31</v>
      </c>
      <c r="F296" s="37">
        <f ca="1">VLOOKUP(B296,SP!A1:I161,IF(Settings!$J$13="points",4,7),FALSE)</f>
        <v>86</v>
      </c>
      <c r="G296" s="30">
        <f>(AC296*Settings!$F$2)+(AF296*Settings!$F$5)+(AG296*Settings!$F$6)+(AH296*Settings!$F$7)+(AI296*Settings!$F$8)+(AJ296*Settings!$F$9)+(AK296*Settings!$F$10)+(AL296*Settings!$F$11)+(AM296*Settings!$F$12)+(AN296*Settings!$F$13)+(AO296*Settings!$F$14)+(AP296*Settings!$F$15)+(AQ296*Settings!$F$16)+(AR296*Settings!$F$17)</f>
        <v>238.64708333333337</v>
      </c>
      <c r="H296" s="31">
        <f>VLOOKUP(B296,'Standard Deviations'!$A1:$D651,4,FALSE)</f>
        <v>-0.58744158865874663</v>
      </c>
      <c r="I296" s="32">
        <f ca="1">IF(Settings!$J$16="no",VLOOKUP(B296,SP!A1:I161,IF(Settings!$J$13="points",6,9),FALSE),VLOOKUP(B296,'SP+RP'!$A1:$I251,IF(Settings!$J$13="points",6,9),FALSE))</f>
        <v>0.28014187517429323</v>
      </c>
      <c r="J296" s="31"/>
      <c r="K296" s="31">
        <f ca="1">J296-A296</f>
        <v>-295</v>
      </c>
      <c r="L296" s="31"/>
      <c r="M296" s="31"/>
      <c r="N296" s="31"/>
      <c r="O296" s="31"/>
      <c r="P296" s="31"/>
      <c r="Q296" s="31"/>
      <c r="R296" s="152"/>
      <c r="S296" s="152"/>
      <c r="T296" s="154"/>
      <c r="U296" s="154"/>
      <c r="V296" s="154"/>
      <c r="W296" s="154"/>
      <c r="X296" s="154"/>
      <c r="Y296" s="152"/>
      <c r="Z296" s="152"/>
      <c r="AA296" s="31"/>
      <c r="AB296" s="31"/>
      <c r="AC296" s="31">
        <f>VLOOKUP($B296,Pitchers!$A1:$S251,4,FALSE)</f>
        <v>107.74916666666667</v>
      </c>
      <c r="AD296" s="33">
        <f>VLOOKUP($B296,Pitchers!$A1:$S251,5,FALSE)</f>
        <v>3.6042042088492559</v>
      </c>
      <c r="AE296" s="33">
        <f>VLOOKUP($B296,Pitchers!$A1:$S251,6,FALSE)</f>
        <v>1.2745651551829482</v>
      </c>
      <c r="AF296" s="31">
        <f>VLOOKUP($B296,Pitchers!$A1:$S251,7,FALSE)</f>
        <v>113.23333333333333</v>
      </c>
      <c r="AG296" s="31">
        <f>VLOOKUP($B296,Pitchers!$A1:$S251,8,FALSE)</f>
        <v>7.0487499999999992</v>
      </c>
      <c r="AH296" s="31">
        <f>VLOOKUP($B296,Pitchers!$A1:$S251,9,FALSE)</f>
        <v>0</v>
      </c>
      <c r="AI296" s="31">
        <f>VLOOKUP($B296,Pitchers!$A1:$S251,10,FALSE)</f>
        <v>43.15</v>
      </c>
      <c r="AJ296" s="31">
        <f>VLOOKUP($B296,Pitchers!$A1:$S251,11,FALSE)</f>
        <v>92.566666666666663</v>
      </c>
      <c r="AK296" s="31">
        <f>VLOOKUP($B296,Pitchers!$A1:$S251,12,FALSE)</f>
        <v>44.766666666666673</v>
      </c>
      <c r="AL296" s="31">
        <f>VLOOKUP($B296,Pitchers!$A1:$S251,13,FALSE)</f>
        <v>10.066666666666666</v>
      </c>
      <c r="AM296" s="31">
        <f>VLOOKUP($B296,Pitchers!$A1:$S251,14,FALSE)</f>
        <v>36.484999999999999</v>
      </c>
      <c r="AN296" s="31">
        <f>VLOOKUP($B296,Pitchers!$A1:$S251,15,FALSE)</f>
        <v>14.685</v>
      </c>
      <c r="AO296" s="31">
        <f>VLOOKUP($B296,Pitchers!$A1:$S251,16,FALSE)</f>
        <v>5.0149999999999997</v>
      </c>
      <c r="AP296" s="31">
        <f>VLOOKUP($B296,Pitchers!$A1:$S251,17,FALSE)</f>
        <v>5</v>
      </c>
      <c r="AQ296" s="31">
        <f>VLOOKUP($B296,Pitchers!$A1:$S251,18,FALSE)</f>
        <v>0</v>
      </c>
      <c r="AR296" s="31">
        <f>VLOOKUP($B296,Pitchers!$A1:$S251,19,FALSE)</f>
        <v>0</v>
      </c>
    </row>
    <row r="297" spans="1:44" ht="18.600000000000001" customHeight="1">
      <c r="A297" s="25">
        <f ca="1">RANK(I297,I$2:I$651)</f>
        <v>296</v>
      </c>
      <c r="B297" s="26" t="s">
        <v>557</v>
      </c>
      <c r="C297" s="27" t="s">
        <v>258</v>
      </c>
      <c r="D297" s="27" t="s">
        <v>69</v>
      </c>
      <c r="E297" s="42" t="s">
        <v>34</v>
      </c>
      <c r="F297" s="43">
        <f ca="1">VLOOKUP(B297,RP!A1:I91,IF(Settings!$J$13="points",4,7),FALSE)</f>
        <v>34</v>
      </c>
      <c r="G297" s="30">
        <f>(AC297*Settings!$F$2)+(AF297*Settings!$F$5)+(AG297*Settings!$F$6)+(AH297*Settings!$F$7)+(AI297*Settings!$F$8)+(AJ297*Settings!$F$9)+(AK297*Settings!$F$10)+(AL297*Settings!$F$11)+(AM297*Settings!$F$12)+(AN297*Settings!$F$13)+(AO297*Settings!$F$14)+(AP297*Settings!$F$15)+(AQ297*Settings!$F$16)+(AR297*Settings!$F$17)</f>
        <v>256.95500000000004</v>
      </c>
      <c r="H297" s="31">
        <f>VLOOKUP(B297,'Standard Deviations'!$A1:$D651,4,FALSE)</f>
        <v>-0.58872247456139304</v>
      </c>
      <c r="I297" s="32">
        <f ca="1">IF(Settings!$J$16="no",VLOOKUP(B297,RP!A1:I91,IF(Settings!$J$13="points",6,9),FALSE),VLOOKUP(B297,'SP+RP'!$A1:$I251,IF(Settings!$J$13="points",6,9),FALSE))</f>
        <v>0.27886211355770119</v>
      </c>
      <c r="J297" s="31"/>
      <c r="K297" s="31">
        <f ca="1">J297-A297</f>
        <v>-296</v>
      </c>
      <c r="L297" s="31"/>
      <c r="M297" s="31"/>
      <c r="N297" s="31"/>
      <c r="O297" s="31"/>
      <c r="P297" s="31"/>
      <c r="Q297" s="31"/>
      <c r="R297" s="152"/>
      <c r="S297" s="152"/>
      <c r="T297" s="154"/>
      <c r="U297" s="154"/>
      <c r="V297" s="154"/>
      <c r="W297" s="154"/>
      <c r="X297" s="154"/>
      <c r="Y297" s="152"/>
      <c r="Z297" s="152"/>
      <c r="AA297" s="31"/>
      <c r="AB297" s="31"/>
      <c r="AC297" s="31">
        <f>VLOOKUP($B297,Pitchers!$A1:$S251,4,FALSE)</f>
        <v>63.03</v>
      </c>
      <c r="AD297" s="33">
        <f>VLOOKUP($B297,Pitchers!$A1:$S251,5,FALSE)</f>
        <v>3.7341742027605904</v>
      </c>
      <c r="AE297" s="33">
        <f>VLOOKUP($B297,Pitchers!$A1:$S251,6,FALSE)</f>
        <v>1.2949918028452061</v>
      </c>
      <c r="AF297" s="31">
        <f>VLOOKUP($B297,Pitchers!$A1:$S251,7,FALSE)</f>
        <v>72.103333333333339</v>
      </c>
      <c r="AG297" s="31">
        <f>VLOOKUP($B297,Pitchers!$A1:$S251,8,FALSE)</f>
        <v>3.0150000000000001</v>
      </c>
      <c r="AH297" s="31">
        <f>VLOOKUP($B297,Pitchers!$A1:$S251,9,FALSE)</f>
        <v>19.266666666666666</v>
      </c>
      <c r="AI297" s="31">
        <f>VLOOKUP($B297,Pitchers!$A1:$S251,10,FALSE)</f>
        <v>26.151666666666667</v>
      </c>
      <c r="AJ297" s="31">
        <f>VLOOKUP($B297,Pitchers!$A1:$S251,11,FALSE)</f>
        <v>53.137777777777778</v>
      </c>
      <c r="AK297" s="31">
        <f>VLOOKUP($B297,Pitchers!$A1:$S251,12,FALSE)</f>
        <v>28.485555555555553</v>
      </c>
      <c r="AL297" s="31">
        <f>VLOOKUP($B297,Pitchers!$A1:$S251,13,FALSE)</f>
        <v>5.3</v>
      </c>
      <c r="AM297" s="31">
        <f>VLOOKUP($B297,Pitchers!$A1:$S251,14,FALSE)</f>
        <v>63.56444444444444</v>
      </c>
      <c r="AN297" s="31">
        <f>VLOOKUP($B297,Pitchers!$A1:$S251,15,FALSE)</f>
        <v>0</v>
      </c>
      <c r="AO297" s="31">
        <f>VLOOKUP($B297,Pitchers!$A1:$S251,16,FALSE)</f>
        <v>3.2766666666666668</v>
      </c>
      <c r="AP297" s="31">
        <f>VLOOKUP($B297,Pitchers!$A1:$S251,17,FALSE)</f>
        <v>0</v>
      </c>
      <c r="AQ297" s="31">
        <f>VLOOKUP($B297,Pitchers!$A1:$S251,18,FALSE)</f>
        <v>5.5</v>
      </c>
      <c r="AR297" s="31">
        <f>VLOOKUP($B297,Pitchers!$A1:$S251,19,FALSE)</f>
        <v>7</v>
      </c>
    </row>
    <row r="298" spans="1:44" ht="18.600000000000001" customHeight="1">
      <c r="A298" s="25">
        <f ca="1">RANK(I298,I$2:I$651)</f>
        <v>297</v>
      </c>
      <c r="B298" s="26" t="s">
        <v>751</v>
      </c>
      <c r="C298" s="27" t="s">
        <v>101</v>
      </c>
      <c r="D298" s="27" t="s">
        <v>69</v>
      </c>
      <c r="E298" s="28" t="s">
        <v>23</v>
      </c>
      <c r="F298" s="29">
        <f ca="1">VLOOKUP(B298,OF!A1:I139,IF(Settings!$J$13="points",4,7),FALSE)</f>
        <v>70</v>
      </c>
      <c r="G298" s="30">
        <f>(M298*Settings!$B$2)+(N298*Settings!$B$3)+(O298*Settings!$B$4)+(P298*Settings!$B$5)+(Q298*Settings!$B$6)+((T298-U298-V298-O298)*Settings!$B$9)+(U298*Settings!$B$10)+(V298*Settings!$B$11)+(W298*Settings!$B$12)+(X298*Settings!$B$13)+(AA298*Settings!$B$16)</f>
        <v>249.33166666666665</v>
      </c>
      <c r="H298" s="31">
        <f>VLOOKUP(B298,'Standard Deviations'!$A1:$D651,4,FALSE)</f>
        <v>0.11277477443684614</v>
      </c>
      <c r="I298" s="32">
        <f ca="1">VLOOKUP(B298,OF!A1:I139,IF(Settings!$J$13="points",6,9),FALSE)</f>
        <v>0.26970998394300333</v>
      </c>
      <c r="J298" s="31"/>
      <c r="K298" s="31">
        <f ca="1">J298-A298</f>
        <v>-297</v>
      </c>
      <c r="L298" s="31"/>
      <c r="M298" s="31">
        <f>VLOOKUP($B298,Hitters!$A1:$R401,4,FALSE)</f>
        <v>391.21666666666664</v>
      </c>
      <c r="N298" s="31">
        <f>VLOOKUP($B298,Hitters!$A1:$R401,5,FALSE)</f>
        <v>47.123333333333335</v>
      </c>
      <c r="O298" s="31">
        <f>VLOOKUP($B298,Hitters!$A1:$R401,6,FALSE)</f>
        <v>9.6183333333333341</v>
      </c>
      <c r="P298" s="31">
        <f>VLOOKUP($B298,Hitters!$A1:$R401,7,FALSE)</f>
        <v>48.726666666666667</v>
      </c>
      <c r="Q298" s="31">
        <f>VLOOKUP($B298,Hitters!$A1:$R401,8,FALSE)</f>
        <v>5.8683333333333332</v>
      </c>
      <c r="R298" s="152">
        <f>VLOOKUP($B298,Hitters!$A$1:$R$401,14,FALSE)</f>
        <v>0.2673426205995541</v>
      </c>
      <c r="S298" s="152">
        <f>VLOOKUP($B298,Hitters!$A$1:$R$401,15,FALSE)</f>
        <v>0.31804494237018632</v>
      </c>
      <c r="T298" s="154">
        <f>VLOOKUP($B298,Hitters!$A$1:$R$401,9,FALSE)</f>
        <v>104.58888888888889</v>
      </c>
      <c r="U298" s="154">
        <f>VLOOKUP($B298,Hitters!$A$1:$R$401,10,FALSE)</f>
        <v>21.611111111111111</v>
      </c>
      <c r="V298" s="154">
        <f>VLOOKUP($B298,Hitters!$A$1:$R$401,11,FALSE)</f>
        <v>1.4933333333333334</v>
      </c>
      <c r="W298" s="154">
        <f>VLOOKUP($B298,Hitters!$A$1:$R$401,12,FALSE)</f>
        <v>22.955000000000002</v>
      </c>
      <c r="X298" s="154">
        <f>VLOOKUP($B298,Hitters!$A$1:$R$401,13,FALSE)</f>
        <v>78.50333333333333</v>
      </c>
      <c r="Y298" s="152">
        <f>VLOOKUP($B298,Hitters!$A$1:$R$401,16,FALSE)</f>
        <v>0.40397477953393263</v>
      </c>
      <c r="Z298" s="152">
        <f>VLOOKUP($B298,Hitters!$A$1:$R$401,17,FALSE)</f>
        <v>0.72201972190411889</v>
      </c>
      <c r="AA298" s="31">
        <f>VLOOKUP($B298,Hitters!$A1:$R401,18,FALSE)</f>
        <v>0</v>
      </c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</row>
    <row r="299" spans="1:44" ht="18.600000000000001" customHeight="1">
      <c r="A299" s="25">
        <f ca="1">RANK(I299,I$2:I$651)</f>
        <v>298</v>
      </c>
      <c r="B299" s="26" t="s">
        <v>549</v>
      </c>
      <c r="C299" s="27" t="s">
        <v>223</v>
      </c>
      <c r="D299" s="27" t="s">
        <v>74</v>
      </c>
      <c r="E299" s="36" t="s">
        <v>31</v>
      </c>
      <c r="F299" s="37">
        <f ca="1">VLOOKUP(B299,SP!A1:I161,IF(Settings!$J$13="points",4,7),FALSE)</f>
        <v>87</v>
      </c>
      <c r="G299" s="30">
        <f>(AC299*Settings!$F$2)+(AF299*Settings!$F$5)+(AG299*Settings!$F$6)+(AH299*Settings!$F$7)+(AI299*Settings!$F$8)+(AJ299*Settings!$F$9)+(AK299*Settings!$F$10)+(AL299*Settings!$F$11)+(AM299*Settings!$F$12)+(AN299*Settings!$F$13)+(AO299*Settings!$F$14)+(AP299*Settings!$F$15)+(AQ299*Settings!$F$16)+(AR299*Settings!$F$17)</f>
        <v>346.90611111111104</v>
      </c>
      <c r="H299" s="31">
        <f>VLOOKUP(B299,'Standard Deviations'!$A1:$D651,4,FALSE)</f>
        <v>-0.61450216229058452</v>
      </c>
      <c r="I299" s="32">
        <f ca="1">IF(Settings!$J$16="no",VLOOKUP(B299,SP!A1:I161,IF(Settings!$J$13="points",6,9),FALSE),VLOOKUP(B299,'SP+RP'!$A1:$I251,IF(Settings!$J$13="points",6,9),FALSE))</f>
        <v>0.2530813924258607</v>
      </c>
      <c r="J299" s="31"/>
      <c r="K299" s="31">
        <f ca="1">J299-A299</f>
        <v>-298</v>
      </c>
      <c r="L299" s="31"/>
      <c r="M299" s="31"/>
      <c r="N299" s="31"/>
      <c r="O299" s="31"/>
      <c r="P299" s="31"/>
      <c r="Q299" s="31"/>
      <c r="R299" s="152"/>
      <c r="S299" s="152"/>
      <c r="T299" s="154"/>
      <c r="U299" s="154"/>
      <c r="V299" s="154"/>
      <c r="W299" s="154"/>
      <c r="X299" s="154"/>
      <c r="Y299" s="152"/>
      <c r="Z299" s="152"/>
      <c r="AA299" s="31"/>
      <c r="AB299" s="31"/>
      <c r="AC299" s="31">
        <f>VLOOKUP($B299,Pitchers!$A1:$S251,4,FALSE)</f>
        <v>163.96666666666667</v>
      </c>
      <c r="AD299" s="33">
        <f>VLOOKUP($B299,Pitchers!$A1:$S251,5,FALSE)</f>
        <v>4.2447651961780846</v>
      </c>
      <c r="AE299" s="33">
        <f>VLOOKUP($B299,Pitchers!$A1:$S251,6,FALSE)</f>
        <v>1.3126394253574574</v>
      </c>
      <c r="AF299" s="31">
        <f>VLOOKUP($B299,Pitchers!$A1:$S251,7,FALSE)</f>
        <v>170.66666666666666</v>
      </c>
      <c r="AG299" s="31">
        <f>VLOOKUP($B299,Pitchers!$A1:$S251,8,FALSE)</f>
        <v>9.2056666666666658</v>
      </c>
      <c r="AH299" s="31">
        <f>VLOOKUP($B299,Pitchers!$A1:$S251,9,FALSE)</f>
        <v>0</v>
      </c>
      <c r="AI299" s="31">
        <f>VLOOKUP($B299,Pitchers!$A1:$S251,10,FALSE)</f>
        <v>77.333333333333329</v>
      </c>
      <c r="AJ299" s="31">
        <f>VLOOKUP($B299,Pitchers!$A1:$S251,11,FALSE)</f>
        <v>158.33333333333334</v>
      </c>
      <c r="AK299" s="31">
        <f>VLOOKUP($B299,Pitchers!$A1:$S251,12,FALSE)</f>
        <v>56.895777777777774</v>
      </c>
      <c r="AL299" s="31">
        <f>VLOOKUP($B299,Pitchers!$A1:$S251,13,FALSE)</f>
        <v>18.366666666666664</v>
      </c>
      <c r="AM299" s="31">
        <f>VLOOKUP($B299,Pitchers!$A1:$S251,14,FALSE)</f>
        <v>34.431333333333335</v>
      </c>
      <c r="AN299" s="31">
        <f>VLOOKUP($B299,Pitchers!$A1:$S251,15,FALSE)</f>
        <v>32.078000000000003</v>
      </c>
      <c r="AO299" s="31">
        <f>VLOOKUP($B299,Pitchers!$A1:$S251,16,FALSE)</f>
        <v>10.520888888888889</v>
      </c>
      <c r="AP299" s="31">
        <f>VLOOKUP($B299,Pitchers!$A1:$S251,17,FALSE)</f>
        <v>16.799999999999997</v>
      </c>
      <c r="AQ299" s="31">
        <f>VLOOKUP($B299,Pitchers!$A1:$S251,18,FALSE)</f>
        <v>0</v>
      </c>
      <c r="AR299" s="31">
        <f>VLOOKUP($B299,Pitchers!$A1:$S251,19,FALSE)</f>
        <v>0</v>
      </c>
    </row>
    <row r="300" spans="1:44" ht="18.600000000000001" customHeight="1">
      <c r="A300" s="25">
        <f ca="1">RANK(I300,I$2:I$651)</f>
        <v>299</v>
      </c>
      <c r="B300" s="26" t="s">
        <v>527</v>
      </c>
      <c r="C300" s="27" t="s">
        <v>91</v>
      </c>
      <c r="D300" s="27" t="s">
        <v>74</v>
      </c>
      <c r="E300" s="42" t="s">
        <v>34</v>
      </c>
      <c r="F300" s="43">
        <f ca="1">VLOOKUP(B300,RP!A1:I91,IF(Settings!$J$13="points",4,7),FALSE)</f>
        <v>35</v>
      </c>
      <c r="G300" s="30">
        <f>(AC300*Settings!$F$2)+(AF300*Settings!$F$5)+(AG300*Settings!$F$6)+(AH300*Settings!$F$7)+(AI300*Settings!$F$8)+(AJ300*Settings!$F$9)+(AK300*Settings!$F$10)+(AL300*Settings!$F$11)+(AM300*Settings!$F$12)+(AN300*Settings!$F$13)+(AO300*Settings!$F$14)+(AP300*Settings!$F$15)+(AQ300*Settings!$F$16)+(AR300*Settings!$F$17)</f>
        <v>211.73111111111112</v>
      </c>
      <c r="H300" s="31">
        <f>VLOOKUP(B300,'Standard Deviations'!$A1:$D651,4,FALSE)</f>
        <v>-0.62481004305378662</v>
      </c>
      <c r="I300" s="32">
        <f ca="1">IF(Settings!$J$16="no",VLOOKUP(B300,RP!A1:I91,IF(Settings!$J$13="points",6,9),FALSE),VLOOKUP(B300,'SP+RP'!$A1:$I251,IF(Settings!$J$13="points",6,9),FALSE))</f>
        <v>0.24277502416314345</v>
      </c>
      <c r="J300" s="31"/>
      <c r="K300" s="31">
        <f ca="1">J300-A300</f>
        <v>-299</v>
      </c>
      <c r="L300" s="31"/>
      <c r="M300" s="31"/>
      <c r="N300" s="31"/>
      <c r="O300" s="31"/>
      <c r="P300" s="31"/>
      <c r="Q300" s="31"/>
      <c r="R300" s="152"/>
      <c r="S300" s="152"/>
      <c r="T300" s="154"/>
      <c r="U300" s="154"/>
      <c r="V300" s="154"/>
      <c r="W300" s="154"/>
      <c r="X300" s="154"/>
      <c r="Y300" s="152"/>
      <c r="Z300" s="152"/>
      <c r="AA300" s="31"/>
      <c r="AB300" s="31"/>
      <c r="AC300" s="31">
        <f>VLOOKUP($B300,Pitchers!$A1:$S251,4,FALSE)</f>
        <v>61.81111111111111</v>
      </c>
      <c r="AD300" s="33">
        <f>VLOOKUP($B300,Pitchers!$A1:$S251,5,FALSE)</f>
        <v>3.6541973755168073</v>
      </c>
      <c r="AE300" s="33">
        <f>VLOOKUP($B300,Pitchers!$A1:$S251,6,FALSE)</f>
        <v>1.2477440230091676</v>
      </c>
      <c r="AF300" s="31">
        <f>VLOOKUP($B300,Pitchers!$A1:$S251,7,FALSE)</f>
        <v>70.731111111111105</v>
      </c>
      <c r="AG300" s="31">
        <f>VLOOKUP($B300,Pitchers!$A1:$S251,8,FALSE)</f>
        <v>4.0266666666666664</v>
      </c>
      <c r="AH300" s="31">
        <f>VLOOKUP($B300,Pitchers!$A1:$S251,9,FALSE)</f>
        <v>11.733333333333334</v>
      </c>
      <c r="AI300" s="31">
        <f>VLOOKUP($B300,Pitchers!$A1:$S251,10,FALSE)</f>
        <v>25.096666666666664</v>
      </c>
      <c r="AJ300" s="31">
        <f>VLOOKUP($B300,Pitchers!$A1:$S251,11,FALSE)</f>
        <v>50.68</v>
      </c>
      <c r="AK300" s="31">
        <f>VLOOKUP($B300,Pitchers!$A1:$S251,12,FALSE)</f>
        <v>26.444444444444443</v>
      </c>
      <c r="AL300" s="31">
        <f>VLOOKUP($B300,Pitchers!$A1:$S251,13,FALSE)</f>
        <v>6.2333333333333334</v>
      </c>
      <c r="AM300" s="31">
        <f>VLOOKUP($B300,Pitchers!$A1:$S251,14,FALSE)</f>
        <v>63.975555555555559</v>
      </c>
      <c r="AN300" s="31">
        <f>VLOOKUP($B300,Pitchers!$A1:$S251,15,FALSE)</f>
        <v>0</v>
      </c>
      <c r="AO300" s="31">
        <f>VLOOKUP($B300,Pitchers!$A1:$S251,16,FALSE)</f>
        <v>3.4333333333333336</v>
      </c>
      <c r="AP300" s="31">
        <f>VLOOKUP($B300,Pitchers!$A1:$S251,17,FALSE)</f>
        <v>0</v>
      </c>
      <c r="AQ300" s="31">
        <f>VLOOKUP($B300,Pitchers!$A1:$S251,18,FALSE)</f>
        <v>11.5</v>
      </c>
      <c r="AR300" s="31">
        <f>VLOOKUP($B300,Pitchers!$A1:$S251,19,FALSE)</f>
        <v>2</v>
      </c>
    </row>
    <row r="301" spans="1:44" ht="18.600000000000001" customHeight="1">
      <c r="A301" s="25">
        <f ca="1">RANK(I301,I$2:I$651)</f>
        <v>300</v>
      </c>
      <c r="B301" s="26" t="s">
        <v>570</v>
      </c>
      <c r="C301" s="27" t="s">
        <v>91</v>
      </c>
      <c r="D301" s="27" t="s">
        <v>74</v>
      </c>
      <c r="E301" s="42" t="s">
        <v>34</v>
      </c>
      <c r="F301" s="43">
        <f ca="1">VLOOKUP(B301,RP!A1:I91,IF(Settings!$J$13="points",4,7),FALSE)</f>
        <v>36</v>
      </c>
      <c r="G301" s="30">
        <f>(AC301*Settings!$F$2)+(AF301*Settings!$F$5)+(AG301*Settings!$F$6)+(AH301*Settings!$F$7)+(AI301*Settings!$F$8)+(AJ301*Settings!$F$9)+(AK301*Settings!$F$10)+(AL301*Settings!$F$11)+(AM301*Settings!$F$12)+(AN301*Settings!$F$13)+(AO301*Settings!$F$14)+(AP301*Settings!$F$15)+(AQ301*Settings!$F$16)+(AR301*Settings!$F$17)</f>
        <v>166.40666666666667</v>
      </c>
      <c r="H301" s="31">
        <f>VLOOKUP(B301,'Standard Deviations'!$A1:$D651,4,FALSE)</f>
        <v>-0.68850867139852356</v>
      </c>
      <c r="I301" s="32">
        <f ca="1">IF(Settings!$J$16="no",VLOOKUP(B301,RP!A1:I91,IF(Settings!$J$13="points",6,9),FALSE),VLOOKUP(B301,'SP+RP'!$A1:$I251,IF(Settings!$J$13="points",6,9),FALSE))</f>
        <v>0.17907620879369257</v>
      </c>
      <c r="J301" s="31"/>
      <c r="K301" s="31">
        <f ca="1">J301-A301</f>
        <v>-300</v>
      </c>
      <c r="L301" s="31"/>
      <c r="M301" s="31"/>
      <c r="N301" s="31"/>
      <c r="O301" s="31"/>
      <c r="P301" s="31"/>
      <c r="Q301" s="31"/>
      <c r="R301" s="152"/>
      <c r="S301" s="152"/>
      <c r="T301" s="154"/>
      <c r="U301" s="154"/>
      <c r="V301" s="154"/>
      <c r="W301" s="154"/>
      <c r="X301" s="154"/>
      <c r="Y301" s="152"/>
      <c r="Z301" s="152"/>
      <c r="AA301" s="31"/>
      <c r="AB301" s="31"/>
      <c r="AC301" s="31">
        <f>VLOOKUP($B301,Pitchers!$A1:$S251,4,FALSE)</f>
        <v>57.414444444444435</v>
      </c>
      <c r="AD301" s="33">
        <f>VLOOKUP($B301,Pitchers!$A1:$S251,5,FALSE)</f>
        <v>3.1711532134770581</v>
      </c>
      <c r="AE301" s="33">
        <f>VLOOKUP($B301,Pitchers!$A1:$S251,6,FALSE)</f>
        <v>1.2782787916319938</v>
      </c>
      <c r="AF301" s="31">
        <f>VLOOKUP($B301,Pitchers!$A1:$S251,7,FALSE)</f>
        <v>78.422222222222231</v>
      </c>
      <c r="AG301" s="31">
        <f>VLOOKUP($B301,Pitchers!$A1:$S251,8,FALSE)</f>
        <v>4.0049999999999999</v>
      </c>
      <c r="AH301" s="31">
        <f>VLOOKUP($B301,Pitchers!$A1:$S251,9,FALSE)</f>
        <v>4.3555555555555552</v>
      </c>
      <c r="AI301" s="31">
        <f>VLOOKUP($B301,Pitchers!$A1:$S251,10,FALSE)</f>
        <v>20.23</v>
      </c>
      <c r="AJ301" s="31">
        <f>VLOOKUP($B301,Pitchers!$A1:$S251,11,FALSE)</f>
        <v>43.034999999999997</v>
      </c>
      <c r="AK301" s="31">
        <f>VLOOKUP($B301,Pitchers!$A1:$S251,12,FALSE)</f>
        <v>30.356666666666666</v>
      </c>
      <c r="AL301" s="31">
        <f>VLOOKUP($B301,Pitchers!$A1:$S251,13,FALSE)</f>
        <v>4.0333333333333332</v>
      </c>
      <c r="AM301" s="31">
        <f>VLOOKUP($B301,Pitchers!$A1:$S251,14,FALSE)</f>
        <v>60.897777777777776</v>
      </c>
      <c r="AN301" s="31">
        <f>VLOOKUP($B301,Pitchers!$A1:$S251,15,FALSE)</f>
        <v>0</v>
      </c>
      <c r="AO301" s="31">
        <f>VLOOKUP($B301,Pitchers!$A1:$S251,16,FALSE)</f>
        <v>1.9900000000000002</v>
      </c>
      <c r="AP301" s="31">
        <f>VLOOKUP($B301,Pitchers!$A1:$S251,17,FALSE)</f>
        <v>0</v>
      </c>
      <c r="AQ301" s="31">
        <f>VLOOKUP($B301,Pitchers!$A1:$S251,18,FALSE)</f>
        <v>18</v>
      </c>
      <c r="AR301" s="31">
        <f>VLOOKUP($B301,Pitchers!$A1:$S251,19,FALSE)</f>
        <v>1</v>
      </c>
    </row>
    <row r="302" spans="1:44" ht="18.600000000000001" customHeight="1">
      <c r="A302" s="25">
        <f ca="1">RANK(I302,I$2:I$651)</f>
        <v>301</v>
      </c>
      <c r="B302" s="26" t="s">
        <v>443</v>
      </c>
      <c r="C302" s="27" t="s">
        <v>91</v>
      </c>
      <c r="D302" s="27" t="s">
        <v>74</v>
      </c>
      <c r="E302" s="42" t="s">
        <v>34</v>
      </c>
      <c r="F302" s="43">
        <f ca="1">VLOOKUP(B302,RP!A1:I91,IF(Settings!$J$13="points",4,7),FALSE)</f>
        <v>37</v>
      </c>
      <c r="G302" s="30">
        <f>(AC302*Settings!$F$2)+(AF302*Settings!$F$5)+(AG302*Settings!$F$6)+(AH302*Settings!$F$7)+(AI302*Settings!$F$8)+(AJ302*Settings!$F$9)+(AK302*Settings!$F$10)+(AL302*Settings!$F$11)+(AM302*Settings!$F$12)+(AN302*Settings!$F$13)+(AO302*Settings!$F$14)+(AP302*Settings!$F$15)+(AQ302*Settings!$F$16)+(AR302*Settings!$F$17)</f>
        <v>218.68166666666667</v>
      </c>
      <c r="H302" s="31">
        <f>VLOOKUP(B302,'Standard Deviations'!$A1:$D651,4,FALSE)</f>
        <v>-0.70276912272136416</v>
      </c>
      <c r="I302" s="32">
        <f ca="1">IF(Settings!$J$16="no",VLOOKUP(B302,RP!A1:I91,IF(Settings!$J$13="points",6,9),FALSE),VLOOKUP(B302,'SP+RP'!$A1:$I251,IF(Settings!$J$13="points",6,9),FALSE))</f>
        <v>0.1648123580937122</v>
      </c>
      <c r="J302" s="31"/>
      <c r="K302" s="31">
        <f ca="1">J302-A302</f>
        <v>-301</v>
      </c>
      <c r="L302" s="31"/>
      <c r="M302" s="31"/>
      <c r="N302" s="31"/>
      <c r="O302" s="31"/>
      <c r="P302" s="31"/>
      <c r="Q302" s="31"/>
      <c r="R302" s="152"/>
      <c r="S302" s="152"/>
      <c r="T302" s="154"/>
      <c r="U302" s="154"/>
      <c r="V302" s="154"/>
      <c r="W302" s="154"/>
      <c r="X302" s="154"/>
      <c r="Y302" s="152"/>
      <c r="Z302" s="152"/>
      <c r="AA302" s="31"/>
      <c r="AB302" s="31"/>
      <c r="AC302" s="31">
        <f>VLOOKUP($B302,Pitchers!$A1:$S251,4,FALSE)</f>
        <v>58.463333333333338</v>
      </c>
      <c r="AD302" s="33">
        <f>VLOOKUP($B302,Pitchers!$A1:$S251,5,FALSE)</f>
        <v>3.7649238839158445</v>
      </c>
      <c r="AE302" s="33">
        <f>VLOOKUP($B302,Pitchers!$A1:$S251,6,FALSE)</f>
        <v>1.2539673489556606</v>
      </c>
      <c r="AF302" s="31">
        <f>VLOOKUP($B302,Pitchers!$A1:$S251,7,FALSE)</f>
        <v>72.545555555555552</v>
      </c>
      <c r="AG302" s="31">
        <f>VLOOKUP($B302,Pitchers!$A1:$S251,8,FALSE)</f>
        <v>3.9877777777777776</v>
      </c>
      <c r="AH302" s="31">
        <f>VLOOKUP($B302,Pitchers!$A1:$S251,9,FALSE)</f>
        <v>13.344444444444443</v>
      </c>
      <c r="AI302" s="31">
        <f>VLOOKUP($B302,Pitchers!$A1:$S251,10,FALSE)</f>
        <v>24.456666666666667</v>
      </c>
      <c r="AJ302" s="31">
        <f>VLOOKUP($B302,Pitchers!$A1:$S251,11,FALSE)</f>
        <v>47.050000000000004</v>
      </c>
      <c r="AK302" s="31">
        <f>VLOOKUP($B302,Pitchers!$A1:$S251,12,FALSE)</f>
        <v>26.261111111111109</v>
      </c>
      <c r="AL302" s="31">
        <f>VLOOKUP($B302,Pitchers!$A1:$S251,13,FALSE)</f>
        <v>6.7</v>
      </c>
      <c r="AM302" s="31">
        <f>VLOOKUP($B302,Pitchers!$A1:$S251,14,FALSE)</f>
        <v>59.99666666666667</v>
      </c>
      <c r="AN302" s="31">
        <f>VLOOKUP($B302,Pitchers!$A1:$S251,15,FALSE)</f>
        <v>0</v>
      </c>
      <c r="AO302" s="31">
        <f>VLOOKUP($B302,Pitchers!$A1:$S251,16,FALSE)</f>
        <v>3.3077777777777779</v>
      </c>
      <c r="AP302" s="31">
        <f>VLOOKUP($B302,Pitchers!$A1:$S251,17,FALSE)</f>
        <v>0</v>
      </c>
      <c r="AQ302" s="31">
        <f>VLOOKUP($B302,Pitchers!$A1:$S251,18,FALSE)</f>
        <v>7.5</v>
      </c>
      <c r="AR302" s="31">
        <f>VLOOKUP($B302,Pitchers!$A1:$S251,19,FALSE)</f>
        <v>7</v>
      </c>
    </row>
    <row r="303" spans="1:44" ht="18.600000000000001" customHeight="1">
      <c r="A303" s="25">
        <f ca="1">RANK(I303,I$2:I$651)</f>
        <v>302</v>
      </c>
      <c r="B303" s="26" t="s">
        <v>478</v>
      </c>
      <c r="C303" s="27" t="s">
        <v>103</v>
      </c>
      <c r="D303" s="27" t="s">
        <v>69</v>
      </c>
      <c r="E303" s="42" t="s">
        <v>34</v>
      </c>
      <c r="F303" s="43">
        <f ca="1">VLOOKUP(B303,RP!A1:I91,IF(Settings!$J$13="points",4,7),FALSE)</f>
        <v>38</v>
      </c>
      <c r="G303" s="30">
        <f>(AC303*Settings!$F$2)+(AF303*Settings!$F$5)+(AG303*Settings!$F$6)+(AH303*Settings!$F$7)+(AI303*Settings!$F$8)+(AJ303*Settings!$F$9)+(AK303*Settings!$F$10)+(AL303*Settings!$F$11)+(AM303*Settings!$F$12)+(AN303*Settings!$F$13)+(AO303*Settings!$F$14)+(AP303*Settings!$F$15)+(AQ303*Settings!$F$16)+(AR303*Settings!$F$17)</f>
        <v>143.55833333333331</v>
      </c>
      <c r="H303" s="31">
        <f>VLOOKUP(B303,'Standard Deviations'!$A1:$D651,4,FALSE)</f>
        <v>-0.73328330292632171</v>
      </c>
      <c r="I303" s="32">
        <f ca="1">IF(Settings!$J$16="no",VLOOKUP(B303,RP!A1:I91,IF(Settings!$J$13="points",6,9),FALSE),VLOOKUP(B303,'SP+RP'!$A1:$I251,IF(Settings!$J$13="points",6,9),FALSE))</f>
        <v>0.13429651621208794</v>
      </c>
      <c r="J303" s="31"/>
      <c r="K303" s="31">
        <f ca="1">J303-A303</f>
        <v>-302</v>
      </c>
      <c r="L303" s="31"/>
      <c r="M303" s="31"/>
      <c r="N303" s="31"/>
      <c r="O303" s="31"/>
      <c r="P303" s="31"/>
      <c r="Q303" s="31"/>
      <c r="R303" s="152"/>
      <c r="S303" s="152"/>
      <c r="T303" s="154"/>
      <c r="U303" s="154"/>
      <c r="V303" s="154"/>
      <c r="W303" s="154"/>
      <c r="X303" s="154"/>
      <c r="Y303" s="152"/>
      <c r="Z303" s="152"/>
      <c r="AA303" s="31"/>
      <c r="AB303" s="31"/>
      <c r="AC303" s="31">
        <f>VLOOKUP($B303,Pitchers!$A1:$S251,4,FALSE)</f>
        <v>58.344444444444441</v>
      </c>
      <c r="AD303" s="33">
        <f>VLOOKUP($B303,Pitchers!$A1:$S251,5,FALSE)</f>
        <v>3.5070177109122076</v>
      </c>
      <c r="AE303" s="33">
        <f>VLOOKUP($B303,Pitchers!$A1:$S251,6,FALSE)</f>
        <v>1.1287564273471724</v>
      </c>
      <c r="AF303" s="31">
        <f>VLOOKUP($B303,Pitchers!$A1:$S251,7,FALSE)</f>
        <v>62.287777777777784</v>
      </c>
      <c r="AG303" s="31">
        <f>VLOOKUP($B303,Pitchers!$A1:$S251,8,FALSE)</f>
        <v>3.0016666666666665</v>
      </c>
      <c r="AH303" s="31">
        <f>VLOOKUP($B303,Pitchers!$A1:$S251,9,FALSE)</f>
        <v>2.15</v>
      </c>
      <c r="AI303" s="31">
        <f>VLOOKUP($B303,Pitchers!$A1:$S251,10,FALSE)</f>
        <v>22.734999999999999</v>
      </c>
      <c r="AJ303" s="31">
        <f>VLOOKUP($B303,Pitchers!$A1:$S251,11,FALSE)</f>
        <v>55.95000000000001</v>
      </c>
      <c r="AK303" s="31">
        <f>VLOOKUP($B303,Pitchers!$A1:$S251,12,FALSE)</f>
        <v>9.9066666666666663</v>
      </c>
      <c r="AL303" s="31">
        <f>VLOOKUP($B303,Pitchers!$A1:$S251,13,FALSE)</f>
        <v>6.8999999999999995</v>
      </c>
      <c r="AM303" s="31">
        <f>VLOOKUP($B303,Pitchers!$A1:$S251,14,FALSE)</f>
        <v>61.331111111111113</v>
      </c>
      <c r="AN303" s="31">
        <f>VLOOKUP($B303,Pitchers!$A1:$S251,15,FALSE)</f>
        <v>0</v>
      </c>
      <c r="AO303" s="31">
        <f>VLOOKUP($B303,Pitchers!$A1:$S251,16,FALSE)</f>
        <v>2.0177777777777774</v>
      </c>
      <c r="AP303" s="31">
        <f>VLOOKUP($B303,Pitchers!$A1:$S251,17,FALSE)</f>
        <v>0</v>
      </c>
      <c r="AQ303" s="31">
        <f>VLOOKUP($B303,Pitchers!$A1:$S251,18,FALSE)</f>
        <v>14</v>
      </c>
      <c r="AR303" s="31">
        <f>VLOOKUP($B303,Pitchers!$A1:$S251,19,FALSE)</f>
        <v>1</v>
      </c>
    </row>
    <row r="304" spans="1:44" ht="18.600000000000001" customHeight="1">
      <c r="A304" s="25">
        <f ca="1">RANK(I304,I$2:I$651)</f>
        <v>303</v>
      </c>
      <c r="B304" s="26" t="s">
        <v>379</v>
      </c>
      <c r="C304" s="27" t="s">
        <v>91</v>
      </c>
      <c r="D304" s="27" t="s">
        <v>74</v>
      </c>
      <c r="E304" s="28" t="s">
        <v>23</v>
      </c>
      <c r="F304" s="29">
        <f ca="1">VLOOKUP(B304,OF!A1:I139,IF(Settings!$J$13="points",4,7),FALSE)</f>
        <v>71</v>
      </c>
      <c r="G304" s="30">
        <f>(M304*Settings!$B$2)+(N304*Settings!$B$3)+(O304*Settings!$B$4)+(P304*Settings!$B$5)+(Q304*Settings!$B$6)+((T304-U304-V304-O304)*Settings!$B$9)+(U304*Settings!$B$10)+(V304*Settings!$B$11)+(W304*Settings!$B$12)+(X304*Settings!$B$13)+(AA304*Settings!$B$16)</f>
        <v>254.23277777777781</v>
      </c>
      <c r="H304" s="31">
        <f>VLOOKUP(B304,'Standard Deviations'!$A1:$D651,4,FALSE)</f>
        <v>-2.2733835748145526E-2</v>
      </c>
      <c r="I304" s="32">
        <f ca="1">VLOOKUP(B304,OF!A1:I139,IF(Settings!$J$13="points",6,9),FALSE)</f>
        <v>0.13419347666941192</v>
      </c>
      <c r="J304" s="31"/>
      <c r="K304" s="31">
        <f ca="1">J304-A304</f>
        <v>-303</v>
      </c>
      <c r="L304" s="31"/>
      <c r="M304" s="31">
        <f>VLOOKUP($B304,Hitters!$A1:$R401,4,FALSE)</f>
        <v>444.4111111111111</v>
      </c>
      <c r="N304" s="31">
        <f>VLOOKUP($B304,Hitters!$A1:$R401,5,FALSE)</f>
        <v>54.705555555555556</v>
      </c>
      <c r="O304" s="31">
        <f>VLOOKUP($B304,Hitters!$A1:$R401,6,FALSE)</f>
        <v>10.487777777777778</v>
      </c>
      <c r="P304" s="31">
        <f>VLOOKUP($B304,Hitters!$A1:$R401,7,FALSE)</f>
        <v>48.787777777777784</v>
      </c>
      <c r="Q304" s="31">
        <f>VLOOKUP($B304,Hitters!$A1:$R401,8,FALSE)</f>
        <v>12.724444444444444</v>
      </c>
      <c r="R304" s="152">
        <f>VLOOKUP($B304,Hitters!$A$1:$R$401,14,FALSE)</f>
        <v>0.23725029377203291</v>
      </c>
      <c r="S304" s="152">
        <f>VLOOKUP($B304,Hitters!$A$1:$R$401,15,FALSE)</f>
        <v>0.30685954146774647</v>
      </c>
      <c r="T304" s="154">
        <f>VLOOKUP($B304,Hitters!$A$1:$R$401,9,FALSE)</f>
        <v>105.43666666666667</v>
      </c>
      <c r="U304" s="154">
        <f>VLOOKUP($B304,Hitters!$A$1:$R$401,10,FALSE)</f>
        <v>20.806666666666668</v>
      </c>
      <c r="V304" s="154">
        <f>VLOOKUP($B304,Hitters!$A$1:$R$401,11,FALSE)</f>
        <v>3.4499999999999997</v>
      </c>
      <c r="W304" s="154">
        <f>VLOOKUP($B304,Hitters!$A$1:$R$401,12,FALSE)</f>
        <v>37.454999999999998</v>
      </c>
      <c r="X304" s="154">
        <f>VLOOKUP($B304,Hitters!$A$1:$R$401,13,FALSE)</f>
        <v>153.54222222222222</v>
      </c>
      <c r="Y304" s="152">
        <f>VLOOKUP($B304,Hitters!$A$1:$R$401,16,FALSE)</f>
        <v>0.37039277945845939</v>
      </c>
      <c r="Z304" s="152">
        <f>VLOOKUP($B304,Hitters!$A$1:$R$401,17,FALSE)</f>
        <v>0.6772523209262058</v>
      </c>
      <c r="AA304" s="31">
        <f>VLOOKUP($B304,Hitters!$A1:$R401,18,FALSE)</f>
        <v>0</v>
      </c>
      <c r="AB304" s="31"/>
      <c r="AC304" s="31"/>
      <c r="AD304" s="33"/>
      <c r="AE304" s="33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</row>
    <row r="305" spans="1:44" ht="18.600000000000001" customHeight="1">
      <c r="A305" s="25">
        <f ca="1">RANK(I305,I$2:I$651)</f>
        <v>304</v>
      </c>
      <c r="B305" s="26" t="s">
        <v>351</v>
      </c>
      <c r="C305" s="27" t="s">
        <v>76</v>
      </c>
      <c r="D305" s="27" t="s">
        <v>69</v>
      </c>
      <c r="E305" s="36" t="s">
        <v>31</v>
      </c>
      <c r="F305" s="37">
        <f ca="1">VLOOKUP(B305,SP!A1:I161,IF(Settings!$J$13="points",4,7),FALSE)</f>
        <v>88</v>
      </c>
      <c r="G305" s="30">
        <f>(AC305*Settings!$F$2)+(AF305*Settings!$F$5)+(AG305*Settings!$F$6)+(AH305*Settings!$F$7)+(AI305*Settings!$F$8)+(AJ305*Settings!$F$9)+(AK305*Settings!$F$10)+(AL305*Settings!$F$11)+(AM305*Settings!$F$12)+(AN305*Settings!$F$13)+(AO305*Settings!$F$14)+(AP305*Settings!$F$15)+(AQ305*Settings!$F$16)+(AR305*Settings!$F$17)</f>
        <v>280.40016666666668</v>
      </c>
      <c r="H305" s="31">
        <f>VLOOKUP(B305,'Standard Deviations'!$A1:$D651,4,FALSE)</f>
        <v>-0.74618948414251973</v>
      </c>
      <c r="I305" s="32">
        <f ca="1">IF(Settings!$J$16="no",VLOOKUP(B305,SP!A1:I161,IF(Settings!$J$13="points",6,9),FALSE),VLOOKUP(B305,'SP+RP'!$A1:$I251,IF(Settings!$J$13="points",6,9),FALSE))</f>
        <v>0.12138654392922787</v>
      </c>
      <c r="J305" s="31"/>
      <c r="K305" s="31">
        <f ca="1">J305-A305</f>
        <v>-304</v>
      </c>
      <c r="L305" s="31"/>
      <c r="M305" s="31"/>
      <c r="N305" s="31"/>
      <c r="O305" s="31"/>
      <c r="P305" s="31"/>
      <c r="Q305" s="31"/>
      <c r="R305" s="152"/>
      <c r="S305" s="152"/>
      <c r="T305" s="154"/>
      <c r="U305" s="154"/>
      <c r="V305" s="154"/>
      <c r="W305" s="154"/>
      <c r="X305" s="154"/>
      <c r="Y305" s="152"/>
      <c r="Z305" s="152"/>
      <c r="AA305" s="31"/>
      <c r="AB305" s="31"/>
      <c r="AC305" s="31">
        <f>VLOOKUP($B305,Pitchers!$A1:$S251,4,FALSE)</f>
        <v>128.58166666666668</v>
      </c>
      <c r="AD305" s="33">
        <f>VLOOKUP($B305,Pitchers!$A1:$S251,5,FALSE)</f>
        <v>4.1297955903511392</v>
      </c>
      <c r="AE305" s="33">
        <f>VLOOKUP($B305,Pitchers!$A1:$S251,6,FALSE)</f>
        <v>1.2092962967763679</v>
      </c>
      <c r="AF305" s="31">
        <f>VLOOKUP($B305,Pitchers!$A1:$S251,7,FALSE)</f>
        <v>115.24499999999999</v>
      </c>
      <c r="AG305" s="31">
        <f>VLOOKUP($B305,Pitchers!$A1:$S251,8,FALSE)</f>
        <v>7.9888888888888898</v>
      </c>
      <c r="AH305" s="31">
        <f>VLOOKUP($B305,Pitchers!$A1:$S251,9,FALSE)</f>
        <v>0</v>
      </c>
      <c r="AI305" s="31">
        <f>VLOOKUP($B305,Pitchers!$A1:$S251,10,FALSE)</f>
        <v>59.001777777777782</v>
      </c>
      <c r="AJ305" s="31">
        <f>VLOOKUP($B305,Pitchers!$A1:$S251,11,FALSE)</f>
        <v>123.08333333333333</v>
      </c>
      <c r="AK305" s="31">
        <f>VLOOKUP($B305,Pitchers!$A1:$S251,12,FALSE)</f>
        <v>32.410000000000004</v>
      </c>
      <c r="AL305" s="31">
        <f>VLOOKUP($B305,Pitchers!$A1:$S251,13,FALSE)</f>
        <v>18.5</v>
      </c>
      <c r="AM305" s="31">
        <f>VLOOKUP($B305,Pitchers!$A1:$S251,14,FALSE)</f>
        <v>24.353333333333335</v>
      </c>
      <c r="AN305" s="31">
        <f>VLOOKUP($B305,Pitchers!$A1:$S251,15,FALSE)</f>
        <v>24.33666666666667</v>
      </c>
      <c r="AO305" s="31">
        <f>VLOOKUP($B305,Pitchers!$A1:$S251,16,FALSE)</f>
        <v>7.4788888888888891</v>
      </c>
      <c r="AP305" s="31">
        <f>VLOOKUP($B305,Pitchers!$A1:$S251,17,FALSE)</f>
        <v>11</v>
      </c>
      <c r="AQ305" s="31">
        <f>VLOOKUP($B305,Pitchers!$A1:$S251,18,FALSE)</f>
        <v>0</v>
      </c>
      <c r="AR305" s="31">
        <f>VLOOKUP($B305,Pitchers!$A1:$S251,19,FALSE)</f>
        <v>0</v>
      </c>
    </row>
    <row r="306" spans="1:44" ht="18.600000000000001" customHeight="1">
      <c r="A306" s="25">
        <f ca="1">RANK(I306,I$2:I$651)</f>
        <v>305</v>
      </c>
      <c r="B306" s="26" t="s">
        <v>531</v>
      </c>
      <c r="C306" s="27" t="s">
        <v>86</v>
      </c>
      <c r="D306" s="27" t="s">
        <v>69</v>
      </c>
      <c r="E306" s="42" t="s">
        <v>34</v>
      </c>
      <c r="F306" s="43">
        <f ca="1">VLOOKUP(B306,RP!A1:I91,IF(Settings!$J$13="points",4,7),FALSE)</f>
        <v>39</v>
      </c>
      <c r="G306" s="30">
        <f>(AC306*Settings!$F$2)+(AF306*Settings!$F$5)+(AG306*Settings!$F$6)+(AH306*Settings!$F$7)+(AI306*Settings!$F$8)+(AJ306*Settings!$F$9)+(AK306*Settings!$F$10)+(AL306*Settings!$F$11)+(AM306*Settings!$F$12)+(AN306*Settings!$F$13)+(AO306*Settings!$F$14)+(AP306*Settings!$F$15)+(AQ306*Settings!$F$16)+(AR306*Settings!$F$17)</f>
        <v>166.42194444444442</v>
      </c>
      <c r="H306" s="31">
        <f>VLOOKUP(B306,'Standard Deviations'!$A1:$D651,4,FALSE)</f>
        <v>-0.74732272845823755</v>
      </c>
      <c r="I306" s="32">
        <f ca="1">IF(Settings!$J$16="no",VLOOKUP(B306,RP!A1:I91,IF(Settings!$J$13="points",6,9),FALSE),VLOOKUP(B306,'SP+RP'!$A1:$I251,IF(Settings!$J$13="points",6,9),FALSE))</f>
        <v>0.12026213709468703</v>
      </c>
      <c r="J306" s="31"/>
      <c r="K306" s="31">
        <f ca="1">J306-A306</f>
        <v>-305</v>
      </c>
      <c r="L306" s="31"/>
      <c r="M306" s="31"/>
      <c r="N306" s="31"/>
      <c r="O306" s="31"/>
      <c r="P306" s="31"/>
      <c r="Q306" s="31"/>
      <c r="R306" s="152"/>
      <c r="S306" s="152"/>
      <c r="T306" s="154"/>
      <c r="U306" s="154"/>
      <c r="V306" s="154"/>
      <c r="W306" s="154"/>
      <c r="X306" s="154"/>
      <c r="Y306" s="152"/>
      <c r="Z306" s="152"/>
      <c r="AA306" s="31"/>
      <c r="AB306" s="31"/>
      <c r="AC306" s="31">
        <f>VLOOKUP($B306,Pitchers!$A1:$S251,4,FALSE)</f>
        <v>69.413333333333341</v>
      </c>
      <c r="AD306" s="33">
        <f>VLOOKUP($B306,Pitchers!$A1:$S251,5,FALSE)</f>
        <v>3.459277756434882</v>
      </c>
      <c r="AE306" s="33">
        <f>VLOOKUP($B306,Pitchers!$A1:$S251,6,FALSE)</f>
        <v>1.1965040338071453</v>
      </c>
      <c r="AF306" s="31">
        <f>VLOOKUP($B306,Pitchers!$A1:$S251,7,FALSE)</f>
        <v>74.01166666666667</v>
      </c>
      <c r="AG306" s="31">
        <f>VLOOKUP($B306,Pitchers!$A1:$S251,8,FALSE)</f>
        <v>4.0116666666666667</v>
      </c>
      <c r="AH306" s="31">
        <f>VLOOKUP($B306,Pitchers!$A1:$S251,9,FALSE)</f>
        <v>2.7555555555555551</v>
      </c>
      <c r="AI306" s="31">
        <f>VLOOKUP($B306,Pitchers!$A1:$S251,10,FALSE)</f>
        <v>26.679999999999996</v>
      </c>
      <c r="AJ306" s="31">
        <f>VLOOKUP($B306,Pitchers!$A1:$S251,11,FALSE)</f>
        <v>59.656666666666666</v>
      </c>
      <c r="AK306" s="31">
        <f>VLOOKUP($B306,Pitchers!$A1:$S251,12,FALSE)</f>
        <v>23.396666666666665</v>
      </c>
      <c r="AL306" s="31">
        <f>VLOOKUP($B306,Pitchers!$A1:$S251,13,FALSE)</f>
        <v>8</v>
      </c>
      <c r="AM306" s="31">
        <f>VLOOKUP($B306,Pitchers!$A1:$S251,14,FALSE)</f>
        <v>61.386666666666663</v>
      </c>
      <c r="AN306" s="31">
        <f>VLOOKUP($B306,Pitchers!$A1:$S251,15,FALSE)</f>
        <v>8.3333333333333329E-2</v>
      </c>
      <c r="AO306" s="31">
        <f>VLOOKUP($B306,Pitchers!$A1:$S251,16,FALSE)</f>
        <v>3.2922222222222222</v>
      </c>
      <c r="AP306" s="31">
        <f>VLOOKUP($B306,Pitchers!$A1:$S251,17,FALSE)</f>
        <v>0</v>
      </c>
      <c r="AQ306" s="31">
        <f>VLOOKUP($B306,Pitchers!$A1:$S251,18,FALSE)</f>
        <v>12</v>
      </c>
      <c r="AR306" s="31">
        <f>VLOOKUP($B306,Pitchers!$A1:$S251,19,FALSE)</f>
        <v>0</v>
      </c>
    </row>
    <row r="307" spans="1:44" ht="18.600000000000001" customHeight="1">
      <c r="A307" s="25">
        <f ca="1">RANK(I307,I$2:I$651)</f>
        <v>306</v>
      </c>
      <c r="B307" s="26" t="s">
        <v>389</v>
      </c>
      <c r="C307" s="27" t="s">
        <v>97</v>
      </c>
      <c r="D307" s="27" t="s">
        <v>74</v>
      </c>
      <c r="E307" s="36" t="s">
        <v>31</v>
      </c>
      <c r="F307" s="37">
        <f ca="1">VLOOKUP(B307,SP!A1:I161,IF(Settings!$J$13="points",4,7),FALSE)</f>
        <v>89</v>
      </c>
      <c r="G307" s="30">
        <f>(AC307*Settings!$F$2)+(AF307*Settings!$F$5)+(AG307*Settings!$F$6)+(AH307*Settings!$F$7)+(AI307*Settings!$F$8)+(AJ307*Settings!$F$9)+(AK307*Settings!$F$10)+(AL307*Settings!$F$11)+(AM307*Settings!$F$12)+(AN307*Settings!$F$13)+(AO307*Settings!$F$14)+(AP307*Settings!$F$15)+(AQ307*Settings!$F$16)+(AR307*Settings!$F$17)</f>
        <v>320.47504444444428</v>
      </c>
      <c r="H307" s="31">
        <f>VLOOKUP(B307,'Standard Deviations'!$A1:$D651,4,FALSE)</f>
        <v>-0.76244299758423295</v>
      </c>
      <c r="I307" s="32">
        <f ca="1">IF(Settings!$J$16="no",VLOOKUP(B307,SP!A1:I161,IF(Settings!$J$13="points",6,9),FALSE),VLOOKUP(B307,'SP+RP'!$A1:$I251,IF(Settings!$J$13="points",6,9),FALSE))</f>
        <v>0.10514119344133144</v>
      </c>
      <c r="J307" s="31"/>
      <c r="K307" s="31">
        <f ca="1">J307-A307</f>
        <v>-306</v>
      </c>
      <c r="L307" s="31"/>
      <c r="M307" s="31"/>
      <c r="N307" s="31"/>
      <c r="O307" s="31"/>
      <c r="P307" s="31"/>
      <c r="Q307" s="31"/>
      <c r="R307" s="152"/>
      <c r="S307" s="152"/>
      <c r="T307" s="154"/>
      <c r="U307" s="154"/>
      <c r="V307" s="154"/>
      <c r="W307" s="154"/>
      <c r="X307" s="154"/>
      <c r="Y307" s="152"/>
      <c r="Z307" s="152"/>
      <c r="AA307" s="31"/>
      <c r="AB307" s="31"/>
      <c r="AC307" s="31">
        <f>VLOOKUP($B307,Pitchers!$A1:$S251,4,FALSE)</f>
        <v>154.17333333333332</v>
      </c>
      <c r="AD307" s="33">
        <f>VLOOKUP($B307,Pitchers!$A1:$S251,5,FALSE)</f>
        <v>4.183502983654761</v>
      </c>
      <c r="AE307" s="33">
        <f>VLOOKUP($B307,Pitchers!$A1:$S251,6,FALSE)</f>
        <v>1.291273890858774</v>
      </c>
      <c r="AF307" s="31">
        <f>VLOOKUP($B307,Pitchers!$A1:$S251,7,FALSE)</f>
        <v>148.06666666666666</v>
      </c>
      <c r="AG307" s="31">
        <f>VLOOKUP($B307,Pitchers!$A1:$S251,8,FALSE)</f>
        <v>9.0583333333333336</v>
      </c>
      <c r="AH307" s="31">
        <f>VLOOKUP($B307,Pitchers!$A1:$S251,9,FALSE)</f>
        <v>0</v>
      </c>
      <c r="AI307" s="31">
        <f>VLOOKUP($B307,Pitchers!$A1:$S251,10,FALSE)</f>
        <v>71.664955555555551</v>
      </c>
      <c r="AJ307" s="31">
        <f>VLOOKUP($B307,Pitchers!$A1:$S251,11,FALSE)</f>
        <v>142.37555555555556</v>
      </c>
      <c r="AK307" s="31">
        <f>VLOOKUP($B307,Pitchers!$A1:$S251,12,FALSE)</f>
        <v>56.704444444444448</v>
      </c>
      <c r="AL307" s="31">
        <f>VLOOKUP($B307,Pitchers!$A1:$S251,13,FALSE)</f>
        <v>23.566666666666666</v>
      </c>
      <c r="AM307" s="31">
        <f>VLOOKUP($B307,Pitchers!$A1:$S251,14,FALSE)</f>
        <v>27.968888888888888</v>
      </c>
      <c r="AN307" s="31">
        <f>VLOOKUP($B307,Pitchers!$A1:$S251,15,FALSE)</f>
        <v>27.946666666666669</v>
      </c>
      <c r="AO307" s="31">
        <f>VLOOKUP($B307,Pitchers!$A1:$S251,16,FALSE)</f>
        <v>8.9483333333333341</v>
      </c>
      <c r="AP307" s="31">
        <f>VLOOKUP($B307,Pitchers!$A1:$S251,17,FALSE)</f>
        <v>12</v>
      </c>
      <c r="AQ307" s="31">
        <f>VLOOKUP($B307,Pitchers!$A1:$S251,18,FALSE)</f>
        <v>0.5</v>
      </c>
      <c r="AR307" s="31">
        <f>VLOOKUP($B307,Pitchers!$A1:$S251,19,FALSE)</f>
        <v>0</v>
      </c>
    </row>
    <row r="308" spans="1:44" ht="18.600000000000001" customHeight="1">
      <c r="A308" s="25">
        <f ca="1">RANK(I308,I$2:I$651)</f>
        <v>307</v>
      </c>
      <c r="B308" s="26" t="s">
        <v>528</v>
      </c>
      <c r="C308" s="27" t="s">
        <v>84</v>
      </c>
      <c r="D308" s="27" t="s">
        <v>69</v>
      </c>
      <c r="E308" s="38" t="s">
        <v>27</v>
      </c>
      <c r="F308" s="39">
        <f ca="1">VLOOKUP(B308,SS!A1:I45,IF(Settings!$J$13="points",4,7),FALSE)</f>
        <v>23</v>
      </c>
      <c r="G308" s="30">
        <f>(M308*Settings!$B$2)+(N308*Settings!$B$3)+(O308*Settings!$B$4)+(P308*Settings!$B$5)+(Q308*Settings!$B$6)+((T308-U308-V308-O308)*Settings!$B$9)+(U308*Settings!$B$10)+(V308*Settings!$B$11)+(W308*Settings!$B$12)+(X308*Settings!$B$13)+(AA308*Settings!$B$16)</f>
        <v>263.33055555555552</v>
      </c>
      <c r="H308" s="31">
        <f>VLOOKUP(B308,'Standard Deviations'!$A1:$D651,4,FALSE)</f>
        <v>0.10031983419200369</v>
      </c>
      <c r="I308" s="32">
        <f ca="1">IF(Settings!$J$16="no",VLOOKUP(B308,SS!A1:I45,IF(Settings!$J$13="points",6,9),FALSE),VLOOKUP(B308,'2B+SS'!$A1:$I94,IF(Settings!$J$13="points",6,9),FALSE))</f>
        <v>9.4279158674210481E-2</v>
      </c>
      <c r="J308" s="31"/>
      <c r="K308" s="31">
        <f ca="1">J308-A308</f>
        <v>-307</v>
      </c>
      <c r="L308" s="31"/>
      <c r="M308" s="31">
        <f>VLOOKUP($B308,Hitters!$A1:$R401,4,FALSE)</f>
        <v>403.68333333333334</v>
      </c>
      <c r="N308" s="31">
        <f>VLOOKUP($B308,Hitters!$A1:$R401,5,FALSE)</f>
        <v>49.743333333333332</v>
      </c>
      <c r="O308" s="31">
        <f>VLOOKUP($B308,Hitters!$A1:$R401,6,FALSE)</f>
        <v>12.541666666666666</v>
      </c>
      <c r="P308" s="31">
        <f>VLOOKUP($B308,Hitters!$A1:$R401,7,FALSE)</f>
        <v>46.173333333333339</v>
      </c>
      <c r="Q308" s="31">
        <f>VLOOKUP($B308,Hitters!$A1:$R401,8,FALSE)</f>
        <v>7.8144444444444447</v>
      </c>
      <c r="R308" s="152">
        <f>VLOOKUP($B308,Hitters!$A$1:$R$401,14,FALSE)</f>
        <v>0.25471698113207547</v>
      </c>
      <c r="S308" s="152">
        <f>VLOOKUP($B308,Hitters!$A$1:$R$401,15,FALSE)</f>
        <v>0.3083881617302609</v>
      </c>
      <c r="T308" s="154">
        <f>VLOOKUP($B308,Hitters!$A$1:$R$401,9,FALSE)</f>
        <v>102.825</v>
      </c>
      <c r="U308" s="154">
        <f>VLOOKUP($B308,Hitters!$A$1:$R$401,10,FALSE)</f>
        <v>18.344999999999999</v>
      </c>
      <c r="V308" s="154">
        <f>VLOOKUP($B308,Hitters!$A$1:$R$401,11,FALSE)</f>
        <v>2.7288888888888891</v>
      </c>
      <c r="W308" s="154">
        <f>VLOOKUP($B308,Hitters!$A$1:$R$401,12,FALSE)</f>
        <v>24.834999999999997</v>
      </c>
      <c r="X308" s="154">
        <f>VLOOKUP($B308,Hitters!$A$1:$R$401,13,FALSE)</f>
        <v>74.605555555555554</v>
      </c>
      <c r="Y308" s="152">
        <f>VLOOKUP($B308,Hitters!$A$1:$R$401,16,FALSE)</f>
        <v>0.40688520980416437</v>
      </c>
      <c r="Z308" s="152">
        <f>VLOOKUP($B308,Hitters!$A$1:$R$401,17,FALSE)</f>
        <v>0.71527337153442527</v>
      </c>
      <c r="AA308" s="31">
        <f>VLOOKUP($B308,Hitters!$A1:$R401,18,FALSE)</f>
        <v>0</v>
      </c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</row>
    <row r="309" spans="1:44" ht="18.600000000000001" customHeight="1">
      <c r="A309" s="25">
        <f ca="1">RANK(I309,I$2:I$651)</f>
        <v>308</v>
      </c>
      <c r="B309" s="26" t="s">
        <v>382</v>
      </c>
      <c r="C309" s="27" t="s">
        <v>176</v>
      </c>
      <c r="D309" s="27" t="s">
        <v>74</v>
      </c>
      <c r="E309" s="42" t="s">
        <v>34</v>
      </c>
      <c r="F309" s="43">
        <f ca="1">VLOOKUP(B309,RP!A1:I91,IF(Settings!$J$13="points",4,7),FALSE)</f>
        <v>40</v>
      </c>
      <c r="G309" s="30">
        <f>(AC309*Settings!$F$2)+(AF309*Settings!$F$5)+(AG309*Settings!$F$6)+(AH309*Settings!$F$7)+(AI309*Settings!$F$8)+(AJ309*Settings!$F$9)+(AK309*Settings!$F$10)+(AL309*Settings!$F$11)+(AM309*Settings!$F$12)+(AN309*Settings!$F$13)+(AO309*Settings!$F$14)+(AP309*Settings!$F$15)+(AQ309*Settings!$F$16)+(AR309*Settings!$F$17)</f>
        <v>304.00388888888881</v>
      </c>
      <c r="H309" s="31">
        <f>VLOOKUP(B309,'Standard Deviations'!$A1:$D651,4,FALSE)</f>
        <v>-0.78052837480127746</v>
      </c>
      <c r="I309" s="32">
        <f ca="1">IF(Settings!$J$16="no",VLOOKUP(B309,RP!A1:I91,IF(Settings!$J$13="points",6,9),FALSE),VLOOKUP(B309,'SP+RP'!$A1:$I251,IF(Settings!$J$13="points",6,9),FALSE))</f>
        <v>8.7054370664647052E-2</v>
      </c>
      <c r="J309" s="31"/>
      <c r="K309" s="31">
        <f ca="1">J309-A309</f>
        <v>-308</v>
      </c>
      <c r="L309" s="31"/>
      <c r="M309" s="31"/>
      <c r="N309" s="31"/>
      <c r="O309" s="31"/>
      <c r="P309" s="31"/>
      <c r="Q309" s="31"/>
      <c r="R309" s="152"/>
      <c r="S309" s="152"/>
      <c r="T309" s="154"/>
      <c r="U309" s="154"/>
      <c r="V309" s="154"/>
      <c r="W309" s="154"/>
      <c r="X309" s="154"/>
      <c r="Y309" s="152"/>
      <c r="Z309" s="152"/>
      <c r="AA309" s="31"/>
      <c r="AB309" s="31"/>
      <c r="AC309" s="31">
        <f>VLOOKUP($B309,Pitchers!$A1:$S251,4,FALSE)</f>
        <v>63.043333333333322</v>
      </c>
      <c r="AD309" s="33">
        <f>VLOOKUP($B309,Pitchers!$A1:$S251,5,FALSE)</f>
        <v>4.0665679691217687</v>
      </c>
      <c r="AE309" s="33">
        <f>VLOOKUP($B309,Pitchers!$A1:$S251,6,FALSE)</f>
        <v>1.3542360633779238</v>
      </c>
      <c r="AF309" s="31">
        <f>VLOOKUP($B309,Pitchers!$A1:$S251,7,FALSE)</f>
        <v>70.736666666666665</v>
      </c>
      <c r="AG309" s="31">
        <f>VLOOKUP($B309,Pitchers!$A1:$S251,8,FALSE)</f>
        <v>4.0416666666666661</v>
      </c>
      <c r="AH309" s="31">
        <f>VLOOKUP($B309,Pitchers!$A1:$S251,9,FALSE)</f>
        <v>26.366666666666664</v>
      </c>
      <c r="AI309" s="31">
        <f>VLOOKUP($B309,Pitchers!$A1:$S251,10,FALSE)</f>
        <v>28.485555555555553</v>
      </c>
      <c r="AJ309" s="31">
        <f>VLOOKUP($B309,Pitchers!$A1:$S251,11,FALSE)</f>
        <v>56.183333333333337</v>
      </c>
      <c r="AK309" s="31">
        <f>VLOOKUP($B309,Pitchers!$A1:$S251,12,FALSE)</f>
        <v>29.192222222222224</v>
      </c>
      <c r="AL309" s="31">
        <f>VLOOKUP($B309,Pitchers!$A1:$S251,13,FALSE)</f>
        <v>6.6000000000000005</v>
      </c>
      <c r="AM309" s="31">
        <f>VLOOKUP($B309,Pitchers!$A1:$S251,14,FALSE)</f>
        <v>63.531111111111109</v>
      </c>
      <c r="AN309" s="31">
        <f>VLOOKUP($B309,Pitchers!$A1:$S251,15,FALSE)</f>
        <v>0</v>
      </c>
      <c r="AO309" s="31">
        <f>VLOOKUP($B309,Pitchers!$A1:$S251,16,FALSE)</f>
        <v>3.8983333333333334</v>
      </c>
      <c r="AP309" s="31">
        <f>VLOOKUP($B309,Pitchers!$A1:$S251,17,FALSE)</f>
        <v>0</v>
      </c>
      <c r="AQ309" s="31">
        <f>VLOOKUP($B309,Pitchers!$A1:$S251,18,FALSE)</f>
        <v>2.5</v>
      </c>
      <c r="AR309" s="31">
        <f>VLOOKUP($B309,Pitchers!$A1:$S251,19,FALSE)</f>
        <v>4</v>
      </c>
    </row>
    <row r="310" spans="1:44" ht="18.600000000000001" customHeight="1">
      <c r="A310" s="25">
        <f ca="1">RANK(I310,I$2:I$651)</f>
        <v>309</v>
      </c>
      <c r="B310" s="26" t="s">
        <v>403</v>
      </c>
      <c r="C310" s="27" t="s">
        <v>134</v>
      </c>
      <c r="D310" s="27" t="s">
        <v>74</v>
      </c>
      <c r="E310" s="34" t="s">
        <v>15</v>
      </c>
      <c r="F310" s="35">
        <f ca="1">VLOOKUP(B310,'3B'!A1:I55,IF(Settings!$J$13="points",4,7),FALSE)</f>
        <v>23</v>
      </c>
      <c r="G310" s="30">
        <f>(M310*Settings!$B$2)+(N310*Settings!$B$3)+(O310*Settings!$B$4)+(P310*Settings!$B$5)+(Q310*Settings!$B$6)+((T310-U310-V310-O310)*Settings!$B$9)+(U310*Settings!$B$10)+(V310*Settings!$B$11)+(W310*Settings!$B$12)+(X310*Settings!$B$13)+(AA310*Settings!$B$16)</f>
        <v>265.57555555555552</v>
      </c>
      <c r="H310" s="31">
        <f>VLOOKUP(B310,'Standard Deviations'!$A1:$D651,4,FALSE)</f>
        <v>0.30963798830424749</v>
      </c>
      <c r="I310" s="32">
        <f ca="1">IF(Settings!$J$15="no",VLOOKUP(B310,'3B'!A1:I55,IF(Settings!$J$13="points",6,9),FALSE),VLOOKUP(B310,'1B+3B'!$A1:$I104,IF(Settings!$J$13="points",6,9),FALSE))</f>
        <v>8.4156140533504231E-2</v>
      </c>
      <c r="J310" s="31"/>
      <c r="K310" s="31">
        <f ca="1">J310-A310</f>
        <v>-309</v>
      </c>
      <c r="L310" s="31"/>
      <c r="M310" s="31">
        <f>VLOOKUP($B310,Hitters!$A1:$R401,4,FALSE)</f>
        <v>426.5</v>
      </c>
      <c r="N310" s="31">
        <f>VLOOKUP($B310,Hitters!$A1:$R401,5,FALSE)</f>
        <v>49.206666666666671</v>
      </c>
      <c r="O310" s="31">
        <f>VLOOKUP($B310,Hitters!$A1:$R401,6,FALSE)</f>
        <v>6.6444444444444448</v>
      </c>
      <c r="P310" s="31">
        <f>VLOOKUP($B310,Hitters!$A1:$R401,7,FALSE)</f>
        <v>44.576666666666661</v>
      </c>
      <c r="Q310" s="31">
        <f>VLOOKUP($B310,Hitters!$A1:$R401,8,FALSE)</f>
        <v>12.94</v>
      </c>
      <c r="R310" s="152">
        <f>VLOOKUP($B310,Hitters!$A$1:$R$401,14,FALSE)</f>
        <v>0.26076592418913636</v>
      </c>
      <c r="S310" s="152">
        <f>VLOOKUP($B310,Hitters!$A$1:$R$401,15,FALSE)</f>
        <v>0.30976390904520917</v>
      </c>
      <c r="T310" s="154">
        <f>VLOOKUP($B310,Hitters!$A$1:$R$401,9,FALSE)</f>
        <v>111.21666666666665</v>
      </c>
      <c r="U310" s="154">
        <f>VLOOKUP($B310,Hitters!$A$1:$R$401,10,FALSE)</f>
        <v>25.099999999999998</v>
      </c>
      <c r="V310" s="154">
        <f>VLOOKUP($B310,Hitters!$A$1:$R$401,11,FALSE)</f>
        <v>2.9844444444444442</v>
      </c>
      <c r="W310" s="154">
        <f>VLOOKUP($B310,Hitters!$A$1:$R$401,12,FALSE)</f>
        <v>23.441666666666666</v>
      </c>
      <c r="X310" s="154">
        <f>VLOOKUP($B310,Hitters!$A$1:$R$401,13,FALSE)</f>
        <v>79.49666666666667</v>
      </c>
      <c r="Y310" s="152">
        <f>VLOOKUP($B310,Hitters!$A$1:$R$401,16,FALSE)</f>
        <v>0.38034909469844996</v>
      </c>
      <c r="Z310" s="152">
        <f>VLOOKUP($B310,Hitters!$A$1:$R$401,17,FALSE)</f>
        <v>0.69011300374365914</v>
      </c>
      <c r="AA310" s="31">
        <f>VLOOKUP($B310,Hitters!$A1:$R401,18,FALSE)</f>
        <v>0</v>
      </c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</row>
    <row r="311" spans="1:44" ht="18.600000000000001" customHeight="1">
      <c r="A311" s="25">
        <f ca="1">RANK(I311,I$2:I$651)</f>
        <v>310</v>
      </c>
      <c r="B311" s="26" t="s">
        <v>427</v>
      </c>
      <c r="C311" s="27" t="s">
        <v>156</v>
      </c>
      <c r="D311" s="27" t="s">
        <v>69</v>
      </c>
      <c r="E311" s="36" t="s">
        <v>31</v>
      </c>
      <c r="F311" s="37">
        <f ca="1">VLOOKUP(B311,SP!A1:I161,IF(Settings!$J$13="points",4,7),FALSE)</f>
        <v>90</v>
      </c>
      <c r="G311" s="30">
        <f>(AC311*Settings!$F$2)+(AF311*Settings!$F$5)+(AG311*Settings!$F$6)+(AH311*Settings!$F$7)+(AI311*Settings!$F$8)+(AJ311*Settings!$F$9)+(AK311*Settings!$F$10)+(AL311*Settings!$F$11)+(AM311*Settings!$F$12)+(AN311*Settings!$F$13)+(AO311*Settings!$F$14)+(AP311*Settings!$F$15)+(AQ311*Settings!$F$16)+(AR311*Settings!$F$17)</f>
        <v>276.91026666666664</v>
      </c>
      <c r="H311" s="31">
        <f>VLOOKUP(B311,'Standard Deviations'!$A1:$D651,4,FALSE)</f>
        <v>-0.81050116728825305</v>
      </c>
      <c r="I311" s="32">
        <f ca="1">IF(Settings!$J$16="no",VLOOKUP(B311,SP!A1:I161,IF(Settings!$J$13="points",6,9),FALSE),VLOOKUP(B311,'SP+RP'!$A1:$I251,IF(Settings!$J$13="points",6,9),FALSE))</f>
        <v>5.7082094802251571E-2</v>
      </c>
      <c r="J311" s="31"/>
      <c r="K311" s="31">
        <f ca="1">J311-A311</f>
        <v>-310</v>
      </c>
      <c r="L311" s="31"/>
      <c r="M311" s="31"/>
      <c r="N311" s="31"/>
      <c r="O311" s="31"/>
      <c r="P311" s="31"/>
      <c r="Q311" s="31"/>
      <c r="R311" s="152"/>
      <c r="S311" s="152"/>
      <c r="T311" s="154"/>
      <c r="U311" s="154"/>
      <c r="V311" s="154"/>
      <c r="W311" s="154"/>
      <c r="X311" s="154"/>
      <c r="Y311" s="152"/>
      <c r="Z311" s="152"/>
      <c r="AA311" s="31"/>
      <c r="AB311" s="31"/>
      <c r="AC311" s="31">
        <f>VLOOKUP($B311,Pitchers!$A1:$S251,4,FALSE)</f>
        <v>122.66499999999998</v>
      </c>
      <c r="AD311" s="33">
        <f>VLOOKUP($B311,Pitchers!$A1:$S251,5,FALSE)</f>
        <v>4.0830522153833613</v>
      </c>
      <c r="AE311" s="33">
        <f>VLOOKUP($B311,Pitchers!$A1:$S251,6,FALSE)</f>
        <v>1.228821043764182</v>
      </c>
      <c r="AF311" s="31">
        <f>VLOOKUP($B311,Pitchers!$A1:$S251,7,FALSE)</f>
        <v>118.24333333333334</v>
      </c>
      <c r="AG311" s="31">
        <f>VLOOKUP($B311,Pitchers!$A1:$S251,8,FALSE)</f>
        <v>7.9216666666666669</v>
      </c>
      <c r="AH311" s="31">
        <f>VLOOKUP($B311,Pitchers!$A1:$S251,9,FALSE)</f>
        <v>0</v>
      </c>
      <c r="AI311" s="31">
        <f>VLOOKUP($B311,Pitchers!$A1:$S251,10,FALSE)</f>
        <v>55.64973333333333</v>
      </c>
      <c r="AJ311" s="31">
        <f>VLOOKUP($B311,Pitchers!$A1:$S251,11,FALSE)</f>
        <v>114.435</v>
      </c>
      <c r="AK311" s="31">
        <f>VLOOKUP($B311,Pitchers!$A1:$S251,12,FALSE)</f>
        <v>36.298333333333332</v>
      </c>
      <c r="AL311" s="31">
        <f>VLOOKUP($B311,Pitchers!$A1:$S251,13,FALSE)</f>
        <v>17.5</v>
      </c>
      <c r="AM311" s="31">
        <f>VLOOKUP($B311,Pitchers!$A1:$S251,14,FALSE)</f>
        <v>28.323333333333334</v>
      </c>
      <c r="AN311" s="31">
        <f>VLOOKUP($B311,Pitchers!$A1:$S251,15,FALSE)</f>
        <v>22.00333333333333</v>
      </c>
      <c r="AO311" s="31">
        <f>VLOOKUP($B311,Pitchers!$A1:$S251,16,FALSE)</f>
        <v>6.455000000000001</v>
      </c>
      <c r="AP311" s="31">
        <f>VLOOKUP($B311,Pitchers!$A1:$S251,17,FALSE)</f>
        <v>11</v>
      </c>
      <c r="AQ311" s="31">
        <f>VLOOKUP($B311,Pitchers!$A1:$S251,18,FALSE)</f>
        <v>2</v>
      </c>
      <c r="AR311" s="31">
        <f>VLOOKUP($B311,Pitchers!$A1:$S251,19,FALSE)</f>
        <v>0</v>
      </c>
    </row>
    <row r="312" spans="1:44" ht="18.600000000000001" customHeight="1">
      <c r="A312" s="25">
        <f ca="1">RANK(I312,I$2:I$651)</f>
        <v>311</v>
      </c>
      <c r="B312" s="26" t="s">
        <v>506</v>
      </c>
      <c r="C312" s="27" t="s">
        <v>95</v>
      </c>
      <c r="D312" s="27" t="s">
        <v>74</v>
      </c>
      <c r="E312" s="42" t="s">
        <v>34</v>
      </c>
      <c r="F312" s="43">
        <f ca="1">VLOOKUP(B312,RP!A1:I91,IF(Settings!$J$13="points",4,7),FALSE)</f>
        <v>41</v>
      </c>
      <c r="G312" s="30">
        <f>(AC312*Settings!$F$2)+(AF312*Settings!$F$5)+(AG312*Settings!$F$6)+(AH312*Settings!$F$7)+(AI312*Settings!$F$8)+(AJ312*Settings!$F$9)+(AK312*Settings!$F$10)+(AL312*Settings!$F$11)+(AM312*Settings!$F$12)+(AN312*Settings!$F$13)+(AO312*Settings!$F$14)+(AP312*Settings!$F$15)+(AQ312*Settings!$F$16)+(AR312*Settings!$F$17)</f>
        <v>180.62333333333331</v>
      </c>
      <c r="H312" s="31">
        <f>VLOOKUP(B312,'Standard Deviations'!$A1:$D651,4,FALSE)</f>
        <v>-0.82110475520741677</v>
      </c>
      <c r="I312" s="32">
        <f ca="1">IF(Settings!$J$16="no",VLOOKUP(B312,RP!A1:I91,IF(Settings!$J$13="points",6,9),FALSE),VLOOKUP(B312,'SP+RP'!$A1:$I251,IF(Settings!$J$13="points",6,9),FALSE))</f>
        <v>4.6471677749475582E-2</v>
      </c>
      <c r="J312" s="31"/>
      <c r="K312" s="31">
        <f ca="1">J312-A312</f>
        <v>-311</v>
      </c>
      <c r="L312" s="31"/>
      <c r="M312" s="31"/>
      <c r="N312" s="31"/>
      <c r="O312" s="31"/>
      <c r="P312" s="31"/>
      <c r="Q312" s="31"/>
      <c r="R312" s="152"/>
      <c r="S312" s="152"/>
      <c r="T312" s="154"/>
      <c r="U312" s="154"/>
      <c r="V312" s="154"/>
      <c r="W312" s="154"/>
      <c r="X312" s="154"/>
      <c r="Y312" s="152"/>
      <c r="Z312" s="152"/>
      <c r="AA312" s="31"/>
      <c r="AB312" s="31"/>
      <c r="AC312" s="31">
        <f>VLOOKUP($B312,Pitchers!$A1:$S251,4,FALSE)</f>
        <v>64.28</v>
      </c>
      <c r="AD312" s="33">
        <f>VLOOKUP($B312,Pitchers!$A1:$S251,5,FALSE)</f>
        <v>3.4893434971997515</v>
      </c>
      <c r="AE312" s="33">
        <f>VLOOKUP($B312,Pitchers!$A1:$S251,6,FALSE)</f>
        <v>1.2376581622070111</v>
      </c>
      <c r="AF312" s="31">
        <f>VLOOKUP($B312,Pitchers!$A1:$S251,7,FALSE)</f>
        <v>74.575555555555553</v>
      </c>
      <c r="AG312" s="31">
        <f>VLOOKUP($B312,Pitchers!$A1:$S251,8,FALSE)</f>
        <v>4.0383333333333331</v>
      </c>
      <c r="AH312" s="31">
        <f>VLOOKUP($B312,Pitchers!$A1:$S251,9,FALSE)</f>
        <v>5.9666666666666659</v>
      </c>
      <c r="AI312" s="31">
        <f>VLOOKUP($B312,Pitchers!$A1:$S251,10,FALSE)</f>
        <v>24.921666666666667</v>
      </c>
      <c r="AJ312" s="31">
        <f>VLOOKUP($B312,Pitchers!$A1:$S251,11,FALSE)</f>
        <v>53.080000000000005</v>
      </c>
      <c r="AK312" s="31">
        <f>VLOOKUP($B312,Pitchers!$A1:$S251,12,FALSE)</f>
        <v>26.47666666666667</v>
      </c>
      <c r="AL312" s="31">
        <f>VLOOKUP($B312,Pitchers!$A1:$S251,13,FALSE)</f>
        <v>6.0333333333333341</v>
      </c>
      <c r="AM312" s="31">
        <f>VLOOKUP($B312,Pitchers!$A1:$S251,14,FALSE)</f>
        <v>66.48</v>
      </c>
      <c r="AN312" s="31">
        <f>VLOOKUP($B312,Pitchers!$A1:$S251,15,FALSE)</f>
        <v>0</v>
      </c>
      <c r="AO312" s="31">
        <f>VLOOKUP($B312,Pitchers!$A1:$S251,16,FALSE)</f>
        <v>3.0122222222222224</v>
      </c>
      <c r="AP312" s="31">
        <f>VLOOKUP($B312,Pitchers!$A1:$S251,17,FALSE)</f>
        <v>0</v>
      </c>
      <c r="AQ312" s="31">
        <f>VLOOKUP($B312,Pitchers!$A1:$S251,18,FALSE)</f>
        <v>18.5</v>
      </c>
      <c r="AR312" s="31">
        <f>VLOOKUP($B312,Pitchers!$A1:$S251,19,FALSE)</f>
        <v>1</v>
      </c>
    </row>
    <row r="313" spans="1:44" ht="18.600000000000001" customHeight="1">
      <c r="A313" s="25">
        <f ca="1">RANK(I313,I$2:I$651)</f>
        <v>312</v>
      </c>
      <c r="B313" s="26" t="s">
        <v>513</v>
      </c>
      <c r="C313" s="27" t="s">
        <v>78</v>
      </c>
      <c r="D313" s="27" t="s">
        <v>69</v>
      </c>
      <c r="E313" s="42" t="s">
        <v>34</v>
      </c>
      <c r="F313" s="43">
        <f ca="1">VLOOKUP(B313,RP!A1:I91,IF(Settings!$J$13="points",4,7),FALSE)</f>
        <v>42</v>
      </c>
      <c r="G313" s="30">
        <f>(AC313*Settings!$F$2)+(AF313*Settings!$F$5)+(AG313*Settings!$F$6)+(AH313*Settings!$F$7)+(AI313*Settings!$F$8)+(AJ313*Settings!$F$9)+(AK313*Settings!$F$10)+(AL313*Settings!$F$11)+(AM313*Settings!$F$12)+(AN313*Settings!$F$13)+(AO313*Settings!$F$14)+(AP313*Settings!$F$15)+(AQ313*Settings!$F$16)+(AR313*Settings!$F$17)</f>
        <v>160.68999999999997</v>
      </c>
      <c r="H313" s="31">
        <f>VLOOKUP(B313,'Standard Deviations'!$A1:$D651,4,FALSE)</f>
        <v>-0.82233434797882321</v>
      </c>
      <c r="I313" s="32">
        <f ca="1">IF(Settings!$J$16="no",VLOOKUP(B313,RP!A1:I91,IF(Settings!$J$13="points",6,9),FALSE),VLOOKUP(B313,'SP+RP'!$A1:$I251,IF(Settings!$J$13="points",6,9),FALSE))</f>
        <v>4.524534302523564E-2</v>
      </c>
      <c r="J313" s="31"/>
      <c r="K313" s="31">
        <f ca="1">J313-A313</f>
        <v>-312</v>
      </c>
      <c r="L313" s="31"/>
      <c r="M313" s="31"/>
      <c r="N313" s="31"/>
      <c r="O313" s="31"/>
      <c r="P313" s="31"/>
      <c r="Q313" s="31"/>
      <c r="R313" s="152"/>
      <c r="S313" s="152"/>
      <c r="T313" s="154"/>
      <c r="U313" s="154"/>
      <c r="V313" s="154"/>
      <c r="W313" s="154"/>
      <c r="X313" s="154"/>
      <c r="Y313" s="152"/>
      <c r="Z313" s="152"/>
      <c r="AA313" s="31"/>
      <c r="AB313" s="31"/>
      <c r="AC313" s="31">
        <f>VLOOKUP($B313,Pitchers!$A1:$S251,4,FALSE)</f>
        <v>62.516666666666659</v>
      </c>
      <c r="AD313" s="33">
        <f>VLOOKUP($B313,Pitchers!$A1:$S251,5,FALSE)</f>
        <v>3.6491069048253801</v>
      </c>
      <c r="AE313" s="33">
        <f>VLOOKUP($B313,Pitchers!$A1:$S251,6,FALSE)</f>
        <v>1.1678130276370746</v>
      </c>
      <c r="AF313" s="31">
        <f>VLOOKUP($B313,Pitchers!$A1:$S251,7,FALSE)</f>
        <v>73.978888888888889</v>
      </c>
      <c r="AG313" s="31">
        <f>VLOOKUP($B313,Pitchers!$A1:$S251,8,FALSE)</f>
        <v>4.0016666666666669</v>
      </c>
      <c r="AH313" s="31">
        <f>VLOOKUP($B313,Pitchers!$A1:$S251,9,FALSE)</f>
        <v>3.0833333333333335</v>
      </c>
      <c r="AI313" s="31">
        <f>VLOOKUP($B313,Pitchers!$A1:$S251,10,FALSE)</f>
        <v>25.347777777777779</v>
      </c>
      <c r="AJ313" s="31">
        <f>VLOOKUP($B313,Pitchers!$A1:$S251,11,FALSE)</f>
        <v>51.141111111111115</v>
      </c>
      <c r="AK313" s="31">
        <f>VLOOKUP($B313,Pitchers!$A1:$S251,12,FALSE)</f>
        <v>21.866666666666664</v>
      </c>
      <c r="AL313" s="31">
        <f>VLOOKUP($B313,Pitchers!$A1:$S251,13,FALSE)</f>
        <v>7.0333333333333341</v>
      </c>
      <c r="AM313" s="31">
        <f>VLOOKUP($B313,Pitchers!$A1:$S251,14,FALSE)</f>
        <v>64.846666666666678</v>
      </c>
      <c r="AN313" s="31">
        <f>VLOOKUP($B313,Pitchers!$A1:$S251,15,FALSE)</f>
        <v>0</v>
      </c>
      <c r="AO313" s="31">
        <f>VLOOKUP($B313,Pitchers!$A1:$S251,16,FALSE)</f>
        <v>3.0177777777777774</v>
      </c>
      <c r="AP313" s="31">
        <f>VLOOKUP($B313,Pitchers!$A1:$S251,17,FALSE)</f>
        <v>0</v>
      </c>
      <c r="AQ313" s="31">
        <f>VLOOKUP($B313,Pitchers!$A1:$S251,18,FALSE)</f>
        <v>18.5</v>
      </c>
      <c r="AR313" s="31">
        <f>VLOOKUP($B313,Pitchers!$A1:$S251,19,FALSE)</f>
        <v>1</v>
      </c>
    </row>
    <row r="314" spans="1:44" ht="20.100000000000001" customHeight="1">
      <c r="A314" s="25">
        <f ca="1">RANK(I314,I$2:I$651)</f>
        <v>313</v>
      </c>
      <c r="B314" s="26" t="s">
        <v>395</v>
      </c>
      <c r="C314" s="27" t="s">
        <v>71</v>
      </c>
      <c r="D314" s="27" t="s">
        <v>69</v>
      </c>
      <c r="E314" s="28" t="s">
        <v>23</v>
      </c>
      <c r="F314" s="29">
        <f ca="1">VLOOKUP(B314,OF!A1:I139,IF(Settings!$J$13="points",4,7),FALSE)</f>
        <v>72</v>
      </c>
      <c r="G314" s="30">
        <f>(M314*Settings!$B$2)+(N314*Settings!$B$3)+(O314*Settings!$B$4)+(P314*Settings!$B$5)+(Q314*Settings!$B$6)+((T314-U314-V314-O314)*Settings!$B$9)+(U314*Settings!$B$10)+(V314*Settings!$B$11)+(W314*Settings!$B$12)+(X314*Settings!$B$13)+(AA314*Settings!$B$16)</f>
        <v>275.85231481481475</v>
      </c>
      <c r="H314" s="31">
        <f>VLOOKUP(B314,'Standard Deviations'!$A1:$D651,4,FALSE)</f>
        <v>-0.11289413666963166</v>
      </c>
      <c r="I314" s="32">
        <f ca="1">VLOOKUP(B314,OF!A1:I139,IF(Settings!$J$13="points",6,9),FALSE)</f>
        <v>4.4037482857241184E-2</v>
      </c>
      <c r="J314" s="31"/>
      <c r="K314" s="31">
        <f ca="1">J314-A314</f>
        <v>-313</v>
      </c>
      <c r="L314" s="31"/>
      <c r="M314" s="31">
        <f>VLOOKUP($B314,Hitters!$A1:$R401,4,FALSE)</f>
        <v>419.84722222222223</v>
      </c>
      <c r="N314" s="31">
        <f>VLOOKUP($B314,Hitters!$A1:$R401,5,FALSE)</f>
        <v>52.864444444444445</v>
      </c>
      <c r="O314" s="31">
        <f>VLOOKUP($B314,Hitters!$A1:$R401,6,FALSE)</f>
        <v>17.666666666666664</v>
      </c>
      <c r="P314" s="31">
        <f>VLOOKUP($B314,Hitters!$A1:$R401,7,FALSE)</f>
        <v>53.531111111111109</v>
      </c>
      <c r="Q314" s="31">
        <f>VLOOKUP($B314,Hitters!$A1:$R401,8,FALSE)</f>
        <v>10.79</v>
      </c>
      <c r="R314" s="152">
        <f>VLOOKUP($B314,Hitters!$A$1:$R$401,14,FALSE)</f>
        <v>0.22100764166859638</v>
      </c>
      <c r="S314" s="152">
        <f>VLOOKUP($B314,Hitters!$A$1:$R$401,15,FALSE)</f>
        <v>0.2952600013217847</v>
      </c>
      <c r="T314" s="154">
        <f>VLOOKUP($B314,Hitters!$A$1:$R$401,9,FALSE)</f>
        <v>92.789444444444442</v>
      </c>
      <c r="U314" s="154">
        <f>VLOOKUP($B314,Hitters!$A$1:$R$401,10,FALSE)</f>
        <v>20.972222222222221</v>
      </c>
      <c r="V314" s="154">
        <f>VLOOKUP($B314,Hitters!$A$1:$R$401,11,FALSE)</f>
        <v>1.1108333333333333</v>
      </c>
      <c r="W314" s="154">
        <f>VLOOKUP($B314,Hitters!$A$1:$R$401,12,FALSE)</f>
        <v>37.257500000000007</v>
      </c>
      <c r="X314" s="154">
        <f>VLOOKUP($B314,Hitters!$A$1:$R$401,13,FALSE)</f>
        <v>116.72814814814815</v>
      </c>
      <c r="Y314" s="152">
        <f>VLOOKUP($B314,Hitters!$A$1:$R$401,16,FALSE)</f>
        <v>0.40248767739587815</v>
      </c>
      <c r="Z314" s="152">
        <f>VLOOKUP($B314,Hitters!$A$1:$R$401,17,FALSE)</f>
        <v>0.69774767871766286</v>
      </c>
      <c r="AA314" s="31">
        <f>VLOOKUP($B314,Hitters!$A1:$R401,18,FALSE)</f>
        <v>0</v>
      </c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</row>
    <row r="315" spans="1:44" ht="18.600000000000001" customHeight="1">
      <c r="A315" s="25">
        <f ca="1">RANK(I315,I$2:I$651)</f>
        <v>314</v>
      </c>
      <c r="B315" s="26" t="s">
        <v>429</v>
      </c>
      <c r="C315" s="27" t="s">
        <v>156</v>
      </c>
      <c r="D315" s="27" t="s">
        <v>69</v>
      </c>
      <c r="E315" s="28" t="s">
        <v>23</v>
      </c>
      <c r="F315" s="29">
        <f ca="1">VLOOKUP(B315,OF!A1:I139,IF(Settings!$J$13="points",4,7),FALSE)</f>
        <v>73</v>
      </c>
      <c r="G315" s="30">
        <f>(M315*Settings!$B$2)+(N315*Settings!$B$3)+(O315*Settings!$B$4)+(P315*Settings!$B$5)+(Q315*Settings!$B$6)+((T315-U315-V315-O315)*Settings!$B$9)+(U315*Settings!$B$10)+(V315*Settings!$B$11)+(W315*Settings!$B$12)+(X315*Settings!$B$13)+(AA315*Settings!$B$16)</f>
        <v>253.75077777777776</v>
      </c>
      <c r="H315" s="31">
        <f>VLOOKUP(B315,'Standard Deviations'!$A1:$D651,4,FALSE)</f>
        <v>-0.11777691813785973</v>
      </c>
      <c r="I315" s="32">
        <f ca="1">VLOOKUP(B315,OF!A1:I139,IF(Settings!$J$13="points",6,9),FALSE)</f>
        <v>3.915884854635665E-2</v>
      </c>
      <c r="J315" s="31"/>
      <c r="K315" s="31">
        <f ca="1">J315-A315</f>
        <v>-314</v>
      </c>
      <c r="L315" s="31"/>
      <c r="M315" s="31">
        <f>VLOOKUP($B315,Hitters!$A1:$R401,4,FALSE)</f>
        <v>394.98833333333329</v>
      </c>
      <c r="N315" s="31">
        <f>VLOOKUP($B315,Hitters!$A1:$R401,5,FALSE)</f>
        <v>48.822333333333326</v>
      </c>
      <c r="O315" s="31">
        <f>VLOOKUP($B315,Hitters!$A1:$R401,6,FALSE)</f>
        <v>13.3405</v>
      </c>
      <c r="P315" s="31">
        <f>VLOOKUP($B315,Hitters!$A1:$R401,7,FALSE)</f>
        <v>53.133166666666675</v>
      </c>
      <c r="Q315" s="31">
        <f>VLOOKUP($B315,Hitters!$A1:$R401,8,FALSE)</f>
        <v>2.1113333333333335</v>
      </c>
      <c r="R315" s="152">
        <f>VLOOKUP($B315,Hitters!$A$1:$R$401,14,FALSE)</f>
        <v>0.25889161283244655</v>
      </c>
      <c r="S315" s="152">
        <f>VLOOKUP($B315,Hitters!$A$1:$R$401,15,FALSE)</f>
        <v>0.31840911608464101</v>
      </c>
      <c r="T315" s="154">
        <f>VLOOKUP($B315,Hitters!$A$1:$R$401,9,FALSE)</f>
        <v>102.25916666666666</v>
      </c>
      <c r="U315" s="154">
        <f>VLOOKUP($B315,Hitters!$A$1:$R$401,10,FALSE)</f>
        <v>20.611000000000001</v>
      </c>
      <c r="V315" s="154">
        <f>VLOOKUP($B315,Hitters!$A$1:$R$401,11,FALSE)</f>
        <v>1.0556666666666668</v>
      </c>
      <c r="W315" s="154">
        <f>VLOOKUP($B315,Hitters!$A$1:$R$401,12,FALSE)</f>
        <v>28.306666666666668</v>
      </c>
      <c r="X315" s="154">
        <f>VLOOKUP($B315,Hitters!$A$1:$R$401,13,FALSE)</f>
        <v>91.4741111111111</v>
      </c>
      <c r="Y315" s="152">
        <f>VLOOKUP($B315,Hitters!$A$1:$R$401,16,FALSE)</f>
        <v>0.41774145227918125</v>
      </c>
      <c r="Z315" s="152">
        <f>VLOOKUP($B315,Hitters!$A$1:$R$401,17,FALSE)</f>
        <v>0.73615056836382231</v>
      </c>
      <c r="AA315" s="31">
        <f>VLOOKUP($B315,Hitters!$A1:$R401,18,FALSE)</f>
        <v>0</v>
      </c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</row>
    <row r="316" spans="1:44" ht="18.600000000000001" customHeight="1">
      <c r="A316" s="25">
        <f ca="1">RANK(I316,I$2:I$651)</f>
        <v>315</v>
      </c>
      <c r="B316" s="26" t="s">
        <v>387</v>
      </c>
      <c r="C316" s="27" t="s">
        <v>86</v>
      </c>
      <c r="D316" s="27" t="s">
        <v>69</v>
      </c>
      <c r="E316" s="28" t="s">
        <v>23</v>
      </c>
      <c r="F316" s="29">
        <f ca="1">VLOOKUP(B316,OF!A1:I139,IF(Settings!$J$13="points",4,7),FALSE)</f>
        <v>74</v>
      </c>
      <c r="G316" s="30">
        <f>(M316*Settings!$B$2)+(N316*Settings!$B$3)+(O316*Settings!$B$4)+(P316*Settings!$B$5)+(Q316*Settings!$B$6)+((T316-U316-V316-O316)*Settings!$B$9)+(U316*Settings!$B$10)+(V316*Settings!$B$11)+(W316*Settings!$B$12)+(X316*Settings!$B$13)+(AA316*Settings!$B$16)</f>
        <v>253.35611111111112</v>
      </c>
      <c r="H316" s="31">
        <f>VLOOKUP(B316,'Standard Deviations'!$A1:$D651,4,FALSE)</f>
        <v>-0.11918965543488003</v>
      </c>
      <c r="I316" s="32">
        <f ca="1">VLOOKUP(B316,OF!A1:I139,IF(Settings!$J$13="points",6,9),FALSE)</f>
        <v>3.7745614632720706E-2</v>
      </c>
      <c r="J316" s="31"/>
      <c r="K316" s="31">
        <f ca="1">J316-A316</f>
        <v>-315</v>
      </c>
      <c r="L316" s="31"/>
      <c r="M316" s="31">
        <f>VLOOKUP($B316,Hitters!$A1:$R401,4,FALSE)</f>
        <v>413.2</v>
      </c>
      <c r="N316" s="31">
        <f>VLOOKUP($B316,Hitters!$A1:$R401,5,FALSE)</f>
        <v>49.800000000000004</v>
      </c>
      <c r="O316" s="31">
        <f>VLOOKUP($B316,Hitters!$A1:$R401,6,FALSE)</f>
        <v>9.6422222222222214</v>
      </c>
      <c r="P316" s="31">
        <f>VLOOKUP($B316,Hitters!$A1:$R401,7,FALSE)</f>
        <v>42.083333333333329</v>
      </c>
      <c r="Q316" s="31">
        <f>VLOOKUP($B316,Hitters!$A1:$R401,8,FALSE)</f>
        <v>16.861111111111111</v>
      </c>
      <c r="R316" s="152">
        <f>VLOOKUP($B316,Hitters!$A$1:$R$401,14,FALSE)</f>
        <v>0.23631010003226846</v>
      </c>
      <c r="S316" s="152">
        <f>VLOOKUP($B316,Hitters!$A$1:$R$401,15,FALSE)</f>
        <v>0.30205898856021679</v>
      </c>
      <c r="T316" s="154">
        <f>VLOOKUP($B316,Hitters!$A$1:$R$401,9,FALSE)</f>
        <v>97.643333333333331</v>
      </c>
      <c r="U316" s="154">
        <f>VLOOKUP($B316,Hitters!$A$1:$R$401,10,FALSE)</f>
        <v>19.691666666666666</v>
      </c>
      <c r="V316" s="154">
        <f>VLOOKUP($B316,Hitters!$A$1:$R$401,11,FALSE)</f>
        <v>2.9822222222222226</v>
      </c>
      <c r="W316" s="154">
        <f>VLOOKUP($B316,Hitters!$A$1:$R$401,12,FALSE)</f>
        <v>32.171666666666674</v>
      </c>
      <c r="X316" s="154">
        <f>VLOOKUP($B316,Hitters!$A$1:$R$401,13,FALSE)</f>
        <v>113.29444444444444</v>
      </c>
      <c r="Y316" s="152">
        <f>VLOOKUP($B316,Hitters!$A$1:$R$401,16,FALSE)</f>
        <v>0.36840781972679365</v>
      </c>
      <c r="Z316" s="152">
        <f>VLOOKUP($B316,Hitters!$A$1:$R$401,17,FALSE)</f>
        <v>0.67046680828701044</v>
      </c>
      <c r="AA316" s="31">
        <f>VLOOKUP($B316,Hitters!$A1:$R401,18,FALSE)</f>
        <v>0</v>
      </c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</row>
    <row r="317" spans="1:44" ht="18.600000000000001" customHeight="1">
      <c r="A317" s="25">
        <f ca="1">RANK(I317,I$2:I$651)</f>
        <v>316</v>
      </c>
      <c r="B317" s="26" t="s">
        <v>388</v>
      </c>
      <c r="C317" s="27" t="s">
        <v>86</v>
      </c>
      <c r="D317" s="27" t="s">
        <v>69</v>
      </c>
      <c r="E317" s="36" t="s">
        <v>31</v>
      </c>
      <c r="F317" s="37">
        <f ca="1">VLOOKUP(B317,SP!A1:I161,IF(Settings!$J$13="points",4,7),FALSE)</f>
        <v>91</v>
      </c>
      <c r="G317" s="30">
        <f>(AC317*Settings!$F$2)+(AF317*Settings!$F$5)+(AG317*Settings!$F$6)+(AH317*Settings!$F$7)+(AI317*Settings!$F$8)+(AJ317*Settings!$F$9)+(AK317*Settings!$F$10)+(AL317*Settings!$F$11)+(AM317*Settings!$F$12)+(AN317*Settings!$F$13)+(AO317*Settings!$F$14)+(AP317*Settings!$F$15)+(AQ317*Settings!$F$16)+(AR317*Settings!$F$17)</f>
        <v>348.67546666666658</v>
      </c>
      <c r="H317" s="31">
        <f>VLOOKUP(B317,'Standard Deviations'!$A1:$D651,4,FALSE)</f>
        <v>-0.83360809700489591</v>
      </c>
      <c r="I317" s="32">
        <f ca="1">IF(Settings!$J$16="no",VLOOKUP(B317,SP!A1:I161,IF(Settings!$J$13="points",6,9),FALSE),VLOOKUP(B317,'SP+RP'!$A1:$I251,IF(Settings!$J$13="points",6,9),FALSE))</f>
        <v>3.3974221554094131E-2</v>
      </c>
      <c r="J317" s="31"/>
      <c r="K317" s="31">
        <f ca="1">J317-A317</f>
        <v>-316</v>
      </c>
      <c r="L317" s="31"/>
      <c r="M317" s="31"/>
      <c r="N317" s="31"/>
      <c r="O317" s="31"/>
      <c r="P317" s="31"/>
      <c r="Q317" s="31"/>
      <c r="R317" s="152"/>
      <c r="S317" s="152"/>
      <c r="T317" s="154"/>
      <c r="U317" s="154"/>
      <c r="V317" s="154"/>
      <c r="W317" s="154"/>
      <c r="X317" s="154"/>
      <c r="Y317" s="152"/>
      <c r="Z317" s="152"/>
      <c r="AA317" s="31"/>
      <c r="AB317" s="31"/>
      <c r="AC317" s="31">
        <f>VLOOKUP($B317,Pitchers!$A1:$S251,4,FALSE)</f>
        <v>173.1022222222222</v>
      </c>
      <c r="AD317" s="33">
        <f>VLOOKUP($B317,Pitchers!$A1:$S251,5,FALSE)</f>
        <v>4.0354525264455186</v>
      </c>
      <c r="AE317" s="33">
        <f>VLOOKUP($B317,Pitchers!$A1:$S251,6,FALSE)</f>
        <v>1.3427326178494405</v>
      </c>
      <c r="AF317" s="31">
        <f>VLOOKUP($B317,Pitchers!$A1:$S251,7,FALSE)</f>
        <v>142.69888888888889</v>
      </c>
      <c r="AG317" s="31">
        <f>VLOOKUP($B317,Pitchers!$A1:$S251,8,FALSE)</f>
        <v>9.9966666666666679</v>
      </c>
      <c r="AH317" s="31">
        <f>VLOOKUP($B317,Pitchers!$A1:$S251,9,FALSE)</f>
        <v>0</v>
      </c>
      <c r="AI317" s="31">
        <f>VLOOKUP($B317,Pitchers!$A1:$S251,10,FALSE)</f>
        <v>77.616200000000006</v>
      </c>
      <c r="AJ317" s="31">
        <f>VLOOKUP($B317,Pitchers!$A1:$S251,11,FALSE)</f>
        <v>172.20777777777778</v>
      </c>
      <c r="AK317" s="31">
        <f>VLOOKUP($B317,Pitchers!$A1:$S251,12,FALSE)</f>
        <v>60.222222222222221</v>
      </c>
      <c r="AL317" s="31">
        <f>VLOOKUP($B317,Pitchers!$A1:$S251,13,FALSE)</f>
        <v>19.633333333333333</v>
      </c>
      <c r="AM317" s="31">
        <f>VLOOKUP($B317,Pitchers!$A1:$S251,14,FALSE)</f>
        <v>30.035555555555558</v>
      </c>
      <c r="AN317" s="31">
        <f>VLOOKUP($B317,Pitchers!$A1:$S251,15,FALSE)</f>
        <v>29.98</v>
      </c>
      <c r="AO317" s="31">
        <f>VLOOKUP($B317,Pitchers!$A1:$S251,16,FALSE)</f>
        <v>9.9822222222222212</v>
      </c>
      <c r="AP317" s="31">
        <f>VLOOKUP($B317,Pitchers!$A1:$S251,17,FALSE)</f>
        <v>16</v>
      </c>
      <c r="AQ317" s="31">
        <f>VLOOKUP($B317,Pitchers!$A1:$S251,18,FALSE)</f>
        <v>0</v>
      </c>
      <c r="AR317" s="31">
        <f>VLOOKUP($B317,Pitchers!$A1:$S251,19,FALSE)</f>
        <v>0</v>
      </c>
    </row>
    <row r="318" spans="1:44" ht="20.100000000000001" customHeight="1">
      <c r="A318" s="25">
        <f ca="1">RANK(I318,I$2:I$651)</f>
        <v>317</v>
      </c>
      <c r="B318" s="26" t="s">
        <v>530</v>
      </c>
      <c r="C318" s="27" t="s">
        <v>120</v>
      </c>
      <c r="D318" s="27" t="s">
        <v>74</v>
      </c>
      <c r="E318" s="42" t="s">
        <v>34</v>
      </c>
      <c r="F318" s="43">
        <f ca="1">VLOOKUP(B318,RP!A1:I91,IF(Settings!$J$13="points",4,7),FALSE)</f>
        <v>43</v>
      </c>
      <c r="G318" s="30">
        <f>(AC318*Settings!$F$2)+(AF318*Settings!$F$5)+(AG318*Settings!$F$6)+(AH318*Settings!$F$7)+(AI318*Settings!$F$8)+(AJ318*Settings!$F$9)+(AK318*Settings!$F$10)+(AL318*Settings!$F$11)+(AM318*Settings!$F$12)+(AN318*Settings!$F$13)+(AO318*Settings!$F$14)+(AP318*Settings!$F$15)+(AQ318*Settings!$F$16)+(AR318*Settings!$F$17)</f>
        <v>168.95055555555552</v>
      </c>
      <c r="H318" s="31">
        <f>VLOOKUP(B318,'Standard Deviations'!$A1:$D651,4,FALSE)</f>
        <v>-0.83689593109175697</v>
      </c>
      <c r="I318" s="32">
        <f ca="1">IF(Settings!$J$16="no",VLOOKUP(B318,RP!A1:I91,IF(Settings!$J$13="points",6,9),FALSE),VLOOKUP(B318,'SP+RP'!$A1:$I251,IF(Settings!$J$13="points",6,9),FALSE))</f>
        <v>3.0686586913610148E-2</v>
      </c>
      <c r="J318" s="31"/>
      <c r="K318" s="31">
        <f ca="1">J318-A318</f>
        <v>-317</v>
      </c>
      <c r="L318" s="31"/>
      <c r="M318" s="31"/>
      <c r="N318" s="31"/>
      <c r="O318" s="31"/>
      <c r="P318" s="31"/>
      <c r="Q318" s="31"/>
      <c r="R318" s="152"/>
      <c r="S318" s="152"/>
      <c r="T318" s="154"/>
      <c r="U318" s="154"/>
      <c r="V318" s="154"/>
      <c r="W318" s="154"/>
      <c r="X318" s="154"/>
      <c r="Y318" s="152"/>
      <c r="Z318" s="152"/>
      <c r="AA318" s="31"/>
      <c r="AB318" s="31"/>
      <c r="AC318" s="31">
        <f>VLOOKUP($B318,Pitchers!$A1:$S251,4,FALSE)</f>
        <v>60.342222222222226</v>
      </c>
      <c r="AD318" s="33">
        <f>VLOOKUP($B318,Pitchers!$A1:$S251,5,FALSE)</f>
        <v>3.4272022538115929</v>
      </c>
      <c r="AE318" s="33">
        <f>VLOOKUP($B318,Pitchers!$A1:$S251,6,FALSE)</f>
        <v>1.2095547617293951</v>
      </c>
      <c r="AF318" s="31">
        <f>VLOOKUP($B318,Pitchers!$A1:$S251,7,FALSE)</f>
        <v>62.523333333333333</v>
      </c>
      <c r="AG318" s="31">
        <f>VLOOKUP($B318,Pitchers!$A1:$S251,8,FALSE)</f>
        <v>2.9888888888888889</v>
      </c>
      <c r="AH318" s="31">
        <f>VLOOKUP($B318,Pitchers!$A1:$S251,9,FALSE)</f>
        <v>6.6777777777777771</v>
      </c>
      <c r="AI318" s="31">
        <f>VLOOKUP($B318,Pitchers!$A1:$S251,10,FALSE)</f>
        <v>22.978333333333335</v>
      </c>
      <c r="AJ318" s="31">
        <f>VLOOKUP($B318,Pitchers!$A1:$S251,11,FALSE)</f>
        <v>53.262222222222221</v>
      </c>
      <c r="AK318" s="31">
        <f>VLOOKUP($B318,Pitchers!$A1:$S251,12,FALSE)</f>
        <v>19.725000000000001</v>
      </c>
      <c r="AL318" s="31">
        <f>VLOOKUP($B318,Pitchers!$A1:$S251,13,FALSE)</f>
        <v>6</v>
      </c>
      <c r="AM318" s="31">
        <f>VLOOKUP($B318,Pitchers!$A1:$S251,14,FALSE)</f>
        <v>62.631111111111117</v>
      </c>
      <c r="AN318" s="31">
        <f>VLOOKUP($B318,Pitchers!$A1:$S251,15,FALSE)</f>
        <v>0</v>
      </c>
      <c r="AO318" s="31">
        <f>VLOOKUP($B318,Pitchers!$A1:$S251,16,FALSE)</f>
        <v>3.0077777777777777</v>
      </c>
      <c r="AP318" s="31">
        <f>VLOOKUP($B318,Pitchers!$A1:$S251,17,FALSE)</f>
        <v>0</v>
      </c>
      <c r="AQ318" s="31">
        <f>VLOOKUP($B318,Pitchers!$A1:$S251,18,FALSE)</f>
        <v>18.5</v>
      </c>
      <c r="AR318" s="31">
        <f>VLOOKUP($B318,Pitchers!$A1:$S251,19,FALSE)</f>
        <v>3</v>
      </c>
    </row>
    <row r="319" spans="1:44" ht="18.600000000000001" customHeight="1">
      <c r="A319" s="25">
        <f ca="1">RANK(I319,I$2:I$651)</f>
        <v>318</v>
      </c>
      <c r="B319" s="26" t="s">
        <v>383</v>
      </c>
      <c r="C319" s="27" t="s">
        <v>73</v>
      </c>
      <c r="D319" s="27" t="s">
        <v>74</v>
      </c>
      <c r="E319" s="46" t="s">
        <v>19</v>
      </c>
      <c r="F319" s="47">
        <f ca="1">VLOOKUP(B319,'C'!A1:I54,IF(Settings!$J$13="points",4,7),FALSE)</f>
        <v>14</v>
      </c>
      <c r="G319" s="30">
        <f>(M319*Settings!$B$2)+(N319*Settings!$B$3)+(O319*Settings!$B$4)+(P319*Settings!$B$5)+(Q319*Settings!$B$6)+((T319-U319-V319-O319)*Settings!$B$9)+(U319*Settings!$B$10)+(V319*Settings!$B$11)+(W319*Settings!$B$12)+(X319*Settings!$B$13)+(AA319*Settings!$B$16)</f>
        <v>230.74861111111116</v>
      </c>
      <c r="H319" s="31">
        <f>VLOOKUP(B319,'Standard Deviations'!$A1:$D651,4,FALSE)</f>
        <v>-0.76216070609421005</v>
      </c>
      <c r="I319" s="32">
        <f ca="1">VLOOKUP(B319,'C'!A1:I54,IF(Settings!$J$13="points",6,9),FALSE)</f>
        <v>2.4365868946936042E-2</v>
      </c>
      <c r="J319" s="31"/>
      <c r="K319" s="31">
        <f ca="1">J319-A319</f>
        <v>-318</v>
      </c>
      <c r="L319" s="31"/>
      <c r="M319" s="31">
        <f>VLOOKUP($B319,Hitters!$A1:$R401,4,FALSE)</f>
        <v>354.84444444444443</v>
      </c>
      <c r="N319" s="31">
        <f>VLOOKUP($B319,Hitters!$A1:$R401,5,FALSE)</f>
        <v>46.145555555555553</v>
      </c>
      <c r="O319" s="31">
        <f>VLOOKUP($B319,Hitters!$A1:$R401,6,FALSE)</f>
        <v>13.777777777777779</v>
      </c>
      <c r="P319" s="31">
        <f>VLOOKUP($B319,Hitters!$A1:$R401,7,FALSE)</f>
        <v>50.545555555555552</v>
      </c>
      <c r="Q319" s="31">
        <f>VLOOKUP($B319,Hitters!$A1:$R401,8,FALSE)</f>
        <v>0.31166666666666665</v>
      </c>
      <c r="R319" s="152">
        <f>VLOOKUP($B319,Hitters!$A$1:$R$401,14,FALSE)</f>
        <v>0.25502254509018041</v>
      </c>
      <c r="S319" s="152">
        <f>VLOOKUP($B319,Hitters!$A$1:$R$401,15,FALSE)</f>
        <v>0.31234342858879965</v>
      </c>
      <c r="T319" s="154">
        <f>VLOOKUP($B319,Hitters!$A$1:$R$401,9,FALSE)</f>
        <v>90.493333333333339</v>
      </c>
      <c r="U319" s="154">
        <f>VLOOKUP($B319,Hitters!$A$1:$R$401,10,FALSE)</f>
        <v>18.35777777777778</v>
      </c>
      <c r="V319" s="154">
        <f>VLOOKUP($B319,Hitters!$A$1:$R$401,11,FALSE)</f>
        <v>0.98555555555555552</v>
      </c>
      <c r="W319" s="154">
        <f>VLOOKUP($B319,Hitters!$A$1:$R$401,12,FALSE)</f>
        <v>23.931111111111111</v>
      </c>
      <c r="X319" s="154">
        <f>VLOOKUP($B319,Hitters!$A$1:$R$401,13,FALSE)</f>
        <v>85.304999999999993</v>
      </c>
      <c r="Y319" s="152">
        <f>VLOOKUP($B319,Hitters!$A$1:$R$401,16,FALSE)</f>
        <v>0.42879509018036077</v>
      </c>
      <c r="Z319" s="152">
        <f>VLOOKUP($B319,Hitters!$A$1:$R$401,17,FALSE)</f>
        <v>0.74113851876916037</v>
      </c>
      <c r="AA319" s="31">
        <f>VLOOKUP($B319,Hitters!$A1:$R401,18,FALSE)</f>
        <v>0</v>
      </c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</row>
    <row r="320" spans="1:44" ht="18.600000000000001" customHeight="1">
      <c r="A320" s="25">
        <f ca="1">RANK(I320,I$2:I$651)</f>
        <v>319</v>
      </c>
      <c r="B320" s="26" t="s">
        <v>450</v>
      </c>
      <c r="C320" s="27" t="s">
        <v>158</v>
      </c>
      <c r="D320" s="27" t="s">
        <v>74</v>
      </c>
      <c r="E320" s="42" t="s">
        <v>34</v>
      </c>
      <c r="F320" s="43">
        <f ca="1">VLOOKUP(B320,RP!A1:I91,IF(Settings!$J$13="points",4,7),FALSE)</f>
        <v>44</v>
      </c>
      <c r="G320" s="30">
        <f>(AC320*Settings!$F$2)+(AF320*Settings!$F$5)+(AG320*Settings!$F$6)+(AH320*Settings!$F$7)+(AI320*Settings!$F$8)+(AJ320*Settings!$F$9)+(AK320*Settings!$F$10)+(AL320*Settings!$F$11)+(AM320*Settings!$F$12)+(AN320*Settings!$F$13)+(AO320*Settings!$F$14)+(AP320*Settings!$F$15)+(AQ320*Settings!$F$16)+(AR320*Settings!$F$17)</f>
        <v>209.45555555555555</v>
      </c>
      <c r="H320" s="31">
        <f>VLOOKUP(B320,'Standard Deviations'!$A1:$D651,4,FALSE)</f>
        <v>-0.86758527493429294</v>
      </c>
      <c r="I320" s="32">
        <f ca="1">IF(Settings!$J$16="no",VLOOKUP(B320,RP!A1:I91,IF(Settings!$J$13="points",6,9),FALSE),VLOOKUP(B320,'SP+RP'!$A1:$I251,IF(Settings!$J$13="points",6,9),FALSE))</f>
        <v>0</v>
      </c>
      <c r="J320" s="31"/>
      <c r="K320" s="31">
        <f ca="1">J320-A320</f>
        <v>-319</v>
      </c>
      <c r="L320" s="31"/>
      <c r="M320" s="31"/>
      <c r="N320" s="31"/>
      <c r="O320" s="31"/>
      <c r="P320" s="31"/>
      <c r="Q320" s="31"/>
      <c r="R320" s="152"/>
      <c r="S320" s="152"/>
      <c r="T320" s="154"/>
      <c r="U320" s="154"/>
      <c r="V320" s="154"/>
      <c r="W320" s="154"/>
      <c r="X320" s="154"/>
      <c r="Y320" s="152"/>
      <c r="Z320" s="152"/>
      <c r="AA320" s="31"/>
      <c r="AB320" s="31"/>
      <c r="AC320" s="31">
        <f>VLOOKUP($B320,Pitchers!$A1:$S251,4,FALSE)</f>
        <v>62.652222222222214</v>
      </c>
      <c r="AD320" s="33">
        <f>VLOOKUP($B320,Pitchers!$A1:$S251,5,FALSE)</f>
        <v>3.769539078156313</v>
      </c>
      <c r="AE320" s="33">
        <f>VLOOKUP($B320,Pitchers!$A1:$S251,6,FALSE)</f>
        <v>1.2098356004043487</v>
      </c>
      <c r="AF320" s="31">
        <f>VLOOKUP($B320,Pitchers!$A1:$S251,7,FALSE)</f>
        <v>70.88666666666667</v>
      </c>
      <c r="AG320" s="31">
        <f>VLOOKUP($B320,Pitchers!$A1:$S251,8,FALSE)</f>
        <v>2.3366666666666669</v>
      </c>
      <c r="AH320" s="31">
        <f>VLOOKUP($B320,Pitchers!$A1:$S251,9,FALSE)</f>
        <v>12.4</v>
      </c>
      <c r="AI320" s="31">
        <f>VLOOKUP($B320,Pitchers!$A1:$S251,10,FALSE)</f>
        <v>26.24111111111111</v>
      </c>
      <c r="AJ320" s="31">
        <f>VLOOKUP($B320,Pitchers!$A1:$S251,11,FALSE)</f>
        <v>52.652222222222214</v>
      </c>
      <c r="AK320" s="31">
        <f>VLOOKUP($B320,Pitchers!$A1:$S251,12,FALSE)</f>
        <v>23.146666666666665</v>
      </c>
      <c r="AL320" s="31">
        <f>VLOOKUP($B320,Pitchers!$A1:$S251,13,FALSE)</f>
        <v>8.2666666666666675</v>
      </c>
      <c r="AM320" s="31">
        <f>VLOOKUP($B320,Pitchers!$A1:$S251,14,FALSE)</f>
        <v>63.396666666666668</v>
      </c>
      <c r="AN320" s="31">
        <f>VLOOKUP($B320,Pitchers!$A1:$S251,15,FALSE)</f>
        <v>0</v>
      </c>
      <c r="AO320" s="31">
        <f>VLOOKUP($B320,Pitchers!$A1:$S251,16,FALSE)</f>
        <v>3.0122222222222224</v>
      </c>
      <c r="AP320" s="31">
        <f>VLOOKUP($B320,Pitchers!$A1:$S251,17,FALSE)</f>
        <v>0</v>
      </c>
      <c r="AQ320" s="31">
        <f>VLOOKUP($B320,Pitchers!$A1:$S251,18,FALSE)</f>
        <v>13</v>
      </c>
      <c r="AR320" s="31">
        <f>VLOOKUP($B320,Pitchers!$A1:$S251,19,FALSE)</f>
        <v>9</v>
      </c>
    </row>
    <row r="321" spans="1:44" ht="18.600000000000001" customHeight="1">
      <c r="A321" s="25">
        <f ca="1">RANK(I321,I$2:I$651)</f>
        <v>319</v>
      </c>
      <c r="B321" s="26" t="s">
        <v>409</v>
      </c>
      <c r="C321" s="27" t="s">
        <v>71</v>
      </c>
      <c r="D321" s="27" t="s">
        <v>69</v>
      </c>
      <c r="E321" s="46" t="s">
        <v>19</v>
      </c>
      <c r="F321" s="47">
        <f ca="1">VLOOKUP(B321,'C'!A1:I54,IF(Settings!$J$13="points",4,7),FALSE)</f>
        <v>15</v>
      </c>
      <c r="G321" s="30">
        <f>(M321*Settings!$B$2)+(N321*Settings!$B$3)+(O321*Settings!$B$4)+(P321*Settings!$B$5)+(Q321*Settings!$B$6)+((T321-U321-V321-O321)*Settings!$B$9)+(U321*Settings!$B$10)+(V321*Settings!$B$11)+(W321*Settings!$B$12)+(X321*Settings!$B$13)+(AA321*Settings!$B$16)</f>
        <v>264.87833333333327</v>
      </c>
      <c r="H321" s="31">
        <f>VLOOKUP(B321,'Standard Deviations'!$A1:$D651,4,FALSE)</f>
        <v>-0.78652594541503607</v>
      </c>
      <c r="I321" s="32">
        <f ca="1">VLOOKUP(B321,'C'!A1:I54,IF(Settings!$J$13="points",6,9),FALSE)</f>
        <v>0</v>
      </c>
      <c r="J321" s="31"/>
      <c r="K321" s="31">
        <f ca="1">J321-A321</f>
        <v>-319</v>
      </c>
      <c r="L321" s="31"/>
      <c r="M321" s="31">
        <f>VLOOKUP($B321,Hitters!$A1:$R401,4,FALSE)</f>
        <v>406.61111111111109</v>
      </c>
      <c r="N321" s="31">
        <f>VLOOKUP($B321,Hitters!$A1:$R401,5,FALSE)</f>
        <v>49.926666666666669</v>
      </c>
      <c r="O321" s="31">
        <f>VLOOKUP($B321,Hitters!$A1:$R401,6,FALSE)</f>
        <v>21.718888888888888</v>
      </c>
      <c r="P321" s="31">
        <f>VLOOKUP($B321,Hitters!$A1:$R401,7,FALSE)</f>
        <v>60.522222222222219</v>
      </c>
      <c r="Q321" s="31">
        <f>VLOOKUP($B321,Hitters!$A1:$R401,8,FALSE)</f>
        <v>1.9911111111111113</v>
      </c>
      <c r="R321" s="152">
        <f>VLOOKUP($B321,Hitters!$A$1:$R$401,14,FALSE)</f>
        <v>0.21883044131711984</v>
      </c>
      <c r="S321" s="152">
        <f>VLOOKUP($B321,Hitters!$A$1:$R$401,15,FALSE)</f>
        <v>0.2913264304123323</v>
      </c>
      <c r="T321" s="154">
        <f>VLOOKUP($B321,Hitters!$A$1:$R$401,9,FALSE)</f>
        <v>88.978888888888889</v>
      </c>
      <c r="U321" s="154">
        <f>VLOOKUP($B321,Hitters!$A$1:$R$401,10,FALSE)</f>
        <v>21.482222222222219</v>
      </c>
      <c r="V321" s="154">
        <f>VLOOKUP($B321,Hitters!$A$1:$R$401,11,FALSE)</f>
        <v>0.99777777777777776</v>
      </c>
      <c r="W321" s="154">
        <f>VLOOKUP($B321,Hitters!$A$1:$R$401,12,FALSE)</f>
        <v>34.773333333333333</v>
      </c>
      <c r="X321" s="154">
        <f>VLOOKUP($B321,Hitters!$A$1:$R$401,13,FALSE)</f>
        <v>123.87888888888888</v>
      </c>
      <c r="Y321" s="152">
        <f>VLOOKUP($B321,Hitters!$A$1:$R$401,16,FALSE)</f>
        <v>0.43681377237327507</v>
      </c>
      <c r="Z321" s="152">
        <f>VLOOKUP($B321,Hitters!$A$1:$R$401,17,FALSE)</f>
        <v>0.72814020278560743</v>
      </c>
      <c r="AA321" s="31">
        <f>VLOOKUP($B321,Hitters!$A1:$R401,18,FALSE)</f>
        <v>0</v>
      </c>
      <c r="AB321" s="31"/>
      <c r="AC321" s="31"/>
      <c r="AD321" s="33"/>
      <c r="AE321" s="33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</row>
    <row r="322" spans="1:44" ht="18.600000000000001" customHeight="1">
      <c r="A322" s="25">
        <f ca="1">RANK(I322,I$2:I$651)</f>
        <v>319</v>
      </c>
      <c r="B322" s="26" t="s">
        <v>344</v>
      </c>
      <c r="C322" s="27" t="s">
        <v>97</v>
      </c>
      <c r="D322" s="27" t="s">
        <v>74</v>
      </c>
      <c r="E322" s="28" t="s">
        <v>23</v>
      </c>
      <c r="F322" s="29">
        <f ca="1">VLOOKUP(B322,OF!A1:I139,IF(Settings!$J$13="points",4,7),FALSE)</f>
        <v>75</v>
      </c>
      <c r="G322" s="30">
        <f>(M322*Settings!$B$2)+(N322*Settings!$B$3)+(O322*Settings!$B$4)+(P322*Settings!$B$5)+(Q322*Settings!$B$6)+((T322-U322-V322-O322)*Settings!$B$9)+(U322*Settings!$B$10)+(V322*Settings!$B$11)+(W322*Settings!$B$12)+(X322*Settings!$B$13)+(AA322*Settings!$B$16)</f>
        <v>235.4329166666667</v>
      </c>
      <c r="H322" s="31">
        <f>VLOOKUP(B322,'Standard Deviations'!$A1:$D651,4,FALSE)</f>
        <v>-0.15693013950578194</v>
      </c>
      <c r="I322" s="32">
        <f ca="1">VLOOKUP(B322,OF!A1:I139,IF(Settings!$J$13="points",6,9),FALSE)</f>
        <v>0</v>
      </c>
      <c r="J322" s="31"/>
      <c r="K322" s="31">
        <f ca="1">J322-A322</f>
        <v>-319</v>
      </c>
      <c r="L322" s="31"/>
      <c r="M322" s="31">
        <f>VLOOKUP($B322,Hitters!$A1:$R401,4,FALSE)</f>
        <v>382.8</v>
      </c>
      <c r="N322" s="31">
        <f>VLOOKUP($B322,Hitters!$A1:$R401,5,FALSE)</f>
        <v>48.208333333333336</v>
      </c>
      <c r="O322" s="31">
        <f>VLOOKUP($B322,Hitters!$A1:$R401,6,FALSE)</f>
        <v>9.1875</v>
      </c>
      <c r="P322" s="31">
        <f>VLOOKUP($B322,Hitters!$A1:$R401,7,FALSE)</f>
        <v>42.05833333333333</v>
      </c>
      <c r="Q322" s="31">
        <f>VLOOKUP($B322,Hitters!$A1:$R401,8,FALSE)</f>
        <v>16.93</v>
      </c>
      <c r="R322" s="152">
        <f>VLOOKUP($B322,Hitters!$A$1:$R$401,14,FALSE)</f>
        <v>0.23790491118077325</v>
      </c>
      <c r="S322" s="152">
        <f>VLOOKUP($B322,Hitters!$A$1:$R$401,15,FALSE)</f>
        <v>0.31287152345847885</v>
      </c>
      <c r="T322" s="154">
        <f>VLOOKUP($B322,Hitters!$A$1:$R$401,9,FALSE)</f>
        <v>91.070000000000007</v>
      </c>
      <c r="U322" s="154">
        <f>VLOOKUP($B322,Hitters!$A$1:$R$401,10,FALSE)</f>
        <v>18.400000000000002</v>
      </c>
      <c r="V322" s="154">
        <f>VLOOKUP($B322,Hitters!$A$1:$R$401,11,FALSE)</f>
        <v>1.9950000000000001</v>
      </c>
      <c r="W322" s="154">
        <f>VLOOKUP($B322,Hitters!$A$1:$R$401,12,FALSE)</f>
        <v>35.68</v>
      </c>
      <c r="X322" s="154">
        <f>VLOOKUP($B322,Hitters!$A$1:$R$401,13,FALSE)</f>
        <v>130.79249999999999</v>
      </c>
      <c r="Y322" s="152">
        <f>VLOOKUP($B322,Hitters!$A$1:$R$401,16,FALSE)</f>
        <v>0.36839733542319741</v>
      </c>
      <c r="Z322" s="152">
        <f>VLOOKUP($B322,Hitters!$A$1:$R$401,17,FALSE)</f>
        <v>0.68126885888167621</v>
      </c>
      <c r="AA322" s="31">
        <f>VLOOKUP($B322,Hitters!$A1:$R401,18,FALSE)</f>
        <v>0</v>
      </c>
      <c r="AB322" s="31"/>
      <c r="AC322" s="31"/>
      <c r="AD322" s="33"/>
      <c r="AE322" s="33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</row>
    <row r="323" spans="1:44" ht="18.600000000000001" customHeight="1">
      <c r="A323" s="25">
        <f ca="1">RANK(I323,I$2:I$651)</f>
        <v>319</v>
      </c>
      <c r="B323" s="26" t="s">
        <v>508</v>
      </c>
      <c r="C323" s="27" t="s">
        <v>217</v>
      </c>
      <c r="D323" s="27" t="s">
        <v>74</v>
      </c>
      <c r="E323" s="38" t="s">
        <v>27</v>
      </c>
      <c r="F323" s="39">
        <f ca="1">VLOOKUP(B323,SS!A1:I45,IF(Settings!$J$13="points",4,7),FALSE)</f>
        <v>24</v>
      </c>
      <c r="G323" s="30">
        <f>(M323*Settings!$B$2)+(N323*Settings!$B$3)+(O323*Settings!$B$4)+(P323*Settings!$B$5)+(Q323*Settings!$B$6)+((T323-U323-V323-O323)*Settings!$B$9)+(U323*Settings!$B$10)+(V323*Settings!$B$11)+(W323*Settings!$B$12)+(X323*Settings!$B$13)+(AA323*Settings!$B$16)</f>
        <v>282.97861111111109</v>
      </c>
      <c r="H323" s="31">
        <f>VLOOKUP(B323,'Standard Deviations'!$A1:$D651,4,FALSE)</f>
        <v>6.0468868394046651E-3</v>
      </c>
      <c r="I323" s="32">
        <f ca="1">IF(Settings!$J$16="no",VLOOKUP(B323,SS!A1:I45,IF(Settings!$J$13="points",6,9),FALSE),VLOOKUP(B323,'2B+SS'!$A1:$I94,IF(Settings!$J$13="points",6,9),FALSE))</f>
        <v>0</v>
      </c>
      <c r="J323" s="31"/>
      <c r="K323" s="31">
        <f ca="1">J323-A323</f>
        <v>-319</v>
      </c>
      <c r="L323" s="31"/>
      <c r="M323" s="31">
        <f>VLOOKUP($B323,Hitters!$A1:$R401,4,FALSE)</f>
        <v>435.5333333333333</v>
      </c>
      <c r="N323" s="31">
        <f>VLOOKUP($B323,Hitters!$A1:$R401,5,FALSE)</f>
        <v>54.975555555555559</v>
      </c>
      <c r="O323" s="31">
        <f>VLOOKUP($B323,Hitters!$A1:$R401,6,FALSE)</f>
        <v>13.045000000000002</v>
      </c>
      <c r="P323" s="31">
        <f>VLOOKUP($B323,Hitters!$A1:$R401,7,FALSE)</f>
        <v>56.303333333333335</v>
      </c>
      <c r="Q323" s="31">
        <f>VLOOKUP($B323,Hitters!$A1:$R401,8,FALSE)</f>
        <v>4.34</v>
      </c>
      <c r="R323" s="152">
        <f>VLOOKUP($B323,Hitters!$A$1:$R$401,14,FALSE)</f>
        <v>0.24772437369253536</v>
      </c>
      <c r="S323" s="152">
        <f>VLOOKUP($B323,Hitters!$A$1:$R$401,15,FALSE)</f>
        <v>0.32394184387374603</v>
      </c>
      <c r="T323" s="154">
        <f>VLOOKUP($B323,Hitters!$A$1:$R$401,9,FALSE)</f>
        <v>107.89222222222223</v>
      </c>
      <c r="U323" s="154">
        <f>VLOOKUP($B323,Hitters!$A$1:$R$401,10,FALSE)</f>
        <v>21.093333333333334</v>
      </c>
      <c r="V323" s="154">
        <f>VLOOKUP($B323,Hitters!$A$1:$R$401,11,FALSE)</f>
        <v>2</v>
      </c>
      <c r="W323" s="154">
        <f>VLOOKUP($B323,Hitters!$A$1:$R$401,12,FALSE)</f>
        <v>42.386666666666663</v>
      </c>
      <c r="X323" s="154">
        <f>VLOOKUP($B323,Hitters!$A$1:$R$401,13,FALSE)</f>
        <v>102.97500000000001</v>
      </c>
      <c r="Y323" s="152">
        <f>VLOOKUP($B323,Hitters!$A$1:$R$401,16,FALSE)</f>
        <v>0.39519490790346451</v>
      </c>
      <c r="Z323" s="152">
        <f>VLOOKUP($B323,Hitters!$A$1:$R$401,17,FALSE)</f>
        <v>0.71913675177721048</v>
      </c>
      <c r="AA323" s="31">
        <f>VLOOKUP($B323,Hitters!$A1:$R401,18,FALSE)</f>
        <v>0</v>
      </c>
      <c r="AB323" s="31"/>
      <c r="AC323" s="31"/>
      <c r="AD323" s="33"/>
      <c r="AE323" s="33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</row>
    <row r="324" spans="1:44" ht="20.100000000000001" customHeight="1">
      <c r="A324" s="25">
        <f ca="1">RANK(I324,I$2:I$651)</f>
        <v>319</v>
      </c>
      <c r="B324" s="26" t="s">
        <v>341</v>
      </c>
      <c r="C324" s="27" t="s">
        <v>123</v>
      </c>
      <c r="D324" s="27" t="s">
        <v>74</v>
      </c>
      <c r="E324" s="34" t="s">
        <v>15</v>
      </c>
      <c r="F324" s="35">
        <f ca="1">VLOOKUP(B324,'3B'!A1:I55,IF(Settings!$J$13="points",4,7),FALSE)</f>
        <v>24</v>
      </c>
      <c r="G324" s="30">
        <f>(M324*Settings!$B$2)+(N324*Settings!$B$3)+(O324*Settings!$B$4)+(P324*Settings!$B$5)+(Q324*Settings!$B$6)+((T324-U324-V324-O324)*Settings!$B$9)+(U324*Settings!$B$10)+(V324*Settings!$B$11)+(W324*Settings!$B$12)+(X324*Settings!$B$13)+(AA324*Settings!$B$16)</f>
        <v>294.05999999999995</v>
      </c>
      <c r="H324" s="31">
        <f>VLOOKUP(B324,'Standard Deviations'!$A1:$D651,4,FALSE)</f>
        <v>0.22548227510096863</v>
      </c>
      <c r="I324" s="32">
        <f ca="1">IF(Settings!$J$15="no",VLOOKUP(B324,'3B'!A1:I55,IF(Settings!$J$13="points",6,9),FALSE),VLOOKUP(B324,'1B+3B'!$A1:$I104,IF(Settings!$J$13="points",6,9),FALSE))</f>
        <v>0</v>
      </c>
      <c r="J324" s="31"/>
      <c r="K324" s="31">
        <f ca="1">J324-A324</f>
        <v>-319</v>
      </c>
      <c r="L324" s="31"/>
      <c r="M324" s="31">
        <f>VLOOKUP($B324,Hitters!$A1:$R401,4,FALSE)</f>
        <v>429.25</v>
      </c>
      <c r="N324" s="31">
        <f>VLOOKUP($B324,Hitters!$A1:$R401,5,FALSE)</f>
        <v>60.81111111111111</v>
      </c>
      <c r="O324" s="31">
        <f>VLOOKUP($B324,Hitters!$A1:$R401,6,FALSE)</f>
        <v>7.3511111111111118</v>
      </c>
      <c r="P324" s="31">
        <f>VLOOKUP($B324,Hitters!$A1:$R401,7,FALSE)</f>
        <v>48.267777777777781</v>
      </c>
      <c r="Q324" s="31">
        <f>VLOOKUP($B324,Hitters!$A1:$R401,8,FALSE)</f>
        <v>5.376666666666666</v>
      </c>
      <c r="R324" s="152">
        <f>VLOOKUP($B324,Hitters!$A$1:$R$401,14,FALSE)</f>
        <v>0.26472529605901768</v>
      </c>
      <c r="S324" s="152">
        <f>VLOOKUP($B324,Hitters!$A$1:$R$401,15,FALSE)</f>
        <v>0.35389625756993237</v>
      </c>
      <c r="T324" s="154">
        <f>VLOOKUP($B324,Hitters!$A$1:$R$401,9,FALSE)</f>
        <v>113.63333333333334</v>
      </c>
      <c r="U324" s="154">
        <f>VLOOKUP($B324,Hitters!$A$1:$R$401,10,FALSE)</f>
        <v>22.97</v>
      </c>
      <c r="V324" s="154">
        <f>VLOOKUP($B324,Hitters!$A$1:$R$401,11,FALSE)</f>
        <v>1.8133333333333332</v>
      </c>
      <c r="W324" s="154">
        <f>VLOOKUP($B324,Hitters!$A$1:$R$401,12,FALSE)</f>
        <v>53.213333333333338</v>
      </c>
      <c r="X324" s="154">
        <f>VLOOKUP($B324,Hitters!$A$1:$R$401,13,FALSE)</f>
        <v>82.537777777777777</v>
      </c>
      <c r="Y324" s="152">
        <f>VLOOKUP($B324,Hitters!$A$1:$R$401,16,FALSE)</f>
        <v>0.37806251213356629</v>
      </c>
      <c r="Z324" s="152">
        <f>VLOOKUP($B324,Hitters!$A$1:$R$401,17,FALSE)</f>
        <v>0.7319587697034986</v>
      </c>
      <c r="AA324" s="31">
        <f>VLOOKUP($B324,Hitters!$A1:$R401,18,FALSE)</f>
        <v>0</v>
      </c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</row>
    <row r="325" spans="1:44" ht="18.600000000000001" customHeight="1">
      <c r="A325" s="25">
        <f ca="1">RANK(I325,I$2:I$651)</f>
        <v>319</v>
      </c>
      <c r="B325" s="26" t="s">
        <v>367</v>
      </c>
      <c r="C325" s="27" t="s">
        <v>91</v>
      </c>
      <c r="D325" s="27" t="s">
        <v>74</v>
      </c>
      <c r="E325" s="44" t="s">
        <v>112</v>
      </c>
      <c r="F325" s="45">
        <f ca="1">VLOOKUP(B325,'1B'!A1:I63,IF(Settings!$J$13="points",4,7),FALSE)</f>
        <v>24</v>
      </c>
      <c r="G325" s="30">
        <f>(M325*Settings!$B$2)+(N325*Settings!$B$3)+(O325*Settings!$B$4)+(P325*Settings!$B$5)+(Q325*Settings!$B$6)+((T325-U325-V325-O325)*Settings!$B$9)+(U325*Settings!$B$10)+(V325*Settings!$B$11)+(W325*Settings!$B$12)+(X325*Settings!$B$13)+(AA325*Settings!$B$16)</f>
        <v>267.11222222222216</v>
      </c>
      <c r="H325" s="31">
        <f>VLOOKUP(B325,'Standard Deviations'!$A1:$D651,4,FALSE)</f>
        <v>1.7921200285570416</v>
      </c>
      <c r="I325" s="32">
        <f ca="1">VLOOKUP(B325,'1B'!A1:I63,IF(Settings!$J$13="points",6,9),FALSE)</f>
        <v>0</v>
      </c>
      <c r="J325" s="31"/>
      <c r="K325" s="31">
        <f ca="1">J325-A325</f>
        <v>-319</v>
      </c>
      <c r="L325" s="31"/>
      <c r="M325" s="31">
        <f>VLOOKUP($B325,Hitters!$A1:$R401,4,FALSE)</f>
        <v>278.78888888888889</v>
      </c>
      <c r="N325" s="31">
        <f>VLOOKUP($B325,Hitters!$A1:$R401,5,FALSE)</f>
        <v>48.528888888888893</v>
      </c>
      <c r="O325" s="31">
        <f>VLOOKUP($B325,Hitters!$A1:$R401,6,FALSE)</f>
        <v>15.516666666666666</v>
      </c>
      <c r="P325" s="31">
        <f>VLOOKUP($B325,Hitters!$A1:$R401,7,FALSE)</f>
        <v>48.594444444444441</v>
      </c>
      <c r="Q325" s="31">
        <f>VLOOKUP($B325,Hitters!$A1:$R401,8,FALSE)</f>
        <v>7.9044444444444437</v>
      </c>
      <c r="R325" s="152">
        <f>VLOOKUP($B325,Hitters!$A$1:$R$401,14,FALSE)</f>
        <v>0.27867362799410145</v>
      </c>
      <c r="S325" s="152">
        <f>VLOOKUP($B325,Hitters!$A$1:$R$401,15,FALSE)</f>
        <v>0.38536141609331226</v>
      </c>
      <c r="T325" s="154">
        <f>VLOOKUP($B325,Hitters!$A$1:$R$401,9,FALSE)</f>
        <v>77.691111111111113</v>
      </c>
      <c r="U325" s="154">
        <f>VLOOKUP($B325,Hitters!$A$1:$R$401,10,FALSE)</f>
        <v>17.772222222222222</v>
      </c>
      <c r="V325" s="154">
        <f>VLOOKUP($B325,Hitters!$A$1:$R$401,11,FALSE)</f>
        <v>0.9966666666666667</v>
      </c>
      <c r="W325" s="154">
        <f>VLOOKUP($B325,Hitters!$A$1:$R$401,12,FALSE)</f>
        <v>44.917777777777779</v>
      </c>
      <c r="X325" s="154">
        <f>VLOOKUP($B325,Hitters!$A$1:$R$401,13,FALSE)</f>
        <v>69.488888888888894</v>
      </c>
      <c r="Y325" s="152">
        <f>VLOOKUP($B325,Hitters!$A$1:$R$401,16,FALSE)</f>
        <v>0.51654378063847595</v>
      </c>
      <c r="Z325" s="152">
        <f>VLOOKUP($B325,Hitters!$A$1:$R$401,17,FALSE)</f>
        <v>0.90190519673178815</v>
      </c>
      <c r="AA325" s="31">
        <f>VLOOKUP($B325,Hitters!$A1:$R401,18,FALSE)</f>
        <v>0</v>
      </c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</row>
    <row r="326" spans="1:44" ht="18.600000000000001" customHeight="1">
      <c r="A326" s="25">
        <f ca="1">RANK(I326,I$2:I$651)</f>
        <v>325</v>
      </c>
      <c r="B326" s="26" t="s">
        <v>356</v>
      </c>
      <c r="C326" s="27" t="s">
        <v>78</v>
      </c>
      <c r="D326" s="27" t="s">
        <v>69</v>
      </c>
      <c r="E326" s="36" t="s">
        <v>31</v>
      </c>
      <c r="F326" s="37">
        <f ca="1">VLOOKUP(B326,SP!A1:I161,IF(Settings!$J$13="points",4,7),FALSE)</f>
        <v>92</v>
      </c>
      <c r="G326" s="30">
        <f>(AC326*Settings!$F$2)+(AF326*Settings!$F$5)+(AG326*Settings!$F$6)+(AH326*Settings!$F$7)+(AI326*Settings!$F$8)+(AJ326*Settings!$F$9)+(AK326*Settings!$F$10)+(AL326*Settings!$F$11)+(AM326*Settings!$F$12)+(AN326*Settings!$F$13)+(AO326*Settings!$F$14)+(AP326*Settings!$F$15)+(AQ326*Settings!$F$16)+(AR326*Settings!$F$17)</f>
        <v>272.73388888888883</v>
      </c>
      <c r="H326" s="31">
        <f>VLOOKUP(B326,'Standard Deviations'!$A1:$D651,4,FALSE)</f>
        <v>-0.86815030854161768</v>
      </c>
      <c r="I326" s="32">
        <f ca="1">IF(Settings!$J$16="no",VLOOKUP(B326,SP!A1:I161,IF(Settings!$J$13="points",6,9),FALSE),VLOOKUP(B326,'SP+RP'!$A1:$I251,IF(Settings!$J$13="points",6,9),FALSE))</f>
        <v>-5.6608263135093928E-4</v>
      </c>
      <c r="J326" s="31"/>
      <c r="K326" s="31">
        <f ca="1">J326-A326</f>
        <v>-325</v>
      </c>
      <c r="L326" s="31"/>
      <c r="M326" s="31"/>
      <c r="N326" s="31"/>
      <c r="O326" s="31"/>
      <c r="P326" s="31"/>
      <c r="Q326" s="31"/>
      <c r="R326" s="152"/>
      <c r="S326" s="152"/>
      <c r="T326" s="154"/>
      <c r="U326" s="154"/>
      <c r="V326" s="154"/>
      <c r="W326" s="154"/>
      <c r="X326" s="154"/>
      <c r="Y326" s="152"/>
      <c r="Z326" s="152"/>
      <c r="AA326" s="31"/>
      <c r="AB326" s="31"/>
      <c r="AC326" s="31">
        <f>VLOOKUP($B326,Pitchers!$A1:$S251,4,FALSE)</f>
        <v>114.39444444444445</v>
      </c>
      <c r="AD326" s="33">
        <f>VLOOKUP($B326,Pitchers!$A1:$S251,5,FALSE)</f>
        <v>3.7274537419260838</v>
      </c>
      <c r="AE326" s="33">
        <f>VLOOKUP($B326,Pitchers!$A1:$S251,6,FALSE)</f>
        <v>1.2976446020105872</v>
      </c>
      <c r="AF326" s="31">
        <f>VLOOKUP($B326,Pitchers!$A1:$S251,7,FALSE)</f>
        <v>114.86777777777779</v>
      </c>
      <c r="AG326" s="31">
        <f>VLOOKUP($B326,Pitchers!$A1:$S251,8,FALSE)</f>
        <v>7.7966666666666669</v>
      </c>
      <c r="AH326" s="31">
        <f>VLOOKUP($B326,Pitchers!$A1:$S251,9,FALSE)</f>
        <v>0</v>
      </c>
      <c r="AI326" s="31">
        <f>VLOOKUP($B326,Pitchers!$A1:$S251,10,FALSE)</f>
        <v>47.377777777777773</v>
      </c>
      <c r="AJ326" s="31">
        <f>VLOOKUP($B326,Pitchers!$A1:$S251,11,FALSE)</f>
        <v>100.30333333333333</v>
      </c>
      <c r="AK326" s="31">
        <f>VLOOKUP($B326,Pitchers!$A1:$S251,12,FALSE)</f>
        <v>48.140000000000008</v>
      </c>
      <c r="AL326" s="31">
        <f>VLOOKUP($B326,Pitchers!$A1:$S251,13,FALSE)</f>
        <v>11.566666666666668</v>
      </c>
      <c r="AM326" s="31">
        <f>VLOOKUP($B326,Pitchers!$A1:$S251,14,FALSE)</f>
        <v>20.765555555555554</v>
      </c>
      <c r="AN326" s="31">
        <f>VLOOKUP($B326,Pitchers!$A1:$S251,15,FALSE)</f>
        <v>20.365555555555556</v>
      </c>
      <c r="AO326" s="31">
        <f>VLOOKUP($B326,Pitchers!$A1:$S251,16,FALSE)</f>
        <v>5.1277777777777773</v>
      </c>
      <c r="AP326" s="31">
        <f>VLOOKUP($B326,Pitchers!$A1:$S251,17,FALSE)</f>
        <v>13</v>
      </c>
      <c r="AQ326" s="31">
        <f>VLOOKUP($B326,Pitchers!$A1:$S251,18,FALSE)</f>
        <v>0</v>
      </c>
      <c r="AR326" s="31">
        <f>VLOOKUP($B326,Pitchers!$A1:$S251,19,FALSE)</f>
        <v>0</v>
      </c>
    </row>
    <row r="327" spans="1:44" ht="18.600000000000001" customHeight="1">
      <c r="A327" s="25">
        <f ca="1">RANK(I327,I$2:I$651)</f>
        <v>326</v>
      </c>
      <c r="B327" s="26" t="s">
        <v>488</v>
      </c>
      <c r="C327" s="27" t="s">
        <v>76</v>
      </c>
      <c r="D327" s="27" t="s">
        <v>69</v>
      </c>
      <c r="E327" s="42" t="s">
        <v>34</v>
      </c>
      <c r="F327" s="43">
        <f ca="1">VLOOKUP(B327,RP!A1:I91,IF(Settings!$J$13="points",4,7),FALSE)</f>
        <v>45</v>
      </c>
      <c r="G327" s="30">
        <f>(AC327*Settings!$F$2)+(AF327*Settings!$F$5)+(AG327*Settings!$F$6)+(AH327*Settings!$F$7)+(AI327*Settings!$F$8)+(AJ327*Settings!$F$9)+(AK327*Settings!$F$10)+(AL327*Settings!$F$11)+(AM327*Settings!$F$12)+(AN327*Settings!$F$13)+(AO327*Settings!$F$14)+(AP327*Settings!$F$15)+(AQ327*Settings!$F$16)+(AR327*Settings!$F$17)</f>
        <v>157.04055555555556</v>
      </c>
      <c r="H327" s="31">
        <f>VLOOKUP(B327,'Standard Deviations'!$A1:$D651,4,FALSE)</f>
        <v>-0.87090424170065817</v>
      </c>
      <c r="I327" s="32">
        <f ca="1">IF(Settings!$J$16="no",VLOOKUP(B327,RP!A1:I91,IF(Settings!$J$13="points",6,9),FALSE),VLOOKUP(B327,'SP+RP'!$A1:$I251,IF(Settings!$J$13="points",6,9),FALSE))</f>
        <v>-3.3229947415182037E-3</v>
      </c>
      <c r="J327" s="31"/>
      <c r="K327" s="31">
        <f ca="1">J327-A327</f>
        <v>-326</v>
      </c>
      <c r="L327" s="31"/>
      <c r="M327" s="31"/>
      <c r="N327" s="31"/>
      <c r="O327" s="31"/>
      <c r="P327" s="31"/>
      <c r="Q327" s="31"/>
      <c r="R327" s="152"/>
      <c r="S327" s="152"/>
      <c r="T327" s="154"/>
      <c r="U327" s="154"/>
      <c r="V327" s="154"/>
      <c r="W327" s="154"/>
      <c r="X327" s="154"/>
      <c r="Y327" s="152"/>
      <c r="Z327" s="152"/>
      <c r="AA327" s="31"/>
      <c r="AB327" s="31"/>
      <c r="AC327" s="31">
        <f>VLOOKUP($B327,Pitchers!$A1:$S251,4,FALSE)</f>
        <v>61.653333333333329</v>
      </c>
      <c r="AD327" s="33">
        <f>VLOOKUP($B327,Pitchers!$A1:$S251,5,FALSE)</f>
        <v>3.4460423875432524</v>
      </c>
      <c r="AE327" s="33">
        <f>VLOOKUP($B327,Pitchers!$A1:$S251,6,FALSE)</f>
        <v>1.2205702133794696</v>
      </c>
      <c r="AF327" s="31">
        <f>VLOOKUP($B327,Pitchers!$A1:$S251,7,FALSE)</f>
        <v>84.043333333333337</v>
      </c>
      <c r="AG327" s="31">
        <f>VLOOKUP($B327,Pitchers!$A1:$S251,8,FALSE)</f>
        <v>3.7866666666666666</v>
      </c>
      <c r="AH327" s="31">
        <f>VLOOKUP($B327,Pitchers!$A1:$S251,9,FALSE)</f>
        <v>2.4777777777777779</v>
      </c>
      <c r="AI327" s="31">
        <f>VLOOKUP($B327,Pitchers!$A1:$S251,10,FALSE)</f>
        <v>23.606666666666666</v>
      </c>
      <c r="AJ327" s="31">
        <f>VLOOKUP($B327,Pitchers!$A1:$S251,11,FALSE)</f>
        <v>43.475555555555559</v>
      </c>
      <c r="AK327" s="31">
        <f>VLOOKUP($B327,Pitchers!$A1:$S251,12,FALSE)</f>
        <v>31.776666666666667</v>
      </c>
      <c r="AL327" s="31">
        <f>VLOOKUP($B327,Pitchers!$A1:$S251,13,FALSE)</f>
        <v>6.6000000000000005</v>
      </c>
      <c r="AM327" s="31">
        <f>VLOOKUP($B327,Pitchers!$A1:$S251,14,FALSE)</f>
        <v>60.975555555555559</v>
      </c>
      <c r="AN327" s="31">
        <f>VLOOKUP($B327,Pitchers!$A1:$S251,15,FALSE)</f>
        <v>0</v>
      </c>
      <c r="AO327" s="31">
        <f>VLOOKUP($B327,Pitchers!$A1:$S251,16,FALSE)</f>
        <v>2.9866666666666668</v>
      </c>
      <c r="AP327" s="31">
        <f>VLOOKUP($B327,Pitchers!$A1:$S251,17,FALSE)</f>
        <v>0</v>
      </c>
      <c r="AQ327" s="31">
        <f>VLOOKUP($B327,Pitchers!$A1:$S251,18,FALSE)</f>
        <v>14</v>
      </c>
      <c r="AR327" s="31">
        <f>VLOOKUP($B327,Pitchers!$A1:$S251,19,FALSE)</f>
        <v>2</v>
      </c>
    </row>
    <row r="328" spans="1:44" ht="18.600000000000001" customHeight="1">
      <c r="A328" s="25">
        <f ca="1">RANK(I328,I$2:I$651)</f>
        <v>327</v>
      </c>
      <c r="B328" s="26" t="s">
        <v>458</v>
      </c>
      <c r="C328" s="27" t="s">
        <v>123</v>
      </c>
      <c r="D328" s="27" t="s">
        <v>74</v>
      </c>
      <c r="E328" s="36" t="s">
        <v>31</v>
      </c>
      <c r="F328" s="37">
        <f ca="1">VLOOKUP(B328,SP!A1:I161,IF(Settings!$J$13="points",4,7),FALSE)</f>
        <v>93</v>
      </c>
      <c r="G328" s="30">
        <f>(AC328*Settings!$F$2)+(AF328*Settings!$F$5)+(AG328*Settings!$F$6)+(AH328*Settings!$F$7)+(AI328*Settings!$F$8)+(AJ328*Settings!$F$9)+(AK328*Settings!$F$10)+(AL328*Settings!$F$11)+(AM328*Settings!$F$12)+(AN328*Settings!$F$13)+(AO328*Settings!$F$14)+(AP328*Settings!$F$15)+(AQ328*Settings!$F$16)+(AR328*Settings!$F$17)</f>
        <v>255.91282222222225</v>
      </c>
      <c r="H328" s="31">
        <f>VLOOKUP(B328,'Standard Deviations'!$A1:$D651,4,FALSE)</f>
        <v>-0.88962364866253985</v>
      </c>
      <c r="I328" s="32">
        <f ca="1">IF(Settings!$J$16="no",VLOOKUP(B328,SP!A1:I161,IF(Settings!$J$13="points",6,9),FALSE),VLOOKUP(B328,'SP+RP'!$A1:$I251,IF(Settings!$J$13="points",6,9),FALSE))</f>
        <v>-2.2044533754927653E-2</v>
      </c>
      <c r="J328" s="31"/>
      <c r="K328" s="31">
        <f ca="1">J328-A328</f>
        <v>-327</v>
      </c>
      <c r="L328" s="31"/>
      <c r="M328" s="31"/>
      <c r="N328" s="31"/>
      <c r="O328" s="31"/>
      <c r="P328" s="31"/>
      <c r="Q328" s="31"/>
      <c r="R328" s="152"/>
      <c r="S328" s="152"/>
      <c r="T328" s="154"/>
      <c r="U328" s="154"/>
      <c r="V328" s="154"/>
      <c r="W328" s="154"/>
      <c r="X328" s="154"/>
      <c r="Y328" s="152"/>
      <c r="Z328" s="152"/>
      <c r="AA328" s="31"/>
      <c r="AB328" s="31"/>
      <c r="AC328" s="31">
        <f>VLOOKUP($B328,Pitchers!$A1:$S251,4,FALSE)</f>
        <v>116.47888888888889</v>
      </c>
      <c r="AD328" s="33">
        <f>VLOOKUP($B328,Pitchers!$A1:$S251,5,FALSE)</f>
        <v>3.9091598859116101</v>
      </c>
      <c r="AE328" s="33">
        <f>VLOOKUP($B328,Pitchers!$A1:$S251,6,FALSE)</f>
        <v>1.2593316862378496</v>
      </c>
      <c r="AF328" s="31">
        <f>VLOOKUP($B328,Pitchers!$A1:$S251,7,FALSE)</f>
        <v>110.86</v>
      </c>
      <c r="AG328" s="31">
        <f>VLOOKUP($B328,Pitchers!$A1:$S251,8,FALSE)</f>
        <v>7.9844444444444447</v>
      </c>
      <c r="AH328" s="31">
        <f>VLOOKUP($B328,Pitchers!$A1:$S251,9,FALSE)</f>
        <v>0</v>
      </c>
      <c r="AI328" s="31">
        <f>VLOOKUP($B328,Pitchers!$A1:$S251,10,FALSE)</f>
        <v>50.592733333333335</v>
      </c>
      <c r="AJ328" s="31">
        <f>VLOOKUP($B328,Pitchers!$A1:$S251,11,FALSE)</f>
        <v>112.99333333333334</v>
      </c>
      <c r="AK328" s="31">
        <f>VLOOKUP($B328,Pitchers!$A1:$S251,12,FALSE)</f>
        <v>33.69222222222222</v>
      </c>
      <c r="AL328" s="31">
        <f>VLOOKUP($B328,Pitchers!$A1:$S251,13,FALSE)</f>
        <v>15.799999999999999</v>
      </c>
      <c r="AM328" s="31">
        <f>VLOOKUP($B328,Pitchers!$A1:$S251,14,FALSE)</f>
        <v>29.358888888888888</v>
      </c>
      <c r="AN328" s="31">
        <f>VLOOKUP($B328,Pitchers!$A1:$S251,15,FALSE)</f>
        <v>21.258888888888887</v>
      </c>
      <c r="AO328" s="31">
        <f>VLOOKUP($B328,Pitchers!$A1:$S251,16,FALSE)</f>
        <v>6.913333333333334</v>
      </c>
      <c r="AP328" s="31">
        <f>VLOOKUP($B328,Pitchers!$A1:$S251,17,FALSE)</f>
        <v>9</v>
      </c>
      <c r="AQ328" s="31">
        <f>VLOOKUP($B328,Pitchers!$A1:$S251,18,FALSE)</f>
        <v>0.5</v>
      </c>
      <c r="AR328" s="31">
        <f>VLOOKUP($B328,Pitchers!$A1:$S251,19,FALSE)</f>
        <v>0</v>
      </c>
    </row>
    <row r="329" spans="1:44" ht="18.600000000000001" customHeight="1">
      <c r="A329" s="25">
        <f ca="1">RANK(I329,I$2:I$651)</f>
        <v>328</v>
      </c>
      <c r="B329" s="26" t="s">
        <v>477</v>
      </c>
      <c r="C329" s="27" t="s">
        <v>258</v>
      </c>
      <c r="D329" s="27" t="s">
        <v>69</v>
      </c>
      <c r="E329" s="48" t="s">
        <v>11</v>
      </c>
      <c r="F329" s="49">
        <f ca="1">VLOOKUP(B329,'2B'!A1:I50,IF(Settings!$J$13="points",4,7),FALSE)</f>
        <v>25</v>
      </c>
      <c r="G329" s="30">
        <f>(M329*Settings!$B$2)+(N329*Settings!$B$3)+(O329*Settings!$B$4)+(P329*Settings!$B$5)+(Q329*Settings!$B$6)+((T329-U329-V329-O329)*Settings!$B$9)+(U329*Settings!$B$10)+(V329*Settings!$B$11)+(W329*Settings!$B$12)+(X329*Settings!$B$13)+(AA329*Settings!$B$16)</f>
        <v>283.14555555555552</v>
      </c>
      <c r="H329" s="31">
        <f>VLOOKUP(B329,'Standard Deviations'!$A1:$D651,4,FALSE)</f>
        <v>-3.3376029805552127E-2</v>
      </c>
      <c r="I329" s="32">
        <f ca="1">IF(Settings!$J$16="no",VLOOKUP(B329,'2B'!A1:I50,IF(Settings!$J$13="points",6,9),FALSE),VLOOKUP(B329,'2B+SS'!$A1:$I94,IF(Settings!$J$13="points",6,9),FALSE))</f>
        <v>-3.9420369598272831E-2</v>
      </c>
      <c r="J329" s="31"/>
      <c r="K329" s="31">
        <f ca="1">J329-A329</f>
        <v>-328</v>
      </c>
      <c r="L329" s="31"/>
      <c r="M329" s="31">
        <f>VLOOKUP($B329,Hitters!$A1:$R401,4,FALSE)</f>
        <v>493.08333333333331</v>
      </c>
      <c r="N329" s="31">
        <f>VLOOKUP($B329,Hitters!$A1:$R401,5,FALSE)</f>
        <v>55.785555555555554</v>
      </c>
      <c r="O329" s="31">
        <f>VLOOKUP($B329,Hitters!$A1:$R401,6,FALSE)</f>
        <v>15.221666666666666</v>
      </c>
      <c r="P329" s="31">
        <f>VLOOKUP($B329,Hitters!$A1:$R401,7,FALSE)</f>
        <v>57.82</v>
      </c>
      <c r="Q329" s="31">
        <f>VLOOKUP($B329,Hitters!$A1:$R401,8,FALSE)</f>
        <v>2.9977777777777774</v>
      </c>
      <c r="R329" s="152">
        <f>VLOOKUP($B329,Hitters!$A$1:$R$401,14,FALSE)</f>
        <v>0.24336657089741423</v>
      </c>
      <c r="S329" s="152">
        <f>VLOOKUP($B329,Hitters!$A$1:$R$401,15,FALSE)</f>
        <v>0.29184853922784076</v>
      </c>
      <c r="T329" s="154">
        <f>VLOOKUP($B329,Hitters!$A$1:$R$401,9,FALSE)</f>
        <v>120</v>
      </c>
      <c r="U329" s="154">
        <f>VLOOKUP($B329,Hitters!$A$1:$R$401,10,FALSE)</f>
        <v>22.993333333333336</v>
      </c>
      <c r="V329" s="154">
        <f>VLOOKUP($B329,Hitters!$A$1:$R$401,11,FALSE)</f>
        <v>1.5266666666666666</v>
      </c>
      <c r="W329" s="154">
        <f>VLOOKUP($B329,Hitters!$A$1:$R$401,12,FALSE)</f>
        <v>25.495000000000001</v>
      </c>
      <c r="X329" s="154">
        <f>VLOOKUP($B329,Hitters!$A$1:$R$401,13,FALSE)</f>
        <v>107.32444444444445</v>
      </c>
      <c r="Y329" s="152">
        <f>VLOOKUP($B329,Hitters!$A$1:$R$401,16,FALSE)</f>
        <v>0.3888017576474565</v>
      </c>
      <c r="Z329" s="152">
        <f>VLOOKUP($B329,Hitters!$A$1:$R$401,17,FALSE)</f>
        <v>0.68065029687529721</v>
      </c>
      <c r="AA329" s="31">
        <f>VLOOKUP($B329,Hitters!$A1:$R401,18,FALSE)</f>
        <v>0</v>
      </c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</row>
    <row r="330" spans="1:44" ht="18.600000000000001" customHeight="1">
      <c r="A330" s="25">
        <f ca="1">RANK(I330,I$2:I$651)</f>
        <v>329</v>
      </c>
      <c r="B330" s="26" t="s">
        <v>480</v>
      </c>
      <c r="C330" s="27" t="s">
        <v>71</v>
      </c>
      <c r="D330" s="27" t="s">
        <v>69</v>
      </c>
      <c r="E330" s="42" t="s">
        <v>34</v>
      </c>
      <c r="F330" s="43">
        <f ca="1">VLOOKUP(B330,RP!A1:I91,IF(Settings!$J$13="points",4,7),FALSE)</f>
        <v>46</v>
      </c>
      <c r="G330" s="30">
        <f>(AC330*Settings!$F$2)+(AF330*Settings!$F$5)+(AG330*Settings!$F$6)+(AH330*Settings!$F$7)+(AI330*Settings!$F$8)+(AJ330*Settings!$F$9)+(AK330*Settings!$F$10)+(AL330*Settings!$F$11)+(AM330*Settings!$F$12)+(AN330*Settings!$F$13)+(AO330*Settings!$F$14)+(AP330*Settings!$F$15)+(AQ330*Settings!$F$16)+(AR330*Settings!$F$17)</f>
        <v>158.88611111111112</v>
      </c>
      <c r="H330" s="31">
        <f>VLOOKUP(B330,'Standard Deviations'!$A1:$D651,4,FALSE)</f>
        <v>-0.9077952746334248</v>
      </c>
      <c r="I330" s="32">
        <f ca="1">IF(Settings!$J$16="no",VLOOKUP(B330,RP!A1:I91,IF(Settings!$J$13="points",6,9),FALSE),VLOOKUP(B330,'SP+RP'!$A1:$I251,IF(Settings!$J$13="points",6,9),FALSE))</f>
        <v>-4.0211935014027866E-2</v>
      </c>
      <c r="J330" s="31"/>
      <c r="K330" s="31">
        <f ca="1">J330-A330</f>
        <v>-329</v>
      </c>
      <c r="L330" s="31"/>
      <c r="M330" s="31"/>
      <c r="N330" s="31"/>
      <c r="O330" s="31"/>
      <c r="P330" s="31"/>
      <c r="Q330" s="31"/>
      <c r="R330" s="152"/>
      <c r="S330" s="152"/>
      <c r="T330" s="154"/>
      <c r="U330" s="154"/>
      <c r="V330" s="154"/>
      <c r="W330" s="154"/>
      <c r="X330" s="154"/>
      <c r="Y330" s="152"/>
      <c r="Z330" s="152"/>
      <c r="AA330" s="31"/>
      <c r="AB330" s="31"/>
      <c r="AC330" s="31">
        <f>VLOOKUP($B330,Pitchers!$A1:$S251,4,FALSE)</f>
        <v>58.606666666666676</v>
      </c>
      <c r="AD330" s="33">
        <f>VLOOKUP($B330,Pitchers!$A1:$S251,5,FALSE)</f>
        <v>3.5517290410647249</v>
      </c>
      <c r="AE330" s="33">
        <f>VLOOKUP($B330,Pitchers!$A1:$S251,6,FALSE)</f>
        <v>1.1891517840215371</v>
      </c>
      <c r="AF330" s="31">
        <f>VLOOKUP($B330,Pitchers!$A1:$S251,7,FALSE)</f>
        <v>61.655555555555559</v>
      </c>
      <c r="AG330" s="31">
        <f>VLOOKUP($B330,Pitchers!$A1:$S251,8,FALSE)</f>
        <v>3.9544444444444444</v>
      </c>
      <c r="AH330" s="31">
        <f>VLOOKUP($B330,Pitchers!$A1:$S251,9,FALSE)</f>
        <v>4.6111111111111107</v>
      </c>
      <c r="AI330" s="31">
        <f>VLOOKUP($B330,Pitchers!$A1:$S251,10,FALSE)</f>
        <v>23.128333333333334</v>
      </c>
      <c r="AJ330" s="31">
        <f>VLOOKUP($B330,Pitchers!$A1:$S251,11,FALSE)</f>
        <v>48.662222222222226</v>
      </c>
      <c r="AK330" s="31">
        <f>VLOOKUP($B330,Pitchers!$A1:$S251,12,FALSE)</f>
        <v>21.03</v>
      </c>
      <c r="AL330" s="31">
        <f>VLOOKUP($B330,Pitchers!$A1:$S251,13,FALSE)</f>
        <v>6.0333333333333341</v>
      </c>
      <c r="AM330" s="31">
        <f>VLOOKUP($B330,Pitchers!$A1:$S251,14,FALSE)</f>
        <v>60.78</v>
      </c>
      <c r="AN330" s="31">
        <f>VLOOKUP($B330,Pitchers!$A1:$S251,15,FALSE)</f>
        <v>0</v>
      </c>
      <c r="AO330" s="31">
        <f>VLOOKUP($B330,Pitchers!$A1:$S251,16,FALSE)</f>
        <v>2.98</v>
      </c>
      <c r="AP330" s="31">
        <f>VLOOKUP($B330,Pitchers!$A1:$S251,17,FALSE)</f>
        <v>0</v>
      </c>
      <c r="AQ330" s="31">
        <f>VLOOKUP($B330,Pitchers!$A1:$S251,18,FALSE)</f>
        <v>14.5</v>
      </c>
      <c r="AR330" s="31">
        <f>VLOOKUP($B330,Pitchers!$A1:$S251,19,FALSE)</f>
        <v>3</v>
      </c>
    </row>
    <row r="331" spans="1:44" ht="18.600000000000001" customHeight="1">
      <c r="A331" s="25">
        <f ca="1">RANK(I331,I$2:I$651)</f>
        <v>330</v>
      </c>
      <c r="B331" s="26" t="s">
        <v>439</v>
      </c>
      <c r="C331" s="27" t="s">
        <v>94</v>
      </c>
      <c r="D331" s="27" t="s">
        <v>69</v>
      </c>
      <c r="E331" s="42" t="s">
        <v>34</v>
      </c>
      <c r="F331" s="43">
        <f ca="1">VLOOKUP(B331,RP!A1:I91,IF(Settings!$J$13="points",4,7),FALSE)</f>
        <v>47</v>
      </c>
      <c r="G331" s="30">
        <f>(AC331*Settings!$F$2)+(AF331*Settings!$F$5)+(AG331*Settings!$F$6)+(AH331*Settings!$F$7)+(AI331*Settings!$F$8)+(AJ331*Settings!$F$9)+(AK331*Settings!$F$10)+(AL331*Settings!$F$11)+(AM331*Settings!$F$12)+(AN331*Settings!$F$13)+(AO331*Settings!$F$14)+(AP331*Settings!$F$15)+(AQ331*Settings!$F$16)+(AR331*Settings!$F$17)</f>
        <v>145.71833333333333</v>
      </c>
      <c r="H331" s="31">
        <f>VLOOKUP(B331,'Standard Deviations'!$A1:$D651,4,FALSE)</f>
        <v>-0.9312199377433894</v>
      </c>
      <c r="I331" s="32">
        <f ca="1">IF(Settings!$J$16="no",VLOOKUP(B331,RP!A1:I91,IF(Settings!$J$13="points",6,9),FALSE),VLOOKUP(B331,'SP+RP'!$A1:$I251,IF(Settings!$J$13="points",6,9),FALSE))</f>
        <v>-6.363689355329194E-2</v>
      </c>
      <c r="J331" s="31"/>
      <c r="K331" s="31">
        <f ca="1">J331-A331</f>
        <v>-330</v>
      </c>
      <c r="L331" s="31"/>
      <c r="M331" s="31"/>
      <c r="N331" s="31"/>
      <c r="O331" s="31"/>
      <c r="P331" s="31"/>
      <c r="Q331" s="31"/>
      <c r="R331" s="152"/>
      <c r="S331" s="152"/>
      <c r="T331" s="154"/>
      <c r="U331" s="154"/>
      <c r="V331" s="154"/>
      <c r="W331" s="154"/>
      <c r="X331" s="154"/>
      <c r="Y331" s="152"/>
      <c r="Z331" s="152"/>
      <c r="AA331" s="31"/>
      <c r="AB331" s="31"/>
      <c r="AC331" s="31">
        <f>VLOOKUP($B331,Pitchers!$A1:$S251,4,FALSE)</f>
        <v>60.52</v>
      </c>
      <c r="AD331" s="33">
        <f>VLOOKUP($B331,Pitchers!$A1:$S251,5,FALSE)</f>
        <v>3.6554857898215469</v>
      </c>
      <c r="AE331" s="33">
        <f>VLOOKUP($B331,Pitchers!$A1:$S251,6,FALSE)</f>
        <v>1.1286994198428435</v>
      </c>
      <c r="AF331" s="31">
        <f>VLOOKUP($B331,Pitchers!$A1:$S251,7,FALSE)</f>
        <v>66.373333333333335</v>
      </c>
      <c r="AG331" s="31">
        <f>VLOOKUP($B331,Pitchers!$A1:$S251,8,FALSE)</f>
        <v>3.0016666666666665</v>
      </c>
      <c r="AH331" s="31">
        <f>VLOOKUP($B331,Pitchers!$A1:$S251,9,FALSE)</f>
        <v>2.5333333333333332</v>
      </c>
      <c r="AI331" s="31">
        <f>VLOOKUP($B331,Pitchers!$A1:$S251,10,FALSE)</f>
        <v>24.581111111111113</v>
      </c>
      <c r="AJ331" s="31">
        <f>VLOOKUP($B331,Pitchers!$A1:$S251,11,FALSE)</f>
        <v>52.843333333333334</v>
      </c>
      <c r="AK331" s="31">
        <f>VLOOKUP($B331,Pitchers!$A1:$S251,12,FALSE)</f>
        <v>15.465555555555556</v>
      </c>
      <c r="AL331" s="31">
        <f>VLOOKUP($B331,Pitchers!$A1:$S251,13,FALSE)</f>
        <v>8.1333333333333329</v>
      </c>
      <c r="AM331" s="31">
        <f>VLOOKUP($B331,Pitchers!$A1:$S251,14,FALSE)</f>
        <v>60.053333333333335</v>
      </c>
      <c r="AN331" s="31">
        <f>VLOOKUP($B331,Pitchers!$A1:$S251,15,FALSE)</f>
        <v>1.4444444444444444</v>
      </c>
      <c r="AO331" s="31">
        <f>VLOOKUP($B331,Pitchers!$A1:$S251,16,FALSE)</f>
        <v>2.9766666666666666</v>
      </c>
      <c r="AP331" s="31">
        <f>VLOOKUP($B331,Pitchers!$A1:$S251,17,FALSE)</f>
        <v>0</v>
      </c>
      <c r="AQ331" s="31">
        <f>VLOOKUP($B331,Pitchers!$A1:$S251,18,FALSE)</f>
        <v>14</v>
      </c>
      <c r="AR331" s="31">
        <f>VLOOKUP($B331,Pitchers!$A1:$S251,19,FALSE)</f>
        <v>0</v>
      </c>
    </row>
    <row r="332" spans="1:44" ht="18.600000000000001" customHeight="1">
      <c r="A332" s="25">
        <f ca="1">RANK(I332,I$2:I$651)</f>
        <v>331</v>
      </c>
      <c r="B332" s="26" t="s">
        <v>501</v>
      </c>
      <c r="C332" s="27" t="s">
        <v>134</v>
      </c>
      <c r="D332" s="27" t="s">
        <v>74</v>
      </c>
      <c r="E332" s="40" t="s">
        <v>7</v>
      </c>
      <c r="F332" s="41">
        <f ca="1">VLOOKUP(B332,'1B'!A1:I63,IF(Settings!$J$13="points",4,7),FALSE)</f>
        <v>29</v>
      </c>
      <c r="G332" s="30">
        <f>(M332*Settings!$B$2)+(N332*Settings!$B$3)+(O332*Settings!$B$4)+(P332*Settings!$B$5)+(Q332*Settings!$B$6)+((T332-U332-V332-O332)*Settings!$B$9)+(U332*Settings!$B$10)+(V332*Settings!$B$11)+(W332*Settings!$B$12)+(X332*Settings!$B$13)+(AA332*Settings!$B$16)</f>
        <v>277.04444444444448</v>
      </c>
      <c r="H332" s="31">
        <f>VLOOKUP(B332,'Standard Deviations'!$A1:$D651,4,FALSE)</f>
        <v>0.13715670184342532</v>
      </c>
      <c r="I332" s="32">
        <f ca="1">IF(Settings!$J$15="no",VLOOKUP(B332,'1B'!A1:I63,IF(Settings!$J$13="points",6,9),FALSE),VLOOKUP(B332,'1B+3B'!$A1:$I104,IF(Settings!$J$13="points",6,9),FALSE))</f>
        <v>-8.8317960025011633E-2</v>
      </c>
      <c r="J332" s="31"/>
      <c r="K332" s="31">
        <f ca="1">J332-A332</f>
        <v>-331</v>
      </c>
      <c r="L332" s="31"/>
      <c r="M332" s="31">
        <f>VLOOKUP($B332,Hitters!$A1:$R401,4,FALSE)</f>
        <v>438.66666666666669</v>
      </c>
      <c r="N332" s="31">
        <f>VLOOKUP($B332,Hitters!$A1:$R401,5,FALSE)</f>
        <v>54.38</v>
      </c>
      <c r="O332" s="31">
        <f>VLOOKUP($B332,Hitters!$A1:$R401,6,FALSE)</f>
        <v>13.005000000000001</v>
      </c>
      <c r="P332" s="31">
        <f>VLOOKUP($B332,Hitters!$A1:$R401,7,FALSE)</f>
        <v>57.625</v>
      </c>
      <c r="Q332" s="31">
        <f>VLOOKUP($B332,Hitters!$A1:$R401,8,FALSE)</f>
        <v>0.98888888888888893</v>
      </c>
      <c r="R332" s="152">
        <f>VLOOKUP($B332,Hitters!$A$1:$R$401,14,FALSE)</f>
        <v>0.25884498480243162</v>
      </c>
      <c r="S332" s="152">
        <f>VLOOKUP($B332,Hitters!$A$1:$R$401,15,FALSE)</f>
        <v>0.33703090872989611</v>
      </c>
      <c r="T332" s="154">
        <f>VLOOKUP($B332,Hitters!$A$1:$R$401,9,FALSE)</f>
        <v>113.54666666666667</v>
      </c>
      <c r="U332" s="154">
        <f>VLOOKUP($B332,Hitters!$A$1:$R$401,10,FALSE)</f>
        <v>24.03</v>
      </c>
      <c r="V332" s="154">
        <f>VLOOKUP($B332,Hitters!$A$1:$R$401,11,FALSE)</f>
        <v>1.5277777777777777</v>
      </c>
      <c r="W332" s="154">
        <f>VLOOKUP($B332,Hitters!$A$1:$R$401,12,FALSE)</f>
        <v>45.226666666666667</v>
      </c>
      <c r="X332" s="154">
        <f>VLOOKUP($B332,Hitters!$A$1:$R$401,13,FALSE)</f>
        <v>123.62444444444445</v>
      </c>
      <c r="Y332" s="152">
        <f>VLOOKUP($B332,Hitters!$A$1:$R$401,16,FALSE)</f>
        <v>0.40953014184397163</v>
      </c>
      <c r="Z332" s="152">
        <f>VLOOKUP($B332,Hitters!$A$1:$R$401,17,FALSE)</f>
        <v>0.74656105057386779</v>
      </c>
      <c r="AA332" s="31">
        <f>VLOOKUP($B332,Hitters!$A1:$R401,18,FALSE)</f>
        <v>0</v>
      </c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</row>
    <row r="333" spans="1:44" ht="18.600000000000001" customHeight="1">
      <c r="A333" s="25">
        <f ca="1">RANK(I333,I$2:I$651)</f>
        <v>332</v>
      </c>
      <c r="B333" s="26" t="s">
        <v>380</v>
      </c>
      <c r="C333" s="27" t="s">
        <v>103</v>
      </c>
      <c r="D333" s="27" t="s">
        <v>69</v>
      </c>
      <c r="E333" s="28" t="s">
        <v>23</v>
      </c>
      <c r="F333" s="29">
        <f ca="1">VLOOKUP(B333,OF!A1:I139,IF(Settings!$J$13="points",4,7),FALSE)</f>
        <v>76</v>
      </c>
      <c r="G333" s="30">
        <f>(M333*Settings!$B$2)+(N333*Settings!$B$3)+(O333*Settings!$B$4)+(P333*Settings!$B$5)+(Q333*Settings!$B$6)+((T333-U333-V333-O333)*Settings!$B$9)+(U333*Settings!$B$10)+(V333*Settings!$B$11)+(W333*Settings!$B$12)+(X333*Settings!$B$13)+(AA333*Settings!$B$16)</f>
        <v>305.89583333333337</v>
      </c>
      <c r="H333" s="31">
        <f>VLOOKUP(B333,'Standard Deviations'!$A1:$D651,4,FALSE)</f>
        <v>-0.26649004894215134</v>
      </c>
      <c r="I333" s="32">
        <f ca="1">VLOOKUP(B333,OF!A1:I139,IF(Settings!$J$13="points",6,9),FALSE)</f>
        <v>-0.10955668559574805</v>
      </c>
      <c r="J333" s="31"/>
      <c r="K333" s="31">
        <f ca="1">J333-A333</f>
        <v>-332</v>
      </c>
      <c r="L333" s="31"/>
      <c r="M333" s="31">
        <f>VLOOKUP($B333,Hitters!$A1:$R401,4,FALSE)</f>
        <v>474.27777777777777</v>
      </c>
      <c r="N333" s="31">
        <f>VLOOKUP($B333,Hitters!$A1:$R401,5,FALSE)</f>
        <v>62.398333333333333</v>
      </c>
      <c r="O333" s="31">
        <f>VLOOKUP($B333,Hitters!$A1:$R401,6,FALSE)</f>
        <v>14.685555555555554</v>
      </c>
      <c r="P333" s="31">
        <f>VLOOKUP($B333,Hitters!$A1:$R401,7,FALSE)</f>
        <v>57.673333333333339</v>
      </c>
      <c r="Q333" s="31">
        <f>VLOOKUP($B333,Hitters!$A1:$R401,8,FALSE)</f>
        <v>1.9788888888888889</v>
      </c>
      <c r="R333" s="152">
        <f>VLOOKUP($B333,Hitters!$A$1:$R$401,14,FALSE)</f>
        <v>0.23731755886142669</v>
      </c>
      <c r="S333" s="152">
        <f>VLOOKUP($B333,Hitters!$A$1:$R$401,15,FALSE)</f>
        <v>0.31344104058210609</v>
      </c>
      <c r="T333" s="154">
        <f>VLOOKUP($B333,Hitters!$A$1:$R$401,9,FALSE)</f>
        <v>112.55444444444443</v>
      </c>
      <c r="U333" s="154">
        <f>VLOOKUP($B333,Hitters!$A$1:$R$401,10,FALSE)</f>
        <v>27.79111111111111</v>
      </c>
      <c r="V333" s="154">
        <f>VLOOKUP($B333,Hitters!$A$1:$R$401,11,FALSE)</f>
        <v>1.9133333333333333</v>
      </c>
      <c r="W333" s="154">
        <f>VLOOKUP($B333,Hitters!$A$1:$R$401,12,FALSE)</f>
        <v>45.06</v>
      </c>
      <c r="X333" s="154">
        <f>VLOOKUP($B333,Hitters!$A$1:$R$401,13,FALSE)</f>
        <v>102.84500000000001</v>
      </c>
      <c r="Y333" s="152">
        <f>VLOOKUP($B333,Hitters!$A$1:$R$401,16,FALSE)</f>
        <v>0.39687478036781071</v>
      </c>
      <c r="Z333" s="152">
        <f>VLOOKUP($B333,Hitters!$A$1:$R$401,17,FALSE)</f>
        <v>0.71031582094991674</v>
      </c>
      <c r="AA333" s="31">
        <f>VLOOKUP($B333,Hitters!$A1:$R401,18,FALSE)</f>
        <v>0</v>
      </c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</row>
    <row r="334" spans="1:44" ht="18.600000000000001" customHeight="1">
      <c r="A334" s="25">
        <f ca="1">RANK(I334,I$2:I$651)</f>
        <v>333</v>
      </c>
      <c r="B334" s="26" t="s">
        <v>363</v>
      </c>
      <c r="C334" s="27" t="s">
        <v>73</v>
      </c>
      <c r="D334" s="27" t="s">
        <v>74</v>
      </c>
      <c r="E334" s="28" t="s">
        <v>23</v>
      </c>
      <c r="F334" s="29">
        <f ca="1">VLOOKUP(B334,OF!A1:I139,IF(Settings!$J$13="points",4,7),FALSE)</f>
        <v>77</v>
      </c>
      <c r="G334" s="30">
        <f>(M334*Settings!$B$2)+(N334*Settings!$B$3)+(O334*Settings!$B$4)+(P334*Settings!$B$5)+(Q334*Settings!$B$6)+((T334-U334-V334-O334)*Settings!$B$9)+(U334*Settings!$B$10)+(V334*Settings!$B$11)+(W334*Settings!$B$12)+(X334*Settings!$B$13)+(AA334*Settings!$B$16)</f>
        <v>254.75749999999996</v>
      </c>
      <c r="H334" s="31">
        <f>VLOOKUP(B334,'Standard Deviations'!$A1:$D651,4,FALSE)</f>
        <v>-0.288739207634094</v>
      </c>
      <c r="I334" s="32">
        <f ca="1">VLOOKUP(B334,OF!A1:I139,IF(Settings!$J$13="points",6,9),FALSE)</f>
        <v>-0.1318109165226049</v>
      </c>
      <c r="J334" s="31"/>
      <c r="K334" s="31">
        <f ca="1">J334-A334</f>
        <v>-333</v>
      </c>
      <c r="L334" s="31"/>
      <c r="M334" s="31">
        <f>VLOOKUP($B334,Hitters!$A1:$R401,4,FALSE)</f>
        <v>372.44166666666666</v>
      </c>
      <c r="N334" s="31">
        <f>VLOOKUP($B334,Hitters!$A1:$R401,5,FALSE)</f>
        <v>48.888333333333328</v>
      </c>
      <c r="O334" s="31">
        <f>VLOOKUP($B334,Hitters!$A1:$R401,6,FALSE)</f>
        <v>17.357500000000002</v>
      </c>
      <c r="P334" s="31">
        <f>VLOOKUP($B334,Hitters!$A1:$R401,7,FALSE)</f>
        <v>54.568333333333328</v>
      </c>
      <c r="Q334" s="31">
        <f>VLOOKUP($B334,Hitters!$A1:$R401,8,FALSE)</f>
        <v>2.1475</v>
      </c>
      <c r="R334" s="152">
        <f>VLOOKUP($B334,Hitters!$A$1:$R$401,14,FALSE)</f>
        <v>0.2445506007652205</v>
      </c>
      <c r="S334" s="152">
        <f>VLOOKUP($B334,Hitters!$A$1:$R$401,15,FALSE)</f>
        <v>0.31699242747401385</v>
      </c>
      <c r="T334" s="154">
        <f>VLOOKUP($B334,Hitters!$A$1:$R$401,9,FALSE)</f>
        <v>91.080833333333331</v>
      </c>
      <c r="U334" s="154">
        <f>VLOOKUP($B334,Hitters!$A$1:$R$401,10,FALSE)</f>
        <v>15.993333333333334</v>
      </c>
      <c r="V334" s="154">
        <f>VLOOKUP($B334,Hitters!$A$1:$R$401,11,FALSE)</f>
        <v>0.9916666666666667</v>
      </c>
      <c r="W334" s="154">
        <f>VLOOKUP($B334,Hitters!$A$1:$R$401,12,FALSE)</f>
        <v>33.648333333333333</v>
      </c>
      <c r="X334" s="154">
        <f>VLOOKUP($B334,Hitters!$A$1:$R$401,13,FALSE)</f>
        <v>95.545000000000002</v>
      </c>
      <c r="Y334" s="152">
        <f>VLOOKUP($B334,Hitters!$A$1:$R$401,16,FALSE)</f>
        <v>0.43263150828988878</v>
      </c>
      <c r="Z334" s="152">
        <f>VLOOKUP($B334,Hitters!$A$1:$R$401,17,FALSE)</f>
        <v>0.74962393576390263</v>
      </c>
      <c r="AA334" s="31">
        <f>VLOOKUP($B334,Hitters!$A1:$R401,18,FALSE)</f>
        <v>0</v>
      </c>
      <c r="AB334" s="31"/>
      <c r="AC334" s="31"/>
      <c r="AD334" s="33"/>
      <c r="AE334" s="33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</row>
    <row r="335" spans="1:44" ht="18.600000000000001" customHeight="1">
      <c r="A335" s="25">
        <f ca="1">RANK(I335,I$2:I$651)</f>
        <v>334</v>
      </c>
      <c r="B335" s="26" t="s">
        <v>423</v>
      </c>
      <c r="C335" s="27" t="s">
        <v>76</v>
      </c>
      <c r="D335" s="27" t="s">
        <v>69</v>
      </c>
      <c r="E335" s="36" t="s">
        <v>31</v>
      </c>
      <c r="F335" s="37">
        <f ca="1">VLOOKUP(B335,SP!A1:I161,IF(Settings!$J$13="points",4,7),FALSE)</f>
        <v>94</v>
      </c>
      <c r="G335" s="30">
        <f>(AC335*Settings!$F$2)+(AF335*Settings!$F$5)+(AG335*Settings!$F$6)+(AH335*Settings!$F$7)+(AI335*Settings!$F$8)+(AJ335*Settings!$F$9)+(AK335*Settings!$F$10)+(AL335*Settings!$F$11)+(AM335*Settings!$F$12)+(AN335*Settings!$F$13)+(AO335*Settings!$F$14)+(AP335*Settings!$F$15)+(AQ335*Settings!$F$16)+(AR335*Settings!$F$17)</f>
        <v>339.96997777777773</v>
      </c>
      <c r="H335" s="31">
        <f>VLOOKUP(B335,'Standard Deviations'!$A1:$D651,4,FALSE)</f>
        <v>-1.0071192002300964</v>
      </c>
      <c r="I335" s="32">
        <f ca="1">IF(Settings!$J$16="no",VLOOKUP(B335,SP!A1:I161,IF(Settings!$J$13="points",6,9),FALSE),VLOOKUP(B335,'SP+RP'!$A1:$I251,IF(Settings!$J$13="points",6,9),FALSE))</f>
        <v>-0.13953541042548823</v>
      </c>
      <c r="J335" s="31"/>
      <c r="K335" s="31">
        <f ca="1">J335-A335</f>
        <v>-334</v>
      </c>
      <c r="L335" s="31"/>
      <c r="M335" s="31"/>
      <c r="N335" s="31"/>
      <c r="O335" s="31"/>
      <c r="P335" s="31"/>
      <c r="Q335" s="31"/>
      <c r="R335" s="152"/>
      <c r="S335" s="152"/>
      <c r="T335" s="154"/>
      <c r="U335" s="154"/>
      <c r="V335" s="154"/>
      <c r="W335" s="154"/>
      <c r="X335" s="154"/>
      <c r="Y335" s="152"/>
      <c r="Z335" s="152"/>
      <c r="AA335" s="31"/>
      <c r="AB335" s="31"/>
      <c r="AC335" s="31">
        <f>VLOOKUP($B335,Pitchers!$A1:$S251,4,FALSE)</f>
        <v>169.595</v>
      </c>
      <c r="AD335" s="33">
        <f>VLOOKUP($B335,Pitchers!$A1:$S251,5,FALSE)</f>
        <v>4.2308747309767387</v>
      </c>
      <c r="AE335" s="33">
        <f>VLOOKUP($B335,Pitchers!$A1:$S251,6,FALSE)</f>
        <v>1.2866076371486319</v>
      </c>
      <c r="AF335" s="31">
        <f>VLOOKUP($B335,Pitchers!$A1:$S251,7,FALSE)</f>
        <v>124.98666666666666</v>
      </c>
      <c r="AG335" s="31">
        <f>VLOOKUP($B335,Pitchers!$A1:$S251,8,FALSE)</f>
        <v>10.093333333333334</v>
      </c>
      <c r="AH335" s="31">
        <f>VLOOKUP($B335,Pitchers!$A1:$S251,9,FALSE)</f>
        <v>0</v>
      </c>
      <c r="AI335" s="31">
        <f>VLOOKUP($B335,Pitchers!$A1:$S251,10,FALSE)</f>
        <v>79.726133333333337</v>
      </c>
      <c r="AJ335" s="31">
        <f>VLOOKUP($B335,Pitchers!$A1:$S251,11,FALSE)</f>
        <v>169.7211111111111</v>
      </c>
      <c r="AK335" s="31">
        <f>VLOOKUP($B335,Pitchers!$A1:$S251,12,FALSE)</f>
        <v>48.481111111111112</v>
      </c>
      <c r="AL335" s="31">
        <f>VLOOKUP($B335,Pitchers!$A1:$S251,13,FALSE)</f>
        <v>22.666666666666668</v>
      </c>
      <c r="AM335" s="31">
        <f>VLOOKUP($B335,Pitchers!$A1:$S251,14,FALSE)</f>
        <v>30.13</v>
      </c>
      <c r="AN335" s="31">
        <f>VLOOKUP($B335,Pitchers!$A1:$S251,15,FALSE)</f>
        <v>29.213333333333335</v>
      </c>
      <c r="AO335" s="31">
        <f>VLOOKUP($B335,Pitchers!$A1:$S251,16,FALSE)</f>
        <v>8.6066666666666674</v>
      </c>
      <c r="AP335" s="31">
        <f>VLOOKUP($B335,Pitchers!$A1:$S251,17,FALSE)</f>
        <v>13</v>
      </c>
      <c r="AQ335" s="31">
        <f>VLOOKUP($B335,Pitchers!$A1:$S251,18,FALSE)</f>
        <v>0.5</v>
      </c>
      <c r="AR335" s="31">
        <f>VLOOKUP($B335,Pitchers!$A1:$S251,19,FALSE)</f>
        <v>0</v>
      </c>
    </row>
    <row r="336" spans="1:44" ht="18.600000000000001" customHeight="1">
      <c r="A336" s="25">
        <f ca="1">RANK(I336,I$2:I$651)</f>
        <v>335</v>
      </c>
      <c r="B336" s="26" t="s">
        <v>398</v>
      </c>
      <c r="C336" s="27" t="s">
        <v>176</v>
      </c>
      <c r="D336" s="27" t="s">
        <v>74</v>
      </c>
      <c r="E336" s="28" t="s">
        <v>23</v>
      </c>
      <c r="F336" s="29">
        <f ca="1">VLOOKUP(B336,OF!A1:I139,IF(Settings!$J$13="points",4,7),FALSE)</f>
        <v>78</v>
      </c>
      <c r="G336" s="30">
        <f>(M336*Settings!$B$2)+(N336*Settings!$B$3)+(O336*Settings!$B$4)+(P336*Settings!$B$5)+(Q336*Settings!$B$6)+((T336-U336-V336-O336)*Settings!$B$9)+(U336*Settings!$B$10)+(V336*Settings!$B$11)+(W336*Settings!$B$12)+(X336*Settings!$B$13)+(AA336*Settings!$B$16)</f>
        <v>236.99055555555555</v>
      </c>
      <c r="H336" s="31">
        <f>VLOOKUP(B336,'Standard Deviations'!$A1:$D651,4,FALSE)</f>
        <v>-0.31775304895772916</v>
      </c>
      <c r="I336" s="32">
        <f ca="1">VLOOKUP(B336,OF!A1:I139,IF(Settings!$J$13="points",6,9),FALSE)</f>
        <v>-0.16082397589606745</v>
      </c>
      <c r="J336" s="31"/>
      <c r="K336" s="31">
        <f ca="1">J336-A336</f>
        <v>-335</v>
      </c>
      <c r="L336" s="31"/>
      <c r="M336" s="31">
        <f>VLOOKUP($B336,Hitters!$A1:$R401,4,FALSE)</f>
        <v>391</v>
      </c>
      <c r="N336" s="31">
        <f>VLOOKUP($B336,Hitters!$A1:$R401,5,FALSE)</f>
        <v>49.744999999999997</v>
      </c>
      <c r="O336" s="31">
        <f>VLOOKUP($B336,Hitters!$A1:$R401,6,FALSE)</f>
        <v>3.8255555555555554</v>
      </c>
      <c r="P336" s="31">
        <f>VLOOKUP($B336,Hitters!$A1:$R401,7,FALSE)</f>
        <v>38.121111111111112</v>
      </c>
      <c r="Q336" s="31">
        <f>VLOOKUP($B336,Hitters!$A1:$R401,8,FALSE)</f>
        <v>3.9622222222222221</v>
      </c>
      <c r="R336" s="152">
        <f>VLOOKUP($B336,Hitters!$A$1:$R$401,14,FALSE)</f>
        <v>0.28523159988633134</v>
      </c>
      <c r="S336" s="152">
        <f>VLOOKUP($B336,Hitters!$A$1:$R$401,15,FALSE)</f>
        <v>0.3390110409812388</v>
      </c>
      <c r="T336" s="154">
        <f>VLOOKUP($B336,Hitters!$A$1:$R$401,9,FALSE)</f>
        <v>111.52555555555556</v>
      </c>
      <c r="U336" s="154">
        <f>VLOOKUP($B336,Hitters!$A$1:$R$401,10,FALSE)</f>
        <v>20.77</v>
      </c>
      <c r="V336" s="154">
        <f>VLOOKUP($B336,Hitters!$A$1:$R$401,11,FALSE)</f>
        <v>2.9688888888888889</v>
      </c>
      <c r="W336" s="154">
        <f>VLOOKUP($B336,Hitters!$A$1:$R$401,12,FALSE)</f>
        <v>26.048333333333336</v>
      </c>
      <c r="X336" s="154">
        <f>VLOOKUP($B336,Hitters!$A$1:$R$401,13,FALSE)</f>
        <v>69.11666666666666</v>
      </c>
      <c r="Y336" s="152">
        <f>VLOOKUP($B336,Hitters!$A$1:$R$401,16,FALSE)</f>
        <v>0.3828900255754476</v>
      </c>
      <c r="Z336" s="152">
        <f>VLOOKUP($B336,Hitters!$A$1:$R$401,17,FALSE)</f>
        <v>0.7219010665566864</v>
      </c>
      <c r="AA336" s="31">
        <f>VLOOKUP($B336,Hitters!$A1:$R401,18,FALSE)</f>
        <v>0</v>
      </c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</row>
    <row r="337" spans="1:44" ht="18.600000000000001" customHeight="1">
      <c r="A337" s="25">
        <f ca="1">RANK(I337,I$2:I$651)</f>
        <v>336</v>
      </c>
      <c r="B337" s="26" t="s">
        <v>436</v>
      </c>
      <c r="C337" s="27" t="s">
        <v>84</v>
      </c>
      <c r="D337" s="27" t="s">
        <v>69</v>
      </c>
      <c r="E337" s="40" t="s">
        <v>7</v>
      </c>
      <c r="F337" s="41">
        <f ca="1">VLOOKUP(B337,'1B'!A1:I63,IF(Settings!$J$13="points",4,7),FALSE)</f>
        <v>30</v>
      </c>
      <c r="G337" s="30">
        <f>(M337*Settings!$B$2)+(N337*Settings!$B$3)+(O337*Settings!$B$4)+(P337*Settings!$B$5)+(Q337*Settings!$B$6)+((T337-U337-V337-O337)*Settings!$B$9)+(U337*Settings!$B$10)+(V337*Settings!$B$11)+(W337*Settings!$B$12)+(X337*Settings!$B$13)+(AA337*Settings!$B$16)</f>
        <v>265.17388888888888</v>
      </c>
      <c r="H337" s="31">
        <f>VLOOKUP(B337,'Standard Deviations'!$A1:$D651,4,FALSE)</f>
        <v>5.7091073518381996E-2</v>
      </c>
      <c r="I337" s="32">
        <f ca="1">IF(Settings!$J$15="no",VLOOKUP(B337,'1B'!A1:I63,IF(Settings!$J$13="points",6,9),FALSE),VLOOKUP(B337,'1B+3B'!$A1:$I104,IF(Settings!$J$13="points",6,9),FALSE))</f>
        <v>-0.16839152520965217</v>
      </c>
      <c r="J337" s="31"/>
      <c r="K337" s="31">
        <f ca="1">J337-A337</f>
        <v>-336</v>
      </c>
      <c r="L337" s="31"/>
      <c r="M337" s="31">
        <f>VLOOKUP($B337,Hitters!$A1:$R401,4,FALSE)</f>
        <v>412.59999999999997</v>
      </c>
      <c r="N337" s="31">
        <f>VLOOKUP($B337,Hitters!$A1:$R401,5,FALSE)</f>
        <v>52.034999999999997</v>
      </c>
      <c r="O337" s="31">
        <f>VLOOKUP($B337,Hitters!$A1:$R401,6,FALSE)</f>
        <v>18.52</v>
      </c>
      <c r="P337" s="31">
        <f>VLOOKUP($B337,Hitters!$A1:$R401,7,FALSE)</f>
        <v>58.375555555555557</v>
      </c>
      <c r="Q337" s="31">
        <f>VLOOKUP($B337,Hitters!$A1:$R401,8,FALSE)</f>
        <v>2.0066666666666668</v>
      </c>
      <c r="R337" s="152">
        <f>VLOOKUP($B337,Hitters!$A$1:$R$401,14,FALSE)</f>
        <v>0.24267517638821567</v>
      </c>
      <c r="S337" s="152">
        <f>VLOOKUP($B337,Hitters!$A$1:$R$401,15,FALSE)</f>
        <v>0.30984056256788878</v>
      </c>
      <c r="T337" s="154">
        <f>VLOOKUP($B337,Hitters!$A$1:$R$401,9,FALSE)</f>
        <v>100.12777777777778</v>
      </c>
      <c r="U337" s="154">
        <f>VLOOKUP($B337,Hitters!$A$1:$R$401,10,FALSE)</f>
        <v>21.175555555555555</v>
      </c>
      <c r="V337" s="154">
        <f>VLOOKUP($B337,Hitters!$A$1:$R$401,11,FALSE)</f>
        <v>1.0249999999999999</v>
      </c>
      <c r="W337" s="154">
        <f>VLOOKUP($B337,Hitters!$A$1:$R$401,12,FALSE)</f>
        <v>33.543333333333337</v>
      </c>
      <c r="X337" s="154">
        <f>VLOOKUP($B337,Hitters!$A$1:$R$401,13,FALSE)</f>
        <v>123.41333333333334</v>
      </c>
      <c r="Y337" s="152">
        <f>VLOOKUP($B337,Hitters!$A$1:$R$401,16,FALSE)</f>
        <v>0.43362417191791891</v>
      </c>
      <c r="Z337" s="152">
        <f>VLOOKUP($B337,Hitters!$A$1:$R$401,17,FALSE)</f>
        <v>0.74346473448580763</v>
      </c>
      <c r="AA337" s="31">
        <f>VLOOKUP($B337,Hitters!$A1:$R401,18,FALSE)</f>
        <v>0</v>
      </c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</row>
    <row r="338" spans="1:44" ht="18.600000000000001" customHeight="1">
      <c r="A338" s="25">
        <f ca="1">RANK(I338,I$2:I$651)</f>
        <v>337</v>
      </c>
      <c r="B338" s="26" t="s">
        <v>333</v>
      </c>
      <c r="C338" s="27" t="s">
        <v>158</v>
      </c>
      <c r="D338" s="27" t="s">
        <v>74</v>
      </c>
      <c r="E338" s="36" t="s">
        <v>31</v>
      </c>
      <c r="F338" s="37">
        <f ca="1">VLOOKUP(B338,SP!A1:I161,IF(Settings!$J$13="points",4,7),FALSE)</f>
        <v>95</v>
      </c>
      <c r="G338" s="30">
        <f>(AC338*Settings!$F$2)+(AF338*Settings!$F$5)+(AG338*Settings!$F$6)+(AH338*Settings!$F$7)+(AI338*Settings!$F$8)+(AJ338*Settings!$F$9)+(AK338*Settings!$F$10)+(AL338*Settings!$F$11)+(AM338*Settings!$F$12)+(AN338*Settings!$F$13)+(AO338*Settings!$F$14)+(AP338*Settings!$F$15)+(AQ338*Settings!$F$16)+(AR338*Settings!$F$17)</f>
        <v>293.2065777777778</v>
      </c>
      <c r="H338" s="31">
        <f>VLOOKUP(B338,'Standard Deviations'!$A1:$D651,4,FALSE)</f>
        <v>-1.0543733251362404</v>
      </c>
      <c r="I338" s="32">
        <f ca="1">IF(Settings!$J$16="no",VLOOKUP(B338,SP!A1:I161,IF(Settings!$J$13="points",6,9),FALSE),VLOOKUP(B338,'SP+RP'!$A1:$I251,IF(Settings!$J$13="points",6,9),FALSE))</f>
        <v>-0.18678794220997141</v>
      </c>
      <c r="J338" s="31"/>
      <c r="K338" s="31">
        <f ca="1">J338-A338</f>
        <v>-337</v>
      </c>
      <c r="L338" s="31"/>
      <c r="M338" s="31"/>
      <c r="N338" s="31"/>
      <c r="O338" s="31"/>
      <c r="P338" s="31"/>
      <c r="Q338" s="31"/>
      <c r="R338" s="152"/>
      <c r="S338" s="152"/>
      <c r="T338" s="154"/>
      <c r="U338" s="154"/>
      <c r="V338" s="154"/>
      <c r="W338" s="154"/>
      <c r="X338" s="154"/>
      <c r="Y338" s="152"/>
      <c r="Z338" s="152"/>
      <c r="AA338" s="31"/>
      <c r="AB338" s="31"/>
      <c r="AC338" s="31">
        <f>VLOOKUP($B338,Pitchers!$A1:$S251,4,FALSE)</f>
        <v>140.56888888888889</v>
      </c>
      <c r="AD338" s="33">
        <f>VLOOKUP($B338,Pitchers!$A1:$S251,5,FALSE)</f>
        <v>3.8779263627165794</v>
      </c>
      <c r="AE338" s="33">
        <f>VLOOKUP($B338,Pitchers!$A1:$S251,6,FALSE)</f>
        <v>1.3213371063614521</v>
      </c>
      <c r="AF338" s="31">
        <f>VLOOKUP($B338,Pitchers!$A1:$S251,7,FALSE)</f>
        <v>136.9077777777778</v>
      </c>
      <c r="AG338" s="31">
        <f>VLOOKUP($B338,Pitchers!$A1:$S251,8,FALSE)</f>
        <v>7.6155555555555559</v>
      </c>
      <c r="AH338" s="31">
        <f>VLOOKUP($B338,Pitchers!$A1:$S251,9,FALSE)</f>
        <v>0</v>
      </c>
      <c r="AI338" s="31">
        <f>VLOOKUP($B338,Pitchers!$A1:$S251,10,FALSE)</f>
        <v>60.568422222222217</v>
      </c>
      <c r="AJ338" s="31">
        <f>VLOOKUP($B338,Pitchers!$A1:$S251,11,FALSE)</f>
        <v>129.03444444444446</v>
      </c>
      <c r="AK338" s="31">
        <f>VLOOKUP($B338,Pitchers!$A1:$S251,12,FALSE)</f>
        <v>56.704444444444448</v>
      </c>
      <c r="AL338" s="31">
        <f>VLOOKUP($B338,Pitchers!$A1:$S251,13,FALSE)</f>
        <v>14.133333333333333</v>
      </c>
      <c r="AM338" s="31">
        <f>VLOOKUP($B338,Pitchers!$A1:$S251,14,FALSE)</f>
        <v>27.165555555555557</v>
      </c>
      <c r="AN338" s="31">
        <f>VLOOKUP($B338,Pitchers!$A1:$S251,15,FALSE)</f>
        <v>26.632222222222225</v>
      </c>
      <c r="AO338" s="31">
        <f>VLOOKUP($B338,Pitchers!$A1:$S251,16,FALSE)</f>
        <v>7.9911111111111106</v>
      </c>
      <c r="AP338" s="31">
        <f>VLOOKUP($B338,Pitchers!$A1:$S251,17,FALSE)</f>
        <v>12</v>
      </c>
      <c r="AQ338" s="31">
        <f>VLOOKUP($B338,Pitchers!$A1:$S251,18,FALSE)</f>
        <v>0.5</v>
      </c>
      <c r="AR338" s="31">
        <f>VLOOKUP($B338,Pitchers!$A1:$S251,19,FALSE)</f>
        <v>0</v>
      </c>
    </row>
    <row r="339" spans="1:44" ht="18.600000000000001" customHeight="1">
      <c r="A339" s="25">
        <f ca="1">RANK(I339,I$2:I$651)</f>
        <v>338</v>
      </c>
      <c r="B339" s="26" t="s">
        <v>752</v>
      </c>
      <c r="C339" s="27" t="s">
        <v>68</v>
      </c>
      <c r="D339" s="27" t="s">
        <v>69</v>
      </c>
      <c r="E339" s="36" t="s">
        <v>31</v>
      </c>
      <c r="F339" s="37">
        <f ca="1">VLOOKUP(B339,SP!A1:I161,IF(Settings!$J$13="points",4,7),FALSE)</f>
        <v>96</v>
      </c>
      <c r="G339" s="30">
        <f>(AC339*Settings!$F$2)+(AF339*Settings!$F$5)+(AG339*Settings!$F$6)+(AH339*Settings!$F$7)+(AI339*Settings!$F$8)+(AJ339*Settings!$F$9)+(AK339*Settings!$F$10)+(AL339*Settings!$F$11)+(AM339*Settings!$F$12)+(AN339*Settings!$F$13)+(AO339*Settings!$F$14)+(AP339*Settings!$F$15)+(AQ339*Settings!$F$16)+(AR339*Settings!$F$17)</f>
        <v>230.57346666666672</v>
      </c>
      <c r="H339" s="31">
        <f>VLOOKUP(B339,'Standard Deviations'!$A1:$D651,4,FALSE)</f>
        <v>-1.0670009460831562</v>
      </c>
      <c r="I339" s="32">
        <f ca="1">IF(Settings!$J$16="no",VLOOKUP(B339,SP!A1:I161,IF(Settings!$J$13="points",6,9),FALSE),VLOOKUP(B339,'SP+RP'!$A1:$I251,IF(Settings!$J$13="points",6,9),FALSE))</f>
        <v>-0.19942363094557969</v>
      </c>
      <c r="J339" s="31"/>
      <c r="K339" s="31">
        <f ca="1">J339-A339</f>
        <v>-338</v>
      </c>
      <c r="L339" s="31"/>
      <c r="M339" s="31"/>
      <c r="N339" s="31"/>
      <c r="O339" s="31"/>
      <c r="P339" s="31"/>
      <c r="Q339" s="31"/>
      <c r="R339" s="152"/>
      <c r="S339" s="152"/>
      <c r="T339" s="154"/>
      <c r="U339" s="154"/>
      <c r="V339" s="154"/>
      <c r="W339" s="154"/>
      <c r="X339" s="154"/>
      <c r="Y339" s="152"/>
      <c r="Z339" s="152"/>
      <c r="AA339" s="31"/>
      <c r="AB339" s="31"/>
      <c r="AC339" s="31">
        <f>VLOOKUP($B339,Pitchers!$A1:$S251,4,FALSE)</f>
        <v>103.74000000000001</v>
      </c>
      <c r="AD339" s="33">
        <f>VLOOKUP($B339,Pitchers!$A1:$S251,5,FALSE)</f>
        <v>3.8373703489492961</v>
      </c>
      <c r="AE339" s="33">
        <f>VLOOKUP($B339,Pitchers!$A1:$S251,6,FALSE)</f>
        <v>1.2132896343422659</v>
      </c>
      <c r="AF339" s="31">
        <f>VLOOKUP($B339,Pitchers!$A1:$S251,7,FALSE)</f>
        <v>101.26666666666667</v>
      </c>
      <c r="AG339" s="31">
        <f>VLOOKUP($B339,Pitchers!$A1:$S251,8,FALSE)</f>
        <v>5.7677777777777779</v>
      </c>
      <c r="AH339" s="31">
        <f>VLOOKUP($B339,Pitchers!$A1:$S251,9,FALSE)</f>
        <v>0</v>
      </c>
      <c r="AI339" s="31">
        <f>VLOOKUP($B339,Pitchers!$A1:$S251,10,FALSE)</f>
        <v>44.232088888888889</v>
      </c>
      <c r="AJ339" s="31">
        <f>VLOOKUP($B339,Pitchers!$A1:$S251,11,FALSE)</f>
        <v>89.733333333333334</v>
      </c>
      <c r="AK339" s="31">
        <f>VLOOKUP($B339,Pitchers!$A1:$S251,12,FALSE)</f>
        <v>36.133333333333333</v>
      </c>
      <c r="AL339" s="31">
        <f>VLOOKUP($B339,Pitchers!$A1:$S251,13,FALSE)</f>
        <v>11.966666666666667</v>
      </c>
      <c r="AM339" s="31">
        <f>VLOOKUP($B339,Pitchers!$A1:$S251,14,FALSE)</f>
        <v>35.31666666666667</v>
      </c>
      <c r="AN339" s="31">
        <f>VLOOKUP($B339,Pitchers!$A1:$S251,15,FALSE)</f>
        <v>14.075000000000001</v>
      </c>
      <c r="AO339" s="31">
        <f>VLOOKUP($B339,Pitchers!$A1:$S251,16,FALSE)</f>
        <v>5.7111111111111112</v>
      </c>
      <c r="AP339" s="31">
        <f>VLOOKUP($B339,Pitchers!$A1:$S251,17,FALSE)</f>
        <v>9</v>
      </c>
      <c r="AQ339" s="31">
        <f>VLOOKUP($B339,Pitchers!$A1:$S251,18,FALSE)</f>
        <v>0</v>
      </c>
      <c r="AR339" s="31">
        <f>VLOOKUP($B339,Pitchers!$A1:$S251,19,FALSE)</f>
        <v>0</v>
      </c>
    </row>
    <row r="340" spans="1:44" ht="20.100000000000001" customHeight="1">
      <c r="A340" s="25">
        <f ca="1">RANK(I340,I$2:I$651)</f>
        <v>339</v>
      </c>
      <c r="B340" s="26" t="s">
        <v>385</v>
      </c>
      <c r="C340" s="27" t="s">
        <v>306</v>
      </c>
      <c r="D340" s="27" t="s">
        <v>74</v>
      </c>
      <c r="E340" s="34" t="s">
        <v>15</v>
      </c>
      <c r="F340" s="35">
        <f ca="1">VLOOKUP(B340,'3B'!A1:I55,IF(Settings!$J$13="points",4,7),FALSE)</f>
        <v>25</v>
      </c>
      <c r="G340" s="30">
        <f>(M340*Settings!$B$2)+(N340*Settings!$B$3)+(O340*Settings!$B$4)+(P340*Settings!$B$5)+(Q340*Settings!$B$6)+((T340-U340-V340-O340)*Settings!$B$9)+(U340*Settings!$B$10)+(V340*Settings!$B$11)+(W340*Settings!$B$12)+(X340*Settings!$B$13)+(AA340*Settings!$B$16)</f>
        <v>301.38944444444445</v>
      </c>
      <c r="H340" s="31">
        <f>VLOOKUP(B340,'Standard Deviations'!$A1:$D651,4,FALSE)</f>
        <v>1.1627734899558873E-2</v>
      </c>
      <c r="I340" s="32">
        <f ca="1">IF(Settings!$J$15="no",VLOOKUP(B340,'3B'!A1:I55,IF(Settings!$J$13="points",6,9),FALSE),VLOOKUP(B340,'1B+3B'!$A1:$I104,IF(Settings!$J$13="points",6,9),FALSE))</f>
        <v>-0.21385230573801126</v>
      </c>
      <c r="J340" s="31"/>
      <c r="K340" s="31">
        <f ca="1">J340-A340</f>
        <v>-339</v>
      </c>
      <c r="L340" s="31"/>
      <c r="M340" s="31">
        <f>VLOOKUP($B340,Hitters!$A1:$R401,4,FALSE)</f>
        <v>480.02222222222218</v>
      </c>
      <c r="N340" s="31">
        <f>VLOOKUP($B340,Hitters!$A1:$R401,5,FALSE)</f>
        <v>58.82</v>
      </c>
      <c r="O340" s="31">
        <f>VLOOKUP($B340,Hitters!$A1:$R401,6,FALSE)</f>
        <v>15.573333333333332</v>
      </c>
      <c r="P340" s="31">
        <f>VLOOKUP($B340,Hitters!$A1:$R401,7,FALSE)</f>
        <v>60.772222222222219</v>
      </c>
      <c r="Q340" s="31">
        <f>VLOOKUP($B340,Hitters!$A1:$R401,8,FALSE)</f>
        <v>0.99333333333333329</v>
      </c>
      <c r="R340" s="152">
        <f>VLOOKUP($B340,Hitters!$A$1:$R$401,14,FALSE)</f>
        <v>0.24361372158696359</v>
      </c>
      <c r="S340" s="152">
        <f>VLOOKUP($B340,Hitters!$A$1:$R$401,15,FALSE)</f>
        <v>0.31732251300013292</v>
      </c>
      <c r="T340" s="154">
        <f>VLOOKUP($B340,Hitters!$A$1:$R$401,9,FALSE)</f>
        <v>116.94</v>
      </c>
      <c r="U340" s="154">
        <f>VLOOKUP($B340,Hitters!$A$1:$R$401,10,FALSE)</f>
        <v>28.196666666666669</v>
      </c>
      <c r="V340" s="154">
        <f>VLOOKUP($B340,Hitters!$A$1:$R$401,11,FALSE)</f>
        <v>2.0099999999999998</v>
      </c>
      <c r="W340" s="154">
        <f>VLOOKUP($B340,Hitters!$A$1:$R$401,12,FALSE)</f>
        <v>44.29</v>
      </c>
      <c r="X340" s="154">
        <f>VLOOKUP($B340,Hitters!$A$1:$R$401,13,FALSE)</f>
        <v>120.71222222222222</v>
      </c>
      <c r="Y340" s="152">
        <f>VLOOKUP($B340,Hitters!$A$1:$R$401,16,FALSE)</f>
        <v>0.40805749733808616</v>
      </c>
      <c r="Z340" s="152">
        <f>VLOOKUP($B340,Hitters!$A$1:$R$401,17,FALSE)</f>
        <v>0.72538001033821908</v>
      </c>
      <c r="AA340" s="31">
        <f>VLOOKUP($B340,Hitters!$A1:$R401,18,FALSE)</f>
        <v>0</v>
      </c>
      <c r="AB340" s="31"/>
      <c r="AC340" s="31"/>
      <c r="AD340" s="33"/>
      <c r="AE340" s="33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</row>
    <row r="341" spans="1:44" ht="18.600000000000001" customHeight="1">
      <c r="A341" s="25">
        <f ca="1">RANK(I341,I$2:I$651)</f>
        <v>340</v>
      </c>
      <c r="B341" s="26" t="s">
        <v>369</v>
      </c>
      <c r="C341" s="27" t="s">
        <v>117</v>
      </c>
      <c r="D341" s="27" t="s">
        <v>69</v>
      </c>
      <c r="E341" s="28" t="s">
        <v>23</v>
      </c>
      <c r="F341" s="29">
        <f ca="1">VLOOKUP(B341,OF!A1:I139,IF(Settings!$J$13="points",4,7),FALSE)</f>
        <v>79</v>
      </c>
      <c r="G341" s="30">
        <f>(M341*Settings!$B$2)+(N341*Settings!$B$3)+(O341*Settings!$B$4)+(P341*Settings!$B$5)+(Q341*Settings!$B$6)+((T341-U341-V341-O341)*Settings!$B$9)+(U341*Settings!$B$10)+(V341*Settings!$B$11)+(W341*Settings!$B$12)+(X341*Settings!$B$13)+(AA341*Settings!$B$16)</f>
        <v>248.42666666666659</v>
      </c>
      <c r="H341" s="31">
        <f>VLOOKUP(B341,'Standard Deviations'!$A1:$D651,4,FALSE)</f>
        <v>-0.40813954057641222</v>
      </c>
      <c r="I341" s="32">
        <f ca="1">VLOOKUP(B341,OF!A1:I139,IF(Settings!$J$13="points",6,9),FALSE)</f>
        <v>-0.25121173761175103</v>
      </c>
      <c r="J341" s="31"/>
      <c r="K341" s="31">
        <f ca="1">J341-A341</f>
        <v>-340</v>
      </c>
      <c r="L341" s="31"/>
      <c r="M341" s="31">
        <f>VLOOKUP($B341,Hitters!$A1:$R401,4,FALSE)</f>
        <v>403.40000000000003</v>
      </c>
      <c r="N341" s="31">
        <f>VLOOKUP($B341,Hitters!$A1:$R401,5,FALSE)</f>
        <v>49.233333333333327</v>
      </c>
      <c r="O341" s="31">
        <f>VLOOKUP($B341,Hitters!$A1:$R401,6,FALSE)</f>
        <v>9.1283333333333339</v>
      </c>
      <c r="P341" s="31">
        <f>VLOOKUP($B341,Hitters!$A1:$R401,7,FALSE)</f>
        <v>43.957777777777778</v>
      </c>
      <c r="Q341" s="31">
        <f>VLOOKUP($B341,Hitters!$A1:$R401,8,FALSE)</f>
        <v>14.814444444444446</v>
      </c>
      <c r="R341" s="152">
        <f>VLOOKUP($B341,Hitters!$A$1:$R$401,14,FALSE)</f>
        <v>0.2364485209056354</v>
      </c>
      <c r="S341" s="152">
        <f>VLOOKUP($B341,Hitters!$A$1:$R$401,15,FALSE)</f>
        <v>0.29936923178090613</v>
      </c>
      <c r="T341" s="154">
        <f>VLOOKUP($B341,Hitters!$A$1:$R$401,9,FALSE)</f>
        <v>95.383333333333326</v>
      </c>
      <c r="U341" s="154">
        <f>VLOOKUP($B341,Hitters!$A$1:$R$401,10,FALSE)</f>
        <v>19.216666666666665</v>
      </c>
      <c r="V341" s="154">
        <f>VLOOKUP($B341,Hitters!$A$1:$R$401,11,FALSE)</f>
        <v>3.9844444444444442</v>
      </c>
      <c r="W341" s="154">
        <f>VLOOKUP($B341,Hitters!$A$1:$R$401,12,FALSE)</f>
        <v>29.590000000000003</v>
      </c>
      <c r="X341" s="154">
        <f>VLOOKUP($B341,Hitters!$A$1:$R$401,13,FALSE)</f>
        <v>107.87444444444445</v>
      </c>
      <c r="Y341" s="152">
        <f>VLOOKUP($B341,Hitters!$A$1:$R$401,16,FALSE)</f>
        <v>0.37172505921886184</v>
      </c>
      <c r="Z341" s="152">
        <f>VLOOKUP($B341,Hitters!$A$1:$R$401,17,FALSE)</f>
        <v>0.67109429099976792</v>
      </c>
      <c r="AA341" s="31">
        <f>VLOOKUP($B341,Hitters!$A1:$R401,18,FALSE)</f>
        <v>0</v>
      </c>
      <c r="AB341" s="31"/>
      <c r="AC341" s="31"/>
      <c r="AD341" s="33"/>
      <c r="AE341" s="33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</row>
    <row r="342" spans="1:44" ht="18.600000000000001" customHeight="1">
      <c r="A342" s="25">
        <f ca="1">RANK(I342,I$2:I$651)</f>
        <v>341</v>
      </c>
      <c r="B342" s="26" t="s">
        <v>650</v>
      </c>
      <c r="C342" s="27" t="s">
        <v>81</v>
      </c>
      <c r="D342" s="27" t="s">
        <v>74</v>
      </c>
      <c r="E342" s="38" t="s">
        <v>27</v>
      </c>
      <c r="F342" s="39">
        <f ca="1">VLOOKUP(B342,SS!A1:I45,IF(Settings!$J$13="points",4,7),FALSE)</f>
        <v>25</v>
      </c>
      <c r="G342" s="30">
        <f>(M342*Settings!$B$2)+(N342*Settings!$B$3)+(O342*Settings!$B$4)+(P342*Settings!$B$5)+(Q342*Settings!$B$6)+((T342-U342-V342-O342)*Settings!$B$9)+(U342*Settings!$B$10)+(V342*Settings!$B$11)+(W342*Settings!$B$12)+(X342*Settings!$B$13)+(AA342*Settings!$B$16)</f>
        <v>259.54916666666662</v>
      </c>
      <c r="H342" s="31">
        <f>VLOOKUP(B342,'Standard Deviations'!$A1:$D651,4,FALSE)</f>
        <v>-0.24726758611237154</v>
      </c>
      <c r="I342" s="32">
        <f ca="1">IF(Settings!$J$16="no",VLOOKUP(B342,SS!A1:I45,IF(Settings!$J$13="points",6,9),FALSE),VLOOKUP(B342,'2B+SS'!$A1:$I94,IF(Settings!$J$13="points",6,9),FALSE))</f>
        <v>-0.25330918487745141</v>
      </c>
      <c r="J342" s="31"/>
      <c r="K342" s="31">
        <f ca="1">J342-A342</f>
        <v>-341</v>
      </c>
      <c r="L342" s="31"/>
      <c r="M342" s="31">
        <f>VLOOKUP($B342,Hitters!$A1:$R401,4,FALSE)</f>
        <v>403.48888888888888</v>
      </c>
      <c r="N342" s="31">
        <f>VLOOKUP($B342,Hitters!$A1:$R401,5,FALSE)</f>
        <v>48.065555555555555</v>
      </c>
      <c r="O342" s="31">
        <f>VLOOKUP($B342,Hitters!$A1:$R401,6,FALSE)</f>
        <v>7.3033333333333337</v>
      </c>
      <c r="P342" s="31">
        <f>VLOOKUP($B342,Hitters!$A1:$R401,7,FALSE)</f>
        <v>44.215555555555561</v>
      </c>
      <c r="Q342" s="31">
        <f>VLOOKUP($B342,Hitters!$A1:$R401,8,FALSE)</f>
        <v>9.2311111111111117</v>
      </c>
      <c r="R342" s="152">
        <f>VLOOKUP($B342,Hitters!$A$1:$R$401,14,FALSE)</f>
        <v>0.25995759211323455</v>
      </c>
      <c r="S342" s="152">
        <f>VLOOKUP($B342,Hitters!$A$1:$R$401,15,FALSE)</f>
        <v>0.31495743456210801</v>
      </c>
      <c r="T342" s="154">
        <f>VLOOKUP($B342,Hitters!$A$1:$R$401,9,FALSE)</f>
        <v>104.89</v>
      </c>
      <c r="U342" s="154">
        <f>VLOOKUP($B342,Hitters!$A$1:$R$401,10,FALSE)</f>
        <v>20.612222222222222</v>
      </c>
      <c r="V342" s="154">
        <f>VLOOKUP($B342,Hitters!$A$1:$R$401,11,FALSE)</f>
        <v>1.7566666666666666</v>
      </c>
      <c r="W342" s="154">
        <f>VLOOKUP($B342,Hitters!$A$1:$R$401,12,FALSE)</f>
        <v>26.017777777777781</v>
      </c>
      <c r="X342" s="154">
        <f>VLOOKUP($B342,Hitters!$A$1:$R$401,13,FALSE)</f>
        <v>56.274999999999999</v>
      </c>
      <c r="Y342" s="152">
        <f>VLOOKUP($B342,Hitters!$A$1:$R$401,16,FALSE)</f>
        <v>0.37405133006553942</v>
      </c>
      <c r="Z342" s="152">
        <f>VLOOKUP($B342,Hitters!$A$1:$R$401,17,FALSE)</f>
        <v>0.68900876462764749</v>
      </c>
      <c r="AA342" s="31">
        <f>VLOOKUP($B342,Hitters!$A1:$R401,18,FALSE)</f>
        <v>0</v>
      </c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</row>
    <row r="343" spans="1:44" ht="18.600000000000001" customHeight="1">
      <c r="A343" s="25">
        <f ca="1">RANK(I343,I$2:I$651)</f>
        <v>342</v>
      </c>
      <c r="B343" s="26" t="s">
        <v>589</v>
      </c>
      <c r="C343" s="27" t="s">
        <v>71</v>
      </c>
      <c r="D343" s="27" t="s">
        <v>69</v>
      </c>
      <c r="E343" s="38" t="s">
        <v>27</v>
      </c>
      <c r="F343" s="39">
        <f ca="1">VLOOKUP(B343,SS!A1:I45,IF(Settings!$J$13="points",4,7),FALSE)</f>
        <v>26</v>
      </c>
      <c r="G343" s="30">
        <f>(M343*Settings!$B$2)+(N343*Settings!$B$3)+(O343*Settings!$B$4)+(P343*Settings!$B$5)+(Q343*Settings!$B$6)+((T343-U343-V343-O343)*Settings!$B$9)+(U343*Settings!$B$10)+(V343*Settings!$B$11)+(W343*Settings!$B$12)+(X343*Settings!$B$13)+(AA343*Settings!$B$16)</f>
        <v>319.96277777777783</v>
      </c>
      <c r="H343" s="31">
        <f>VLOOKUP(B343,'Standard Deviations'!$A1:$D651,4,FALSE)</f>
        <v>-0.25427173514345386</v>
      </c>
      <c r="I343" s="32">
        <f ca="1">IF(Settings!$J$16="no",VLOOKUP(B343,SS!A1:I45,IF(Settings!$J$13="points",6,9),FALSE),VLOOKUP(B343,'2B+SS'!$A1:$I94,IF(Settings!$J$13="points",6,9),FALSE))</f>
        <v>-0.26030964339056484</v>
      </c>
      <c r="J343" s="31"/>
      <c r="K343" s="31">
        <f ca="1">J343-A343</f>
        <v>-342</v>
      </c>
      <c r="L343" s="31"/>
      <c r="M343" s="31">
        <f>VLOOKUP($B343,Hitters!$A1:$R401,4,FALSE)</f>
        <v>517.06666666666672</v>
      </c>
      <c r="N343" s="31">
        <f>VLOOKUP($B343,Hitters!$A1:$R401,5,FALSE)</f>
        <v>63.166666666666664</v>
      </c>
      <c r="O343" s="31">
        <f>VLOOKUP($B343,Hitters!$A1:$R401,6,FALSE)</f>
        <v>7.0066666666666668</v>
      </c>
      <c r="P343" s="31">
        <f>VLOOKUP($B343,Hitters!$A1:$R401,7,FALSE)</f>
        <v>49.164444444444449</v>
      </c>
      <c r="Q343" s="31">
        <f>VLOOKUP($B343,Hitters!$A1:$R401,8,FALSE)</f>
        <v>5.6722222222222216</v>
      </c>
      <c r="R343" s="152">
        <f>VLOOKUP($B343,Hitters!$A$1:$R$401,14,FALSE)</f>
        <v>0.25270758122743681</v>
      </c>
      <c r="S343" s="152">
        <f>VLOOKUP($B343,Hitters!$A$1:$R$401,15,FALSE)</f>
        <v>0.33646566660943134</v>
      </c>
      <c r="T343" s="154">
        <f>VLOOKUP($B343,Hitters!$A$1:$R$401,9,FALSE)</f>
        <v>130.66666666666666</v>
      </c>
      <c r="U343" s="154">
        <f>VLOOKUP($B343,Hitters!$A$1:$R$401,10,FALSE)</f>
        <v>26.46777777777778</v>
      </c>
      <c r="V343" s="154">
        <f>VLOOKUP($B343,Hitters!$A$1:$R$401,11,FALSE)</f>
        <v>2.0150000000000001</v>
      </c>
      <c r="W343" s="154">
        <f>VLOOKUP($B343,Hitters!$A$1:$R$401,12,FALSE)</f>
        <v>57.586666666666673</v>
      </c>
      <c r="X343" s="154">
        <f>VLOOKUP($B343,Hitters!$A$1:$R$401,13,FALSE)</f>
        <v>86.967777777777769</v>
      </c>
      <c r="Y343" s="152">
        <f>VLOOKUP($B343,Hitters!$A$1:$R$401,16,FALSE)</f>
        <v>0.35234227264913182</v>
      </c>
      <c r="Z343" s="152">
        <f>VLOOKUP($B343,Hitters!$A$1:$R$401,17,FALSE)</f>
        <v>0.6888079392585631</v>
      </c>
      <c r="AA343" s="31">
        <f>VLOOKUP($B343,Hitters!$A1:$R401,18,FALSE)</f>
        <v>0</v>
      </c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</row>
    <row r="344" spans="1:44" ht="18.600000000000001" customHeight="1">
      <c r="A344" s="25">
        <f ca="1">RANK(I344,I$2:I$651)</f>
        <v>343</v>
      </c>
      <c r="B344" s="26" t="s">
        <v>362</v>
      </c>
      <c r="C344" s="27" t="s">
        <v>91</v>
      </c>
      <c r="D344" s="27" t="s">
        <v>74</v>
      </c>
      <c r="E344" s="36" t="s">
        <v>31</v>
      </c>
      <c r="F344" s="37">
        <f ca="1">VLOOKUP(B344,SP!A1:I161,IF(Settings!$J$13="points",4,7),FALSE)</f>
        <v>97</v>
      </c>
      <c r="G344" s="30">
        <f>(AC344*Settings!$F$2)+(AF344*Settings!$F$5)+(AG344*Settings!$F$6)+(AH344*Settings!$F$7)+(AI344*Settings!$F$8)+(AJ344*Settings!$F$9)+(AK344*Settings!$F$10)+(AL344*Settings!$F$11)+(AM344*Settings!$F$12)+(AN344*Settings!$F$13)+(AO344*Settings!$F$14)+(AP344*Settings!$F$15)+(AQ344*Settings!$F$16)+(AR344*Settings!$F$17)</f>
        <v>320.89015555555557</v>
      </c>
      <c r="H344" s="31">
        <f>VLOOKUP(B344,'Standard Deviations'!$A1:$D651,4,FALSE)</f>
        <v>-1.1402284050845357</v>
      </c>
      <c r="I344" s="32">
        <f ca="1">IF(Settings!$J$16="no",VLOOKUP(B344,SP!A1:I161,IF(Settings!$J$13="points",6,9),FALSE),VLOOKUP(B344,'SP+RP'!$A1:$I251,IF(Settings!$J$13="points",6,9),FALSE))</f>
        <v>-0.27264974189206104</v>
      </c>
      <c r="J344" s="31"/>
      <c r="K344" s="31">
        <f ca="1">J344-A344</f>
        <v>-343</v>
      </c>
      <c r="L344" s="31"/>
      <c r="M344" s="31"/>
      <c r="N344" s="31"/>
      <c r="O344" s="31"/>
      <c r="P344" s="31"/>
      <c r="Q344" s="31"/>
      <c r="R344" s="152"/>
      <c r="S344" s="152"/>
      <c r="T344" s="154"/>
      <c r="U344" s="154"/>
      <c r="V344" s="154"/>
      <c r="W344" s="154"/>
      <c r="X344" s="154"/>
      <c r="Y344" s="152"/>
      <c r="Z344" s="152"/>
      <c r="AA344" s="31"/>
      <c r="AB344" s="31"/>
      <c r="AC344" s="31">
        <f>VLOOKUP($B344,Pitchers!$A1:$S251,4,FALSE)</f>
        <v>156.76222222222222</v>
      </c>
      <c r="AD344" s="33">
        <f>VLOOKUP($B344,Pitchers!$A1:$S251,5,FALSE)</f>
        <v>4.2892897948768836</v>
      </c>
      <c r="AE344" s="33">
        <f>VLOOKUP($B344,Pitchers!$A1:$S251,6,FALSE)</f>
        <v>1.2933671661256256</v>
      </c>
      <c r="AF344" s="31">
        <f>VLOOKUP($B344,Pitchers!$A1:$S251,7,FALSE)</f>
        <v>129.6888888888889</v>
      </c>
      <c r="AG344" s="31">
        <f>VLOOKUP($B344,Pitchers!$A1:$S251,8,FALSE)</f>
        <v>10.002222222222223</v>
      </c>
      <c r="AH344" s="31">
        <f>VLOOKUP($B344,Pitchers!$A1:$S251,9,FALSE)</f>
        <v>0</v>
      </c>
      <c r="AI344" s="31">
        <f>VLOOKUP($B344,Pitchers!$A1:$S251,10,FALSE)</f>
        <v>74.710955555555557</v>
      </c>
      <c r="AJ344" s="31">
        <f>VLOOKUP($B344,Pitchers!$A1:$S251,11,FALSE)</f>
        <v>153.86333333333334</v>
      </c>
      <c r="AK344" s="31">
        <f>VLOOKUP($B344,Pitchers!$A1:$S251,12,FALSE)</f>
        <v>48.887777777777778</v>
      </c>
      <c r="AL344" s="31">
        <f>VLOOKUP($B344,Pitchers!$A1:$S251,13,FALSE)</f>
        <v>21.866666666666664</v>
      </c>
      <c r="AM344" s="31">
        <f>VLOOKUP($B344,Pitchers!$A1:$S251,14,FALSE)</f>
        <v>28.364444444444445</v>
      </c>
      <c r="AN344" s="31">
        <f>VLOOKUP($B344,Pitchers!$A1:$S251,15,FALSE)</f>
        <v>28.364444444444445</v>
      </c>
      <c r="AO344" s="31">
        <f>VLOOKUP($B344,Pitchers!$A1:$S251,16,FALSE)</f>
        <v>8.5588888888888892</v>
      </c>
      <c r="AP344" s="31">
        <f>VLOOKUP($B344,Pitchers!$A1:$S251,17,FALSE)</f>
        <v>12</v>
      </c>
      <c r="AQ344" s="31">
        <f>VLOOKUP($B344,Pitchers!$A1:$S251,18,FALSE)</f>
        <v>0</v>
      </c>
      <c r="AR344" s="31">
        <f>VLOOKUP($B344,Pitchers!$A1:$S251,19,FALSE)</f>
        <v>0</v>
      </c>
    </row>
    <row r="345" spans="1:44" ht="18.600000000000001" customHeight="1">
      <c r="A345" s="25">
        <f ca="1">RANK(I345,I$2:I$651)</f>
        <v>344</v>
      </c>
      <c r="B345" s="26" t="s">
        <v>346</v>
      </c>
      <c r="C345" s="27" t="s">
        <v>217</v>
      </c>
      <c r="D345" s="27" t="s">
        <v>74</v>
      </c>
      <c r="E345" s="36" t="s">
        <v>31</v>
      </c>
      <c r="F345" s="37">
        <f ca="1">VLOOKUP(B345,SP!A1:I161,IF(Settings!$J$13="points",4,7),FALSE)</f>
        <v>98</v>
      </c>
      <c r="G345" s="30">
        <f>(AC345*Settings!$F$2)+(AF345*Settings!$F$5)+(AG345*Settings!$F$6)+(AH345*Settings!$F$7)+(AI345*Settings!$F$8)+(AJ345*Settings!$F$9)+(AK345*Settings!$F$10)+(AL345*Settings!$F$11)+(AM345*Settings!$F$12)+(AN345*Settings!$F$13)+(AO345*Settings!$F$14)+(AP345*Settings!$F$15)+(AQ345*Settings!$F$16)+(AR345*Settings!$F$17)</f>
        <v>280.82344444444448</v>
      </c>
      <c r="H345" s="31">
        <f>VLOOKUP(B345,'Standard Deviations'!$A1:$D651,4,FALSE)</f>
        <v>-1.1596632418274</v>
      </c>
      <c r="I345" s="32">
        <f ca="1">IF(Settings!$J$16="no",VLOOKUP(B345,SP!A1:I161,IF(Settings!$J$13="points",6,9),FALSE),VLOOKUP(B345,'SP+RP'!$A1:$I251,IF(Settings!$J$13="points",6,9),FALSE))</f>
        <v>-0.29208034778105674</v>
      </c>
      <c r="J345" s="31"/>
      <c r="K345" s="31">
        <f ca="1">J345-A345</f>
        <v>-344</v>
      </c>
      <c r="L345" s="31"/>
      <c r="M345" s="31"/>
      <c r="N345" s="31"/>
      <c r="O345" s="31"/>
      <c r="P345" s="31"/>
      <c r="Q345" s="31"/>
      <c r="R345" s="152"/>
      <c r="S345" s="152"/>
      <c r="T345" s="154"/>
      <c r="U345" s="154"/>
      <c r="V345" s="154"/>
      <c r="W345" s="154"/>
      <c r="X345" s="154"/>
      <c r="Y345" s="152"/>
      <c r="Z345" s="152"/>
      <c r="AA345" s="31"/>
      <c r="AB345" s="31"/>
      <c r="AC345" s="31">
        <f>VLOOKUP($B345,Pitchers!$A1:$S251,4,FALSE)</f>
        <v>137.19777777777779</v>
      </c>
      <c r="AD345" s="33">
        <f>VLOOKUP($B345,Pitchers!$A1:$S251,5,FALSE)</f>
        <v>4.1019541942694238</v>
      </c>
      <c r="AE345" s="33">
        <f>VLOOKUP($B345,Pitchers!$A1:$S251,6,FALSE)</f>
        <v>1.2522635611201993</v>
      </c>
      <c r="AF345" s="31">
        <f>VLOOKUP($B345,Pitchers!$A1:$S251,7,FALSE)</f>
        <v>114.89999999999999</v>
      </c>
      <c r="AG345" s="31">
        <f>VLOOKUP($B345,Pitchers!$A1:$S251,8,FALSE)</f>
        <v>7.9899999999999993</v>
      </c>
      <c r="AH345" s="31">
        <f>VLOOKUP($B345,Pitchers!$A1:$S251,9,FALSE)</f>
        <v>1.1111111111111112E-2</v>
      </c>
      <c r="AI345" s="31">
        <f>VLOOKUP($B345,Pitchers!$A1:$S251,10,FALSE)</f>
        <v>62.531000000000006</v>
      </c>
      <c r="AJ345" s="31">
        <f>VLOOKUP($B345,Pitchers!$A1:$S251,11,FALSE)</f>
        <v>138.27333333333334</v>
      </c>
      <c r="AK345" s="31">
        <f>VLOOKUP($B345,Pitchers!$A1:$S251,12,FALSE)</f>
        <v>33.534444444444439</v>
      </c>
      <c r="AL345" s="31">
        <f>VLOOKUP($B345,Pitchers!$A1:$S251,13,FALSE)</f>
        <v>18.933333333333334</v>
      </c>
      <c r="AM345" s="31">
        <f>VLOOKUP($B345,Pitchers!$A1:$S251,14,FALSE)</f>
        <v>33.157777777777774</v>
      </c>
      <c r="AN345" s="31">
        <f>VLOOKUP($B345,Pitchers!$A1:$S251,15,FALSE)</f>
        <v>23.657777777777778</v>
      </c>
      <c r="AO345" s="31">
        <f>VLOOKUP($B345,Pitchers!$A1:$S251,16,FALSE)</f>
        <v>7.9777777777777779</v>
      </c>
      <c r="AP345" s="31">
        <f>VLOOKUP($B345,Pitchers!$A1:$S251,17,FALSE)</f>
        <v>10</v>
      </c>
      <c r="AQ345" s="31">
        <f>VLOOKUP($B345,Pitchers!$A1:$S251,18,FALSE)</f>
        <v>0</v>
      </c>
      <c r="AR345" s="31">
        <f>VLOOKUP($B345,Pitchers!$A1:$S251,19,FALSE)</f>
        <v>0</v>
      </c>
    </row>
    <row r="346" spans="1:44" ht="18.600000000000001" customHeight="1">
      <c r="A346" s="25">
        <f ca="1">RANK(I346,I$2:I$651)</f>
        <v>345</v>
      </c>
      <c r="B346" s="26" t="s">
        <v>500</v>
      </c>
      <c r="C346" s="27" t="s">
        <v>86</v>
      </c>
      <c r="D346" s="27" t="s">
        <v>69</v>
      </c>
      <c r="E346" s="42" t="s">
        <v>34</v>
      </c>
      <c r="F346" s="43">
        <f ca="1">VLOOKUP(B346,RP!A1:I91,IF(Settings!$J$13="points",4,7),FALSE)</f>
        <v>48</v>
      </c>
      <c r="G346" s="30">
        <f>(AC346*Settings!$F$2)+(AF346*Settings!$F$5)+(AG346*Settings!$F$6)+(AH346*Settings!$F$7)+(AI346*Settings!$F$8)+(AJ346*Settings!$F$9)+(AK346*Settings!$F$10)+(AL346*Settings!$F$11)+(AM346*Settings!$F$12)+(AN346*Settings!$F$13)+(AO346*Settings!$F$14)+(AP346*Settings!$F$15)+(AQ346*Settings!$F$16)+(AR346*Settings!$F$17)</f>
        <v>236.98888888888891</v>
      </c>
      <c r="H346" s="31">
        <f>VLOOKUP(B346,'Standard Deviations'!$A1:$D651,4,FALSE)</f>
        <v>-1.1716276446837299</v>
      </c>
      <c r="I346" s="32">
        <f ca="1">IF(Settings!$J$16="no",VLOOKUP(B346,RP!A1:I91,IF(Settings!$J$13="points",6,9),FALSE),VLOOKUP(B346,'SP+RP'!$A1:$I251,IF(Settings!$J$13="points",6,9),FALSE))</f>
        <v>-0.30404932241163518</v>
      </c>
      <c r="J346" s="31"/>
      <c r="K346" s="31">
        <f ca="1">J346-A346</f>
        <v>-345</v>
      </c>
      <c r="L346" s="31"/>
      <c r="M346" s="31"/>
      <c r="N346" s="31"/>
      <c r="O346" s="31"/>
      <c r="P346" s="31"/>
      <c r="Q346" s="31"/>
      <c r="R346" s="152"/>
      <c r="S346" s="152"/>
      <c r="T346" s="154"/>
      <c r="U346" s="154"/>
      <c r="V346" s="154"/>
      <c r="W346" s="154"/>
      <c r="X346" s="154"/>
      <c r="Y346" s="152"/>
      <c r="Z346" s="152"/>
      <c r="AA346" s="31"/>
      <c r="AB346" s="31"/>
      <c r="AC346" s="31">
        <f>VLOOKUP($B346,Pitchers!$A1:$S251,4,FALSE)</f>
        <v>58.488888888888887</v>
      </c>
      <c r="AD346" s="33">
        <f>VLOOKUP($B346,Pitchers!$A1:$S251,5,FALSE)</f>
        <v>3.8650075987841941</v>
      </c>
      <c r="AE346" s="33">
        <f>VLOOKUP($B346,Pitchers!$A1:$S251,6,FALSE)</f>
        <v>1.2734992401215806</v>
      </c>
      <c r="AF346" s="31">
        <f>VLOOKUP($B346,Pitchers!$A1:$S251,7,FALSE)</f>
        <v>66.815555555555548</v>
      </c>
      <c r="AG346" s="31">
        <f>VLOOKUP($B346,Pitchers!$A1:$S251,8,FALSE)</f>
        <v>1.9977777777777777</v>
      </c>
      <c r="AH346" s="31">
        <f>VLOOKUP($B346,Pitchers!$A1:$S251,9,FALSE)</f>
        <v>18.388888888888889</v>
      </c>
      <c r="AI346" s="31">
        <f>VLOOKUP($B346,Pitchers!$A1:$S251,10,FALSE)</f>
        <v>25.117777777777775</v>
      </c>
      <c r="AJ346" s="31">
        <f>VLOOKUP($B346,Pitchers!$A1:$S251,11,FALSE)</f>
        <v>47.202222222222225</v>
      </c>
      <c r="AK346" s="31">
        <f>VLOOKUP($B346,Pitchers!$A1:$S251,12,FALSE)</f>
        <v>27.283333333333331</v>
      </c>
      <c r="AL346" s="31">
        <f>VLOOKUP($B346,Pitchers!$A1:$S251,13,FALSE)</f>
        <v>6.6000000000000005</v>
      </c>
      <c r="AM346" s="31">
        <f>VLOOKUP($B346,Pitchers!$A1:$S251,14,FALSE)</f>
        <v>58.885555555555555</v>
      </c>
      <c r="AN346" s="31">
        <f>VLOOKUP($B346,Pitchers!$A1:$S251,15,FALSE)</f>
        <v>0</v>
      </c>
      <c r="AO346" s="31">
        <f>VLOOKUP($B346,Pitchers!$A1:$S251,16,FALSE)</f>
        <v>2.9977777777777774</v>
      </c>
      <c r="AP346" s="31">
        <f>VLOOKUP($B346,Pitchers!$A1:$S251,17,FALSE)</f>
        <v>0</v>
      </c>
      <c r="AQ346" s="31">
        <f>VLOOKUP($B346,Pitchers!$A1:$S251,18,FALSE)</f>
        <v>6.5</v>
      </c>
      <c r="AR346" s="31">
        <f>VLOOKUP($B346,Pitchers!$A1:$S251,19,FALSE)</f>
        <v>7</v>
      </c>
    </row>
    <row r="347" spans="1:44" ht="20.100000000000001" customHeight="1">
      <c r="A347" s="25">
        <f ca="1">RANK(I347,I$2:I$651)</f>
        <v>346</v>
      </c>
      <c r="B347" s="26" t="s">
        <v>397</v>
      </c>
      <c r="C347" s="27" t="s">
        <v>114</v>
      </c>
      <c r="D347" s="27" t="s">
        <v>69</v>
      </c>
      <c r="E347" s="28" t="s">
        <v>23</v>
      </c>
      <c r="F347" s="29">
        <f ca="1">VLOOKUP(B347,OF!A1:I139,IF(Settings!$J$13="points",4,7),FALSE)</f>
        <v>80</v>
      </c>
      <c r="G347" s="30">
        <f>(M347*Settings!$B$2)+(N347*Settings!$B$3)+(O347*Settings!$B$4)+(P347*Settings!$B$5)+(Q347*Settings!$B$6)+((T347-U347-V347-O347)*Settings!$B$9)+(U347*Settings!$B$10)+(V347*Settings!$B$11)+(W347*Settings!$B$12)+(X347*Settings!$B$13)+(AA347*Settings!$B$16)</f>
        <v>243.63916666666657</v>
      </c>
      <c r="H347" s="31">
        <f>VLOOKUP(B347,'Standard Deviations'!$A1:$D651,4,FALSE)</f>
        <v>-0.50185137725087348</v>
      </c>
      <c r="I347" s="32">
        <f ca="1">VLOOKUP(B347,OF!A1:I139,IF(Settings!$J$13="points",6,9),FALSE)</f>
        <v>-0.34492027627885152</v>
      </c>
      <c r="J347" s="31"/>
      <c r="K347" s="31">
        <f ca="1">J347-A347</f>
        <v>-346</v>
      </c>
      <c r="L347" s="31"/>
      <c r="M347" s="31">
        <f>VLOOKUP($B347,Hitters!$A1:$R401,4,FALSE)</f>
        <v>406.55</v>
      </c>
      <c r="N347" s="31">
        <f>VLOOKUP($B347,Hitters!$A1:$R401,5,FALSE)</f>
        <v>49.705000000000005</v>
      </c>
      <c r="O347" s="31">
        <f>VLOOKUP($B347,Hitters!$A1:$R401,6,FALSE)</f>
        <v>15.138333333333334</v>
      </c>
      <c r="P347" s="31">
        <f>VLOOKUP($B347,Hitters!$A1:$R401,7,FALSE)</f>
        <v>52.943333333333328</v>
      </c>
      <c r="Q347" s="31">
        <f>VLOOKUP($B347,Hitters!$A1:$R401,8,FALSE)</f>
        <v>2.9916666666666667</v>
      </c>
      <c r="R347" s="152">
        <f>VLOOKUP($B347,Hitters!$A$1:$R$401,14,FALSE)</f>
        <v>0.24420530480055758</v>
      </c>
      <c r="S347" s="152">
        <f>VLOOKUP($B347,Hitters!$A$1:$R$401,15,FALSE)</f>
        <v>0.29901094918022375</v>
      </c>
      <c r="T347" s="154">
        <f>VLOOKUP($B347,Hitters!$A$1:$R$401,9,FALSE)</f>
        <v>99.28166666666668</v>
      </c>
      <c r="U347" s="154">
        <f>VLOOKUP($B347,Hitters!$A$1:$R$401,10,FALSE)</f>
        <v>17.39</v>
      </c>
      <c r="V347" s="154">
        <f>VLOOKUP($B347,Hitters!$A$1:$R$401,11,FALSE)</f>
        <v>1.6733333333333331</v>
      </c>
      <c r="W347" s="154">
        <f>VLOOKUP($B347,Hitters!$A$1:$R$401,12,FALSE)</f>
        <v>25.09</v>
      </c>
      <c r="X347" s="154">
        <f>VLOOKUP($B347,Hitters!$A$1:$R$401,13,FALSE)</f>
        <v>111.03166666666668</v>
      </c>
      <c r="Y347" s="152">
        <f>VLOOKUP($B347,Hitters!$A$1:$R$401,16,FALSE)</f>
        <v>0.40692001803796168</v>
      </c>
      <c r="Z347" s="152">
        <f>VLOOKUP($B347,Hitters!$A$1:$R$401,17,FALSE)</f>
        <v>0.70593096721818549</v>
      </c>
      <c r="AA347" s="31">
        <f>VLOOKUP($B347,Hitters!$A1:$R401,18,FALSE)</f>
        <v>0</v>
      </c>
      <c r="AB347" s="31"/>
      <c r="AC347" s="31"/>
      <c r="AD347" s="33"/>
      <c r="AE347" s="33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</row>
    <row r="348" spans="1:44" ht="18.600000000000001" customHeight="1">
      <c r="A348" s="25">
        <f ca="1">RANK(I348,I$2:I$651)</f>
        <v>347</v>
      </c>
      <c r="B348" s="26" t="s">
        <v>556</v>
      </c>
      <c r="C348" s="27" t="s">
        <v>306</v>
      </c>
      <c r="D348" s="27" t="s">
        <v>74</v>
      </c>
      <c r="E348" s="42" t="s">
        <v>34</v>
      </c>
      <c r="F348" s="43">
        <f ca="1">VLOOKUP(B348,RP!A1:I91,IF(Settings!$J$13="points",4,7),FALSE)</f>
        <v>49</v>
      </c>
      <c r="G348" s="30">
        <f>(AC348*Settings!$F$2)+(AF348*Settings!$F$5)+(AG348*Settings!$F$6)+(AH348*Settings!$F$7)+(AI348*Settings!$F$8)+(AJ348*Settings!$F$9)+(AK348*Settings!$F$10)+(AL348*Settings!$F$11)+(AM348*Settings!$F$12)+(AN348*Settings!$F$13)+(AO348*Settings!$F$14)+(AP348*Settings!$F$15)+(AQ348*Settings!$F$16)+(AR348*Settings!$F$17)</f>
        <v>260.43111111111102</v>
      </c>
      <c r="H348" s="31">
        <f>VLOOKUP(B348,'Standard Deviations'!$A1:$D651,4,FALSE)</f>
        <v>-1.2202768933556181</v>
      </c>
      <c r="I348" s="32">
        <f ca="1">IF(Settings!$J$16="no",VLOOKUP(B348,RP!A1:I91,IF(Settings!$J$13="points",6,9),FALSE),VLOOKUP(B348,'SP+RP'!$A1:$I251,IF(Settings!$J$13="points",6,9),FALSE))</f>
        <v>-0.35269139626913337</v>
      </c>
      <c r="J348" s="31"/>
      <c r="K348" s="31">
        <f ca="1">J348-A348</f>
        <v>-347</v>
      </c>
      <c r="L348" s="31"/>
      <c r="M348" s="31"/>
      <c r="N348" s="31"/>
      <c r="O348" s="31"/>
      <c r="P348" s="31"/>
      <c r="Q348" s="31"/>
      <c r="R348" s="152"/>
      <c r="S348" s="152"/>
      <c r="T348" s="154"/>
      <c r="U348" s="154"/>
      <c r="V348" s="154"/>
      <c r="W348" s="154"/>
      <c r="X348" s="154"/>
      <c r="Y348" s="152"/>
      <c r="Z348" s="152"/>
      <c r="AA348" s="31"/>
      <c r="AB348" s="31"/>
      <c r="AC348" s="31">
        <f>VLOOKUP($B348,Pitchers!$A1:$S251,4,FALSE)</f>
        <v>65.772222222222226</v>
      </c>
      <c r="AD348" s="33">
        <f>VLOOKUP($B348,Pitchers!$A1:$S251,5,FALSE)</f>
        <v>3.9592702086324851</v>
      </c>
      <c r="AE348" s="33">
        <f>VLOOKUP($B348,Pitchers!$A1:$S251,6,FALSE)</f>
        <v>1.3104991975673621</v>
      </c>
      <c r="AF348" s="31">
        <f>VLOOKUP($B348,Pitchers!$A1:$S251,7,FALSE)</f>
        <v>69.37777777777778</v>
      </c>
      <c r="AG348" s="31">
        <f>VLOOKUP($B348,Pitchers!$A1:$S251,8,FALSE)</f>
        <v>3.0577777777777779</v>
      </c>
      <c r="AH348" s="31">
        <f>VLOOKUP($B348,Pitchers!$A1:$S251,9,FALSE)</f>
        <v>19.966666666666665</v>
      </c>
      <c r="AI348" s="31">
        <f>VLOOKUP($B348,Pitchers!$A1:$S251,10,FALSE)</f>
        <v>28.934444444444441</v>
      </c>
      <c r="AJ348" s="31">
        <f>VLOOKUP($B348,Pitchers!$A1:$S251,11,FALSE)</f>
        <v>60.108888888888885</v>
      </c>
      <c r="AK348" s="31">
        <f>VLOOKUP($B348,Pitchers!$A1:$S251,12,FALSE)</f>
        <v>26.085555555555555</v>
      </c>
      <c r="AL348" s="31">
        <f>VLOOKUP($B348,Pitchers!$A1:$S251,13,FALSE)</f>
        <v>7.6333333333333329</v>
      </c>
      <c r="AM348" s="31">
        <f>VLOOKUP($B348,Pitchers!$A1:$S251,14,FALSE)</f>
        <v>66.097777777777779</v>
      </c>
      <c r="AN348" s="31">
        <f>VLOOKUP($B348,Pitchers!$A1:$S251,15,FALSE)</f>
        <v>0</v>
      </c>
      <c r="AO348" s="31">
        <f>VLOOKUP($B348,Pitchers!$A1:$S251,16,FALSE)</f>
        <v>3.5233333333333334</v>
      </c>
      <c r="AP348" s="31">
        <f>VLOOKUP($B348,Pitchers!$A1:$S251,17,FALSE)</f>
        <v>0</v>
      </c>
      <c r="AQ348" s="31">
        <f>VLOOKUP($B348,Pitchers!$A1:$S251,18,FALSE)</f>
        <v>14.5</v>
      </c>
      <c r="AR348" s="31">
        <f>VLOOKUP($B348,Pitchers!$A1:$S251,19,FALSE)</f>
        <v>4</v>
      </c>
    </row>
    <row r="349" spans="1:44" ht="18.600000000000001" customHeight="1">
      <c r="A349" s="25">
        <f ca="1">RANK(I349,I$2:I$651)</f>
        <v>348</v>
      </c>
      <c r="B349" s="26" t="s">
        <v>405</v>
      </c>
      <c r="C349" s="27" t="s">
        <v>158</v>
      </c>
      <c r="D349" s="27" t="s">
        <v>74</v>
      </c>
      <c r="E349" s="48" t="s">
        <v>11</v>
      </c>
      <c r="F349" s="49">
        <f ca="1">VLOOKUP(B349,'2B'!A1:I50,IF(Settings!$J$13="points",4,7),FALSE)</f>
        <v>26</v>
      </c>
      <c r="G349" s="30">
        <f>(M349*Settings!$B$2)+(N349*Settings!$B$3)+(O349*Settings!$B$4)+(P349*Settings!$B$5)+(Q349*Settings!$B$6)+((T349-U349-V349-O349)*Settings!$B$9)+(U349*Settings!$B$10)+(V349*Settings!$B$11)+(W349*Settings!$B$12)+(X349*Settings!$B$13)+(AA349*Settings!$B$16)</f>
        <v>244.78166666666667</v>
      </c>
      <c r="H349" s="31">
        <f>VLOOKUP(B349,'Standard Deviations'!$A1:$D651,4,FALSE)</f>
        <v>-0.37124112611666338</v>
      </c>
      <c r="I349" s="32">
        <f ca="1">IF(Settings!$J$16="no",VLOOKUP(B349,'2B'!A1:I50,IF(Settings!$J$13="points",6,9),FALSE),VLOOKUP(B349,'2B+SS'!$A1:$I94,IF(Settings!$J$13="points",6,9),FALSE))</f>
        <v>-0.3772829468548522</v>
      </c>
      <c r="J349" s="31"/>
      <c r="K349" s="31">
        <f ca="1">J349-A349</f>
        <v>-348</v>
      </c>
      <c r="L349" s="31"/>
      <c r="M349" s="31">
        <f>VLOOKUP($B349,Hitters!$A1:$R401,4,FALSE)</f>
        <v>376.51666666666665</v>
      </c>
      <c r="N349" s="31">
        <f>VLOOKUP($B349,Hitters!$A1:$R401,5,FALSE)</f>
        <v>51.123333333333335</v>
      </c>
      <c r="O349" s="31">
        <f>VLOOKUP($B349,Hitters!$A1:$R401,6,FALSE)</f>
        <v>14.385</v>
      </c>
      <c r="P349" s="31">
        <f>VLOOKUP($B349,Hitters!$A1:$R401,7,FALSE)</f>
        <v>46.226666666666667</v>
      </c>
      <c r="Q349" s="31">
        <f>VLOOKUP($B349,Hitters!$A1:$R401,8,FALSE)</f>
        <v>11.135</v>
      </c>
      <c r="R349" s="152">
        <f>VLOOKUP($B349,Hitters!$A$1:$R$401,14,FALSE)</f>
        <v>0.23093267230312958</v>
      </c>
      <c r="S349" s="152">
        <f>VLOOKUP($B349,Hitters!$A$1:$R$401,15,FALSE)</f>
        <v>0.30370324943717791</v>
      </c>
      <c r="T349" s="154">
        <f>VLOOKUP($B349,Hitters!$A$1:$R$401,9,FALSE)</f>
        <v>86.95</v>
      </c>
      <c r="U349" s="154">
        <f>VLOOKUP($B349,Hitters!$A$1:$R$401,10,FALSE)</f>
        <v>16.983333333333334</v>
      </c>
      <c r="V349" s="154">
        <f>VLOOKUP($B349,Hitters!$A$1:$R$401,11,FALSE)</f>
        <v>3.0933333333333333</v>
      </c>
      <c r="W349" s="154">
        <f>VLOOKUP($B349,Hitters!$A$1:$R$401,12,FALSE)</f>
        <v>33.221666666666664</v>
      </c>
      <c r="X349" s="154">
        <f>VLOOKUP($B349,Hitters!$A$1:$R$401,13,FALSE)</f>
        <v>122.67</v>
      </c>
      <c r="Y349" s="152">
        <f>VLOOKUP($B349,Hitters!$A$1:$R$401,16,FALSE)</f>
        <v>0.40708689301049095</v>
      </c>
      <c r="Z349" s="152">
        <f>VLOOKUP($B349,Hitters!$A$1:$R$401,17,FALSE)</f>
        <v>0.7107901424476688</v>
      </c>
      <c r="AA349" s="31">
        <f>VLOOKUP($B349,Hitters!$A1:$R401,18,FALSE)</f>
        <v>0</v>
      </c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</row>
    <row r="350" spans="1:44" ht="18.600000000000001" customHeight="1">
      <c r="A350" s="25">
        <f ca="1">RANK(I350,I$2:I$651)</f>
        <v>349</v>
      </c>
      <c r="B350" s="26" t="s">
        <v>486</v>
      </c>
      <c r="C350" s="27" t="s">
        <v>158</v>
      </c>
      <c r="D350" s="27" t="s">
        <v>74</v>
      </c>
      <c r="E350" s="40" t="s">
        <v>7</v>
      </c>
      <c r="F350" s="41">
        <f ca="1">VLOOKUP(B350,'1B'!A1:I63,IF(Settings!$J$13="points",4,7),FALSE)</f>
        <v>31</v>
      </c>
      <c r="G350" s="30">
        <f>(M350*Settings!$B$2)+(N350*Settings!$B$3)+(O350*Settings!$B$4)+(P350*Settings!$B$5)+(Q350*Settings!$B$6)+((T350-U350-V350-O350)*Settings!$B$9)+(U350*Settings!$B$10)+(V350*Settings!$B$11)+(W350*Settings!$B$12)+(X350*Settings!$B$13)+(AA350*Settings!$B$16)</f>
        <v>281.20722222222224</v>
      </c>
      <c r="H350" s="31">
        <f>VLOOKUP(B350,'Standard Deviations'!$A1:$D651,4,FALSE)</f>
        <v>-0.16617809461426369</v>
      </c>
      <c r="I350" s="32">
        <f ca="1">IF(Settings!$J$15="no",VLOOKUP(B350,'1B'!A1:I63,IF(Settings!$J$13="points",6,9),FALSE),VLOOKUP(B350,'1B+3B'!$A1:$I104,IF(Settings!$J$13="points",6,9),FALSE))</f>
        <v>-0.3916616919395649</v>
      </c>
      <c r="J350" s="31"/>
      <c r="K350" s="31">
        <f ca="1">J350-A350</f>
        <v>-349</v>
      </c>
      <c r="L350" s="31"/>
      <c r="M350" s="31">
        <f>VLOOKUP($B350,Hitters!$A1:$R401,4,FALSE)</f>
        <v>444.5888888888889</v>
      </c>
      <c r="N350" s="31">
        <f>VLOOKUP($B350,Hitters!$A1:$R401,5,FALSE)</f>
        <v>55.781111111111109</v>
      </c>
      <c r="O350" s="31">
        <f>VLOOKUP($B350,Hitters!$A1:$R401,6,FALSE)</f>
        <v>15.531111111111111</v>
      </c>
      <c r="P350" s="31">
        <f>VLOOKUP($B350,Hitters!$A1:$R401,7,FALSE)</f>
        <v>58.131111111111117</v>
      </c>
      <c r="Q350" s="31">
        <f>VLOOKUP($B350,Hitters!$A1:$R401,8,FALSE)</f>
        <v>2.8333333333333332E-2</v>
      </c>
      <c r="R350" s="152">
        <f>VLOOKUP($B350,Hitters!$A$1:$R$401,14,FALSE)</f>
        <v>0.24791942618648941</v>
      </c>
      <c r="S350" s="152">
        <f>VLOOKUP($B350,Hitters!$A$1:$R$401,15,FALSE)</f>
        <v>0.32497776474537965</v>
      </c>
      <c r="T350" s="154">
        <f>VLOOKUP($B350,Hitters!$A$1:$R$401,9,FALSE)</f>
        <v>110.22222222222223</v>
      </c>
      <c r="U350" s="154">
        <f>VLOOKUP($B350,Hitters!$A$1:$R$401,10,FALSE)</f>
        <v>21.382222222222225</v>
      </c>
      <c r="V350" s="154">
        <f>VLOOKUP($B350,Hitters!$A$1:$R$401,11,FALSE)</f>
        <v>1</v>
      </c>
      <c r="W350" s="154">
        <f>VLOOKUP($B350,Hitters!$A$1:$R$401,12,FALSE)</f>
        <v>43.918888888888887</v>
      </c>
      <c r="X350" s="154">
        <f>VLOOKUP($B350,Hitters!$A$1:$R$401,13,FALSE)</f>
        <v>113.75666666666666</v>
      </c>
      <c r="Y350" s="152">
        <f>VLOOKUP($B350,Hitters!$A$1:$R$401,16,FALSE)</f>
        <v>0.40531327318621446</v>
      </c>
      <c r="Z350" s="152">
        <f>VLOOKUP($B350,Hitters!$A$1:$R$401,17,FALSE)</f>
        <v>0.73029103793159411</v>
      </c>
      <c r="AA350" s="31">
        <f>VLOOKUP($B350,Hitters!$A1:$R401,18,FALSE)</f>
        <v>0</v>
      </c>
      <c r="AB350" s="31"/>
      <c r="AC350" s="31"/>
      <c r="AD350" s="33"/>
      <c r="AE350" s="33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</row>
    <row r="351" spans="1:44" ht="20.100000000000001" customHeight="1">
      <c r="A351" s="25">
        <f ca="1">RANK(I351,I$2:I$651)</f>
        <v>350</v>
      </c>
      <c r="B351" s="26" t="s">
        <v>548</v>
      </c>
      <c r="C351" s="27" t="s">
        <v>94</v>
      </c>
      <c r="D351" s="27" t="s">
        <v>69</v>
      </c>
      <c r="E351" s="48" t="s">
        <v>11</v>
      </c>
      <c r="F351" s="49">
        <f ca="1">VLOOKUP(B351,'2B'!A1:I50,IF(Settings!$J$13="points",4,7),FALSE)</f>
        <v>27</v>
      </c>
      <c r="G351" s="30">
        <f>(M351*Settings!$B$2)+(N351*Settings!$B$3)+(O351*Settings!$B$4)+(P351*Settings!$B$5)+(Q351*Settings!$B$6)+((T351-U351-V351-O351)*Settings!$B$9)+(U351*Settings!$B$10)+(V351*Settings!$B$11)+(W351*Settings!$B$12)+(X351*Settings!$B$13)+(AA351*Settings!$B$16)</f>
        <v>254.01777777777772</v>
      </c>
      <c r="H351" s="31">
        <f>VLOOKUP(B351,'Standard Deviations'!$A1:$D651,4,FALSE)</f>
        <v>-0.39195409279717075</v>
      </c>
      <c r="I351" s="32">
        <f ca="1">IF(Settings!$J$16="no",VLOOKUP(B351,'2B'!A1:I50,IF(Settings!$J$13="points",6,9),FALSE),VLOOKUP(B351,'2B+SS'!$A1:$I94,IF(Settings!$J$13="points",6,9),FALSE))</f>
        <v>-0.39799208667347585</v>
      </c>
      <c r="J351" s="31"/>
      <c r="K351" s="31">
        <f ca="1">J351-A351</f>
        <v>-350</v>
      </c>
      <c r="L351" s="31"/>
      <c r="M351" s="31">
        <f>VLOOKUP($B351,Hitters!$A1:$R401,4,FALSE)</f>
        <v>396.56666666666666</v>
      </c>
      <c r="N351" s="31">
        <f>VLOOKUP($B351,Hitters!$A1:$R401,5,FALSE)</f>
        <v>47.582222222222221</v>
      </c>
      <c r="O351" s="31">
        <f>VLOOKUP($B351,Hitters!$A1:$R401,6,FALSE)</f>
        <v>6.6388888888888893</v>
      </c>
      <c r="P351" s="31">
        <f>VLOOKUP($B351,Hitters!$A1:$R401,7,FALSE)</f>
        <v>42.668333333333329</v>
      </c>
      <c r="Q351" s="31">
        <f>VLOOKUP($B351,Hitters!$A1:$R401,8,FALSE)</f>
        <v>7.7233333333333336</v>
      </c>
      <c r="R351" s="152">
        <f>VLOOKUP($B351,Hitters!$A$1:$R$401,14,FALSE)</f>
        <v>0.26468017147179962</v>
      </c>
      <c r="S351" s="152">
        <f>VLOOKUP($B351,Hitters!$A$1:$R$401,15,FALSE)</f>
        <v>0.32876207350791964</v>
      </c>
      <c r="T351" s="154">
        <f>VLOOKUP($B351,Hitters!$A$1:$R$401,9,FALSE)</f>
        <v>104.96333333333332</v>
      </c>
      <c r="U351" s="154">
        <f>VLOOKUP($B351,Hitters!$A$1:$R$401,10,FALSE)</f>
        <v>21.626666666666665</v>
      </c>
      <c r="V351" s="154">
        <f>VLOOKUP($B351,Hitters!$A$1:$R$401,11,FALSE)</f>
        <v>0.98444444444444434</v>
      </c>
      <c r="W351" s="154">
        <f>VLOOKUP($B351,Hitters!$A$1:$R$401,12,FALSE)</f>
        <v>31.830000000000002</v>
      </c>
      <c r="X351" s="154">
        <f>VLOOKUP($B351,Hitters!$A$1:$R$401,13,FALSE)</f>
        <v>63.97</v>
      </c>
      <c r="Y351" s="152">
        <f>VLOOKUP($B351,Hitters!$A$1:$R$401,16,FALSE)</f>
        <v>0.37440251043680484</v>
      </c>
      <c r="Z351" s="152">
        <f>VLOOKUP($B351,Hitters!$A$1:$R$401,17,FALSE)</f>
        <v>0.70316458394472448</v>
      </c>
      <c r="AA351" s="31">
        <f>VLOOKUP($B351,Hitters!$A1:$R401,18,FALSE)</f>
        <v>0</v>
      </c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</row>
    <row r="352" spans="1:44" ht="18.600000000000001" customHeight="1">
      <c r="A352" s="25">
        <f ca="1">RANK(I352,I$2:I$651)</f>
        <v>351</v>
      </c>
      <c r="B352" s="26" t="s">
        <v>479</v>
      </c>
      <c r="C352" s="27" t="s">
        <v>94</v>
      </c>
      <c r="D352" s="27" t="s">
        <v>69</v>
      </c>
      <c r="E352" s="42" t="s">
        <v>34</v>
      </c>
      <c r="F352" s="43">
        <f ca="1">VLOOKUP(B352,RP!A1:I91,IF(Settings!$J$13="points",4,7),FALSE)</f>
        <v>50</v>
      </c>
      <c r="G352" s="30">
        <f>(AC352*Settings!$F$2)+(AF352*Settings!$F$5)+(AG352*Settings!$F$6)+(AH352*Settings!$F$7)+(AI352*Settings!$F$8)+(AJ352*Settings!$F$9)+(AK352*Settings!$F$10)+(AL352*Settings!$F$11)+(AM352*Settings!$F$12)+(AN352*Settings!$F$13)+(AO352*Settings!$F$14)+(AP352*Settings!$F$15)+(AQ352*Settings!$F$16)+(AR352*Settings!$F$17)</f>
        <v>51.275833333333345</v>
      </c>
      <c r="H352" s="31">
        <f>VLOOKUP(B352,'Standard Deviations'!$A1:$D651,4,FALSE)</f>
        <v>-1.2723989354391119</v>
      </c>
      <c r="I352" s="32">
        <f ca="1">IF(Settings!$J$16="no",VLOOKUP(B352,RP!A1:I91,IF(Settings!$J$13="points",6,9),FALSE),VLOOKUP(B352,'SP+RP'!$A1:$I251,IF(Settings!$J$13="points",6,9),FALSE))</f>
        <v>-0.40481779304541265</v>
      </c>
      <c r="J352" s="31"/>
      <c r="K352" s="31">
        <f ca="1">J352-A352</f>
        <v>-351</v>
      </c>
      <c r="L352" s="31"/>
      <c r="M352" s="31"/>
      <c r="N352" s="31"/>
      <c r="O352" s="31"/>
      <c r="P352" s="31"/>
      <c r="Q352" s="31"/>
      <c r="R352" s="152"/>
      <c r="S352" s="152"/>
      <c r="T352" s="154"/>
      <c r="U352" s="154"/>
      <c r="V352" s="154"/>
      <c r="W352" s="154"/>
      <c r="X352" s="154"/>
      <c r="Y352" s="152"/>
      <c r="Z352" s="152"/>
      <c r="AA352" s="31"/>
      <c r="AB352" s="31"/>
      <c r="AC352" s="31">
        <f>VLOOKUP($B352,Pitchers!$A1:$S251,4,FALSE)</f>
        <v>19.001666666666665</v>
      </c>
      <c r="AD352" s="33">
        <f>VLOOKUP($B352,Pitchers!$A1:$S251,5,FALSE)</f>
        <v>3.5386369616700288</v>
      </c>
      <c r="AE352" s="33">
        <f>VLOOKUP($B352,Pitchers!$A1:$S251,6,FALSE)</f>
        <v>1.0369265853872469</v>
      </c>
      <c r="AF352" s="31">
        <f>VLOOKUP($B352,Pitchers!$A1:$S251,7,FALSE)</f>
        <v>21.358333333333334</v>
      </c>
      <c r="AG352" s="31">
        <f>VLOOKUP($B352,Pitchers!$A1:$S251,8,FALSE)</f>
        <v>1.5483333333333331</v>
      </c>
      <c r="AH352" s="31">
        <f>VLOOKUP($B352,Pitchers!$A1:$S251,9,FALSE)</f>
        <v>0.73333333333333339</v>
      </c>
      <c r="AI352" s="31">
        <f>VLOOKUP($B352,Pitchers!$A1:$S251,10,FALSE)</f>
        <v>7.471111111111111</v>
      </c>
      <c r="AJ352" s="31">
        <f>VLOOKUP($B352,Pitchers!$A1:$S251,11,FALSE)</f>
        <v>14.772222222222224</v>
      </c>
      <c r="AK352" s="31">
        <f>VLOOKUP($B352,Pitchers!$A1:$S251,12,FALSE)</f>
        <v>4.931111111111111</v>
      </c>
      <c r="AL352" s="31">
        <f>VLOOKUP($B352,Pitchers!$A1:$S251,13,FALSE)</f>
        <v>2.6333333333333333</v>
      </c>
      <c r="AM352" s="31">
        <f>VLOOKUP($B352,Pitchers!$A1:$S251,14,FALSE)</f>
        <v>17.8</v>
      </c>
      <c r="AN352" s="31">
        <f>VLOOKUP($B352,Pitchers!$A1:$S251,15,FALSE)</f>
        <v>0</v>
      </c>
      <c r="AO352" s="31">
        <f>VLOOKUP($B352,Pitchers!$A1:$S251,16,FALSE)</f>
        <v>1.0411111111111111</v>
      </c>
      <c r="AP352" s="31">
        <f>VLOOKUP($B352,Pitchers!$A1:$S251,17,FALSE)</f>
        <v>0</v>
      </c>
      <c r="AQ352" s="31">
        <f>VLOOKUP($B352,Pitchers!$A1:$S251,18,FALSE)</f>
        <v>10</v>
      </c>
      <c r="AR352" s="31">
        <f>VLOOKUP($B352,Pitchers!$A1:$S251,19,FALSE)</f>
        <v>0</v>
      </c>
    </row>
    <row r="353" spans="1:44" ht="20.100000000000001" customHeight="1">
      <c r="A353" s="25">
        <f ca="1">RANK(I353,I$2:I$651)</f>
        <v>352</v>
      </c>
      <c r="B353" s="26" t="s">
        <v>567</v>
      </c>
      <c r="C353" s="27" t="s">
        <v>140</v>
      </c>
      <c r="D353" s="27" t="s">
        <v>69</v>
      </c>
      <c r="E353" s="42" t="s">
        <v>34</v>
      </c>
      <c r="F353" s="43">
        <f ca="1">VLOOKUP(B353,RP!A1:I91,IF(Settings!$J$13="points",4,7),FALSE)</f>
        <v>51</v>
      </c>
      <c r="G353" s="30">
        <f>(AC353*Settings!$F$2)+(AF353*Settings!$F$5)+(AG353*Settings!$F$6)+(AH353*Settings!$F$7)+(AI353*Settings!$F$8)+(AJ353*Settings!$F$9)+(AK353*Settings!$F$10)+(AL353*Settings!$F$11)+(AM353*Settings!$F$12)+(AN353*Settings!$F$13)+(AO353*Settings!$F$14)+(AP353*Settings!$F$15)+(AQ353*Settings!$F$16)+(AR353*Settings!$F$17)</f>
        <v>179.14805555555554</v>
      </c>
      <c r="H353" s="31">
        <f>VLOOKUP(B353,'Standard Deviations'!$A1:$D651,4,FALSE)</f>
        <v>-1.2867358968033837</v>
      </c>
      <c r="I353" s="32">
        <f ca="1">IF(Settings!$J$16="no",VLOOKUP(B353,RP!A1:I91,IF(Settings!$J$13="points",6,9),FALSE),VLOOKUP(B353,'SP+RP'!$A1:$I251,IF(Settings!$J$13="points",6,9),FALSE))</f>
        <v>-0.41915538738428304</v>
      </c>
      <c r="J353" s="31"/>
      <c r="K353" s="31">
        <f ca="1">J353-A353</f>
        <v>-352</v>
      </c>
      <c r="L353" s="31"/>
      <c r="M353" s="31"/>
      <c r="N353" s="31"/>
      <c r="O353" s="31"/>
      <c r="P353" s="31"/>
      <c r="Q353" s="31"/>
      <c r="R353" s="152"/>
      <c r="S353" s="152"/>
      <c r="T353" s="154"/>
      <c r="U353" s="154"/>
      <c r="V353" s="154"/>
      <c r="W353" s="154"/>
      <c r="X353" s="154"/>
      <c r="Y353" s="152"/>
      <c r="Z353" s="152"/>
      <c r="AA353" s="31"/>
      <c r="AB353" s="31"/>
      <c r="AC353" s="31">
        <f>VLOOKUP($B353,Pitchers!$A1:$S251,4,FALSE)</f>
        <v>65.608888888888885</v>
      </c>
      <c r="AD353" s="33">
        <f>VLOOKUP($B353,Pitchers!$A1:$S251,5,FALSE)</f>
        <v>3.632129792711015</v>
      </c>
      <c r="AE353" s="33">
        <f>VLOOKUP($B353,Pitchers!$A1:$S251,6,FALSE)</f>
        <v>1.2390766833762366</v>
      </c>
      <c r="AF353" s="31">
        <f>VLOOKUP($B353,Pitchers!$A1:$S251,7,FALSE)</f>
        <v>72.158333333333331</v>
      </c>
      <c r="AG353" s="31">
        <f>VLOOKUP($B353,Pitchers!$A1:$S251,8,FALSE)</f>
        <v>3.6433333333333331</v>
      </c>
      <c r="AH353" s="31">
        <f>VLOOKUP($B353,Pitchers!$A1:$S251,9,FALSE)</f>
        <v>6.2555555555555555</v>
      </c>
      <c r="AI353" s="31">
        <f>VLOOKUP($B353,Pitchers!$A1:$S251,10,FALSE)</f>
        <v>26.477777777777778</v>
      </c>
      <c r="AJ353" s="31">
        <f>VLOOKUP($B353,Pitchers!$A1:$S251,11,FALSE)</f>
        <v>57.080000000000005</v>
      </c>
      <c r="AK353" s="31">
        <f>VLOOKUP($B353,Pitchers!$A1:$S251,12,FALSE)</f>
        <v>24.214444444444442</v>
      </c>
      <c r="AL353" s="31">
        <f>VLOOKUP($B353,Pitchers!$A1:$S251,13,FALSE)</f>
        <v>6.5666666666666664</v>
      </c>
      <c r="AM353" s="31">
        <f>VLOOKUP($B353,Pitchers!$A1:$S251,14,FALSE)</f>
        <v>63.021111111111111</v>
      </c>
      <c r="AN353" s="31">
        <f>VLOOKUP($B353,Pitchers!$A1:$S251,15,FALSE)</f>
        <v>1.6666666666666666E-2</v>
      </c>
      <c r="AO353" s="31">
        <f>VLOOKUP($B353,Pitchers!$A1:$S251,16,FALSE)</f>
        <v>3.0555555555555554</v>
      </c>
      <c r="AP353" s="31">
        <f>VLOOKUP($B353,Pitchers!$A1:$S251,17,FALSE)</f>
        <v>0</v>
      </c>
      <c r="AQ353" s="31">
        <f>VLOOKUP($B353,Pitchers!$A1:$S251,18,FALSE)</f>
        <v>13.5</v>
      </c>
      <c r="AR353" s="31">
        <f>VLOOKUP($B353,Pitchers!$A1:$S251,19,FALSE)</f>
        <v>0</v>
      </c>
    </row>
    <row r="354" spans="1:44" ht="18.600000000000001" customHeight="1">
      <c r="A354" s="25">
        <f ca="1">RANK(I354,I$2:I$651)</f>
        <v>353</v>
      </c>
      <c r="B354" s="26" t="s">
        <v>442</v>
      </c>
      <c r="C354" s="27" t="s">
        <v>140</v>
      </c>
      <c r="D354" s="27" t="s">
        <v>69</v>
      </c>
      <c r="E354" s="36" t="s">
        <v>31</v>
      </c>
      <c r="F354" s="37">
        <f ca="1">VLOOKUP(B354,SP!A1:I161,IF(Settings!$J$13="points",4,7),FALSE)</f>
        <v>99</v>
      </c>
      <c r="G354" s="30">
        <f>(AC354*Settings!$F$2)+(AF354*Settings!$F$5)+(AG354*Settings!$F$6)+(AH354*Settings!$F$7)+(AI354*Settings!$F$8)+(AJ354*Settings!$F$9)+(AK354*Settings!$F$10)+(AL354*Settings!$F$11)+(AM354*Settings!$F$12)+(AN354*Settings!$F$13)+(AO354*Settings!$F$14)+(AP354*Settings!$F$15)+(AQ354*Settings!$F$16)+(AR354*Settings!$F$17)</f>
        <v>273.78564000000006</v>
      </c>
      <c r="H354" s="31">
        <f>VLOOKUP(B354,'Standard Deviations'!$A1:$D651,4,FALSE)</f>
        <v>-1.316366095138886</v>
      </c>
      <c r="I354" s="32">
        <f ca="1">IF(Settings!$J$16="no",VLOOKUP(B354,SP!A1:I161,IF(Settings!$J$13="points",6,9),FALSE),VLOOKUP(B354,'SP+RP'!$A1:$I251,IF(Settings!$J$13="points",6,9),FALSE))</f>
        <v>-0.44878695695359139</v>
      </c>
      <c r="J354" s="31"/>
      <c r="K354" s="31">
        <f ca="1">J354-A354</f>
        <v>-353</v>
      </c>
      <c r="L354" s="31"/>
      <c r="M354" s="31"/>
      <c r="N354" s="31"/>
      <c r="O354" s="31"/>
      <c r="P354" s="31"/>
      <c r="Q354" s="31"/>
      <c r="R354" s="152"/>
      <c r="S354" s="152"/>
      <c r="T354" s="154"/>
      <c r="U354" s="154"/>
      <c r="V354" s="154"/>
      <c r="W354" s="154"/>
      <c r="X354" s="154"/>
      <c r="Y354" s="152"/>
      <c r="Z354" s="152"/>
      <c r="AA354" s="31"/>
      <c r="AB354" s="31"/>
      <c r="AC354" s="31">
        <f>VLOOKUP($B354,Pitchers!$A1:$S251,4,FALSE)</f>
        <v>128.60433333333333</v>
      </c>
      <c r="AD354" s="33">
        <f>VLOOKUP($B354,Pitchers!$A1:$S251,5,FALSE)</f>
        <v>4.0000264895169426</v>
      </c>
      <c r="AE354" s="33">
        <f>VLOOKUP($B354,Pitchers!$A1:$S251,6,FALSE)</f>
        <v>1.2776345016886419</v>
      </c>
      <c r="AF354" s="31">
        <f>VLOOKUP($B354,Pitchers!$A1:$S251,7,FALSE)</f>
        <v>127.94099999999999</v>
      </c>
      <c r="AG354" s="31">
        <f>VLOOKUP($B354,Pitchers!$A1:$S251,8,FALSE)</f>
        <v>6.6646666666666663</v>
      </c>
      <c r="AH354" s="31">
        <f>VLOOKUP($B354,Pitchers!$A1:$S251,9,FALSE)</f>
        <v>0</v>
      </c>
      <c r="AI354" s="31">
        <f>VLOOKUP($B354,Pitchers!$A1:$S251,10,FALSE)</f>
        <v>57.157859999999999</v>
      </c>
      <c r="AJ354" s="31">
        <f>VLOOKUP($B354,Pitchers!$A1:$S251,11,FALSE)</f>
        <v>114.34166666666665</v>
      </c>
      <c r="AK354" s="31">
        <f>VLOOKUP($B354,Pitchers!$A1:$S251,12,FALSE)</f>
        <v>49.967666666666666</v>
      </c>
      <c r="AL354" s="31">
        <f>VLOOKUP($B354,Pitchers!$A1:$S251,13,FALSE)</f>
        <v>16.579999999999998</v>
      </c>
      <c r="AM354" s="31">
        <f>VLOOKUP($B354,Pitchers!$A1:$S251,14,FALSE)</f>
        <v>29.492999999999999</v>
      </c>
      <c r="AN354" s="31">
        <f>VLOOKUP($B354,Pitchers!$A1:$S251,15,FALSE)</f>
        <v>24.442999999999998</v>
      </c>
      <c r="AO354" s="31">
        <f>VLOOKUP($B354,Pitchers!$A1:$S251,16,FALSE)</f>
        <v>8.6366666666666667</v>
      </c>
      <c r="AP354" s="31">
        <f>VLOOKUP($B354,Pitchers!$A1:$S251,17,FALSE)</f>
        <v>14</v>
      </c>
      <c r="AQ354" s="31">
        <f>VLOOKUP($B354,Pitchers!$A1:$S251,18,FALSE)</f>
        <v>0</v>
      </c>
      <c r="AR354" s="31">
        <f>VLOOKUP($B354,Pitchers!$A1:$S251,19,FALSE)</f>
        <v>0</v>
      </c>
    </row>
    <row r="355" spans="1:44" ht="18.600000000000001" customHeight="1">
      <c r="A355" s="25">
        <f ca="1">RANK(I355,I$2:I$651)</f>
        <v>354</v>
      </c>
      <c r="B355" s="26" t="s">
        <v>550</v>
      </c>
      <c r="C355" s="27" t="s">
        <v>103</v>
      </c>
      <c r="D355" s="27" t="s">
        <v>69</v>
      </c>
      <c r="E355" s="42" t="s">
        <v>34</v>
      </c>
      <c r="F355" s="43">
        <f ca="1">VLOOKUP(B355,RP!A1:I91,IF(Settings!$J$13="points",4,7),FALSE)</f>
        <v>52</v>
      </c>
      <c r="G355" s="30">
        <f>(AC355*Settings!$F$2)+(AF355*Settings!$F$5)+(AG355*Settings!$F$6)+(AH355*Settings!$F$7)+(AI355*Settings!$F$8)+(AJ355*Settings!$F$9)+(AK355*Settings!$F$10)+(AL355*Settings!$F$11)+(AM355*Settings!$F$12)+(AN355*Settings!$F$13)+(AO355*Settings!$F$14)+(AP355*Settings!$F$15)+(AQ355*Settings!$F$16)+(AR355*Settings!$F$17)</f>
        <v>158.41222222222225</v>
      </c>
      <c r="H355" s="31">
        <f>VLOOKUP(B355,'Standard Deviations'!$A1:$D651,4,FALSE)</f>
        <v>-1.3306852107986209</v>
      </c>
      <c r="I355" s="32">
        <f ca="1">IF(Settings!$J$16="no",VLOOKUP(B355,RP!A1:I91,IF(Settings!$J$13="points",6,9),FALSE),VLOOKUP(B355,'SP+RP'!$A1:$I251,IF(Settings!$J$13="points",6,9),FALSE))</f>
        <v>-0.46310333926073066</v>
      </c>
      <c r="J355" s="31"/>
      <c r="K355" s="31">
        <f ca="1">J355-A355</f>
        <v>-354</v>
      </c>
      <c r="L355" s="31"/>
      <c r="M355" s="31"/>
      <c r="N355" s="31"/>
      <c r="O355" s="31"/>
      <c r="P355" s="31"/>
      <c r="Q355" s="31"/>
      <c r="R355" s="152"/>
      <c r="S355" s="152"/>
      <c r="T355" s="154"/>
      <c r="U355" s="154"/>
      <c r="V355" s="154"/>
      <c r="W355" s="154"/>
      <c r="X355" s="154"/>
      <c r="Y355" s="152"/>
      <c r="Z355" s="152"/>
      <c r="AA355" s="31"/>
      <c r="AB355" s="31"/>
      <c r="AC355" s="31">
        <f>VLOOKUP($B355,Pitchers!$A1:$S251,4,FALSE)</f>
        <v>64.51444444444445</v>
      </c>
      <c r="AD355" s="33">
        <f>VLOOKUP($B355,Pitchers!$A1:$S251,5,FALSE)</f>
        <v>3.4782908220381308</v>
      </c>
      <c r="AE355" s="33">
        <f>VLOOKUP($B355,Pitchers!$A1:$S251,6,FALSE)</f>
        <v>1.2300432289065324</v>
      </c>
      <c r="AF355" s="31">
        <f>VLOOKUP($B355,Pitchers!$A1:$S251,7,FALSE)</f>
        <v>67.581111111111113</v>
      </c>
      <c r="AG355" s="31">
        <f>VLOOKUP($B355,Pitchers!$A1:$S251,8,FALSE)</f>
        <v>3.4266666666666663</v>
      </c>
      <c r="AH355" s="31">
        <f>VLOOKUP($B355,Pitchers!$A1:$S251,9,FALSE)</f>
        <v>3.7555555555555551</v>
      </c>
      <c r="AI355" s="31">
        <f>VLOOKUP($B355,Pitchers!$A1:$S251,10,FALSE)</f>
        <v>24.933333333333334</v>
      </c>
      <c r="AJ355" s="31">
        <f>VLOOKUP($B355,Pitchers!$A1:$S251,11,FALSE)</f>
        <v>57.428888888888885</v>
      </c>
      <c r="AK355" s="31">
        <f>VLOOKUP($B355,Pitchers!$A1:$S251,12,FALSE)</f>
        <v>21.926666666666666</v>
      </c>
      <c r="AL355" s="31">
        <f>VLOOKUP($B355,Pitchers!$A1:$S251,13,FALSE)</f>
        <v>5.7</v>
      </c>
      <c r="AM355" s="31">
        <f>VLOOKUP($B355,Pitchers!$A1:$S251,14,FALSE)</f>
        <v>62.997777777777777</v>
      </c>
      <c r="AN355" s="31">
        <f>VLOOKUP($B355,Pitchers!$A1:$S251,15,FALSE)</f>
        <v>0</v>
      </c>
      <c r="AO355" s="31">
        <f>VLOOKUP($B355,Pitchers!$A1:$S251,16,FALSE)</f>
        <v>2.9816666666666669</v>
      </c>
      <c r="AP355" s="31">
        <f>VLOOKUP($B355,Pitchers!$A1:$S251,17,FALSE)</f>
        <v>0</v>
      </c>
      <c r="AQ355" s="31">
        <f>VLOOKUP($B355,Pitchers!$A1:$S251,18,FALSE)</f>
        <v>16</v>
      </c>
      <c r="AR355" s="31">
        <f>VLOOKUP($B355,Pitchers!$A1:$S251,19,FALSE)</f>
        <v>0</v>
      </c>
    </row>
    <row r="356" spans="1:44" ht="18.600000000000001" customHeight="1">
      <c r="A356" s="25">
        <f ca="1">RANK(I356,I$2:I$651)</f>
        <v>355</v>
      </c>
      <c r="B356" s="26" t="s">
        <v>509</v>
      </c>
      <c r="C356" s="27" t="s">
        <v>158</v>
      </c>
      <c r="D356" s="27" t="s">
        <v>74</v>
      </c>
      <c r="E356" s="40" t="s">
        <v>7</v>
      </c>
      <c r="F356" s="41">
        <f ca="1">VLOOKUP(B356,'1B'!A1:I63,IF(Settings!$J$13="points",4,7),FALSE)</f>
        <v>32</v>
      </c>
      <c r="G356" s="30">
        <f>(M356*Settings!$B$2)+(N356*Settings!$B$3)+(O356*Settings!$B$4)+(P356*Settings!$B$5)+(Q356*Settings!$B$6)+((T356-U356-V356-O356)*Settings!$B$9)+(U356*Settings!$B$10)+(V356*Settings!$B$11)+(W356*Settings!$B$12)+(X356*Settings!$B$13)+(AA356*Settings!$B$16)</f>
        <v>252.89055555555558</v>
      </c>
      <c r="H356" s="31">
        <f>VLOOKUP(B356,'Standard Deviations'!$A1:$D651,4,FALSE)</f>
        <v>-0.24129046562334833</v>
      </c>
      <c r="I356" s="32">
        <f ca="1">IF(Settings!$J$15="no",VLOOKUP(B356,'1B'!A1:I63,IF(Settings!$J$13="points",6,9),FALSE),VLOOKUP(B356,'1B+3B'!$A1:$I104,IF(Settings!$J$13="points",6,9),FALSE))</f>
        <v>-0.46676658184494701</v>
      </c>
      <c r="J356" s="31"/>
      <c r="K356" s="31">
        <f ca="1">J356-A356</f>
        <v>-355</v>
      </c>
      <c r="L356" s="31"/>
      <c r="M356" s="31">
        <f>VLOOKUP($B356,Hitters!$A1:$R401,4,FALSE)</f>
        <v>387</v>
      </c>
      <c r="N356" s="31">
        <f>VLOOKUP($B356,Hitters!$A1:$R401,5,FALSE)</f>
        <v>45.108333333333327</v>
      </c>
      <c r="O356" s="31">
        <f>VLOOKUP($B356,Hitters!$A1:$R401,6,FALSE)</f>
        <v>10.468888888888889</v>
      </c>
      <c r="P356" s="31">
        <f>VLOOKUP($B356,Hitters!$A1:$R401,7,FALSE)</f>
        <v>47.77</v>
      </c>
      <c r="Q356" s="31">
        <f>VLOOKUP($B356,Hitters!$A1:$R401,8,FALSE)</f>
        <v>2.8966666666666665</v>
      </c>
      <c r="R356" s="152">
        <f>VLOOKUP($B356,Hitters!$A$1:$R$401,14,FALSE)</f>
        <v>0.26923341946597762</v>
      </c>
      <c r="S356" s="152">
        <f>VLOOKUP($B356,Hitters!$A$1:$R$401,15,FALSE)</f>
        <v>0.33755470407549321</v>
      </c>
      <c r="T356" s="154">
        <f>VLOOKUP($B356,Hitters!$A$1:$R$401,9,FALSE)</f>
        <v>104.19333333333333</v>
      </c>
      <c r="U356" s="154">
        <f>VLOOKUP($B356,Hitters!$A$1:$R$401,10,FALSE)</f>
        <v>18.444444444444443</v>
      </c>
      <c r="V356" s="154">
        <f>VLOOKUP($B356,Hitters!$A$1:$R$401,11,FALSE)</f>
        <v>0.98333333333333339</v>
      </c>
      <c r="W356" s="154">
        <f>VLOOKUP($B356,Hitters!$A$1:$R$401,12,FALSE)</f>
        <v>34.182222222222222</v>
      </c>
      <c r="X356" s="154">
        <f>VLOOKUP($B356,Hitters!$A$1:$R$401,13,FALSE)</f>
        <v>71.948888888888888</v>
      </c>
      <c r="Y356" s="152">
        <f>VLOOKUP($B356,Hitters!$A$1:$R$401,16,FALSE)</f>
        <v>0.40312948607522253</v>
      </c>
      <c r="Z356" s="152">
        <f>VLOOKUP($B356,Hitters!$A$1:$R$401,17,FALSE)</f>
        <v>0.74068419015071574</v>
      </c>
      <c r="AA356" s="31">
        <f>VLOOKUP($B356,Hitters!$A1:$R401,18,FALSE)</f>
        <v>0</v>
      </c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</row>
    <row r="357" spans="1:44" ht="18.600000000000001" customHeight="1">
      <c r="A357" s="25">
        <f ca="1">RANK(I357,I$2:I$651)</f>
        <v>356</v>
      </c>
      <c r="B357" s="26" t="s">
        <v>704</v>
      </c>
      <c r="C357" s="27" t="s">
        <v>91</v>
      </c>
      <c r="D357" s="27" t="s">
        <v>74</v>
      </c>
      <c r="E357" s="44" t="s">
        <v>112</v>
      </c>
      <c r="F357" s="45">
        <f ca="1">VLOOKUP(B357,'1B'!A1:I63,IF(Settings!$J$13="points",4,7),FALSE)</f>
        <v>27</v>
      </c>
      <c r="G357" s="30">
        <f>(M357*Settings!$B$2)+(N357*Settings!$B$3)+(O357*Settings!$B$4)+(P357*Settings!$B$5)+(Q357*Settings!$B$6)+((T357-U357-V357-O357)*Settings!$B$9)+(U357*Settings!$B$10)+(V357*Settings!$B$11)+(W357*Settings!$B$12)+(X357*Settings!$B$13)+(AA357*Settings!$B$16)</f>
        <v>330.54999999999995</v>
      </c>
      <c r="H357" s="31">
        <f>VLOOKUP(B357,'Standard Deviations'!$A1:$D651,4,FALSE)</f>
        <v>1.3228981410130507</v>
      </c>
      <c r="I357" s="32">
        <f ca="1">VLOOKUP(B357,'1B'!A1:I63,IF(Settings!$J$13="points",6,9),FALSE)</f>
        <v>-0.46923083880525596</v>
      </c>
      <c r="J357" s="31"/>
      <c r="K357" s="31">
        <f ca="1">J357-A357</f>
        <v>-356</v>
      </c>
      <c r="L357" s="31"/>
      <c r="M357" s="31">
        <f>VLOOKUP($B357,Hitters!$A1:$R401,4,FALSE)</f>
        <v>517.29999999999995</v>
      </c>
      <c r="N357" s="31">
        <f>VLOOKUP($B357,Hitters!$A1:$R401,5,FALSE)</f>
        <v>65</v>
      </c>
      <c r="O357" s="31">
        <f>VLOOKUP($B357,Hitters!$A1:$R401,6,FALSE)</f>
        <v>24.8</v>
      </c>
      <c r="P357" s="31">
        <f>VLOOKUP($B357,Hitters!$A1:$R401,7,FALSE)</f>
        <v>75</v>
      </c>
      <c r="Q357" s="31">
        <f>VLOOKUP($B357,Hitters!$A1:$R401,8,FALSE)</f>
        <v>2.5</v>
      </c>
      <c r="R357" s="150">
        <f>VLOOKUP($B357,Hitters!$A$1:$R$401,14,FALSE)</f>
        <v>0.22456507731958766</v>
      </c>
      <c r="S357" s="150">
        <f>VLOOKUP($B357,Hitters!$A$1:$R$401,15,FALSE)</f>
        <v>0.29536412879068946</v>
      </c>
      <c r="T357" s="155">
        <f>VLOOKUP($B357,Hitters!$A$1:$R$401,9,FALSE)</f>
        <v>116.2</v>
      </c>
      <c r="U357" s="155">
        <f>VLOOKUP($B357,Hitters!$A$1:$R$401,10,FALSE)</f>
        <v>27</v>
      </c>
      <c r="V357" s="155">
        <f>VLOOKUP($B357,Hitters!$A$1:$R$401,11,FALSE)</f>
        <v>0.3</v>
      </c>
      <c r="W357" s="155">
        <f>VLOOKUP($B357,Hitters!$A$1:$R$401,12,FALSE)</f>
        <v>43.5</v>
      </c>
      <c r="X357" s="155">
        <f>VLOOKUP($B357,Hitters!$A$1:$R$401,13,FALSE)</f>
        <v>152.30000000000001</v>
      </c>
      <c r="Y357" s="150">
        <f>VLOOKUP($B357,Hitters!$A$1:$R$401,16,FALSE)</f>
        <v>0.42070715206185572</v>
      </c>
      <c r="Z357" s="150">
        <f>VLOOKUP($B357,Hitters!$A$1:$R$401,17,FALSE)</f>
        <v>0.71607128085254512</v>
      </c>
      <c r="AA357" s="31">
        <f>VLOOKUP($B357,Hitters!$A1:$R401,18,FALSE)</f>
        <v>0</v>
      </c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</row>
    <row r="358" spans="1:44" ht="20.100000000000001" customHeight="1">
      <c r="A358" s="25">
        <f ca="1">RANK(I358,I$2:I$651)</f>
        <v>357</v>
      </c>
      <c r="B358" s="26" t="s">
        <v>545</v>
      </c>
      <c r="C358" s="27" t="s">
        <v>140</v>
      </c>
      <c r="D358" s="27" t="s">
        <v>69</v>
      </c>
      <c r="E358" s="48" t="s">
        <v>11</v>
      </c>
      <c r="F358" s="49">
        <f ca="1">VLOOKUP(B358,'2B'!A1:I50,IF(Settings!$J$13="points",4,7),FALSE)</f>
        <v>28</v>
      </c>
      <c r="G358" s="30">
        <f>(M358*Settings!$B$2)+(N358*Settings!$B$3)+(O358*Settings!$B$4)+(P358*Settings!$B$5)+(Q358*Settings!$B$6)+((T358-U358-V358-O358)*Settings!$B$9)+(U358*Settings!$B$10)+(V358*Settings!$B$11)+(W358*Settings!$B$12)+(X358*Settings!$B$13)+(AA358*Settings!$B$16)</f>
        <v>293.27388888888891</v>
      </c>
      <c r="H358" s="31">
        <f>VLOOKUP(B358,'Standard Deviations'!$A1:$D651,4,FALSE)</f>
        <v>-0.57514361286125371</v>
      </c>
      <c r="I358" s="32">
        <f ca="1">IF(Settings!$J$16="no",VLOOKUP(B358,'2B'!A1:I50,IF(Settings!$J$13="points",6,9),FALSE),VLOOKUP(B358,'2B+SS'!$A1:$I94,IF(Settings!$J$13="points",6,9),FALSE))</f>
        <v>-0.5811891051577075</v>
      </c>
      <c r="J358" s="31"/>
      <c r="K358" s="31">
        <f ca="1">J358-A358</f>
        <v>-357</v>
      </c>
      <c r="L358" s="31"/>
      <c r="M358" s="31">
        <f>VLOOKUP($B358,Hitters!$A1:$R401,4,FALSE)</f>
        <v>455.58333333333331</v>
      </c>
      <c r="N358" s="31">
        <f>VLOOKUP($B358,Hitters!$A1:$R401,5,FALSE)</f>
        <v>57.562222222222225</v>
      </c>
      <c r="O358" s="31">
        <f>VLOOKUP($B358,Hitters!$A1:$R401,6,FALSE)</f>
        <v>6.9933333333333332</v>
      </c>
      <c r="P358" s="31">
        <f>VLOOKUP($B358,Hitters!$A1:$R401,7,FALSE)</f>
        <v>40.131666666666668</v>
      </c>
      <c r="Q358" s="31">
        <f>VLOOKUP($B358,Hitters!$A1:$R401,8,FALSE)</f>
        <v>10.75</v>
      </c>
      <c r="R358" s="33">
        <f>VLOOKUP($B358,Hitters!$A$1:$R$401,14,FALSE)</f>
        <v>0.24555331991951712</v>
      </c>
      <c r="S358" s="33">
        <f>VLOOKUP($B358,Hitters!$A$1:$R$401,15,FALSE)</f>
        <v>0.32671856600707172</v>
      </c>
      <c r="T358" s="31">
        <f>VLOOKUP($B358,Hitters!$A$1:$R$401,9,FALSE)</f>
        <v>111.87</v>
      </c>
      <c r="U358" s="31">
        <f>VLOOKUP($B358,Hitters!$A$1:$R$401,10,FALSE)</f>
        <v>22.191666666666666</v>
      </c>
      <c r="V358" s="31">
        <f>VLOOKUP($B358,Hitters!$A$1:$R$401,11,FALSE)</f>
        <v>2.4333333333333331</v>
      </c>
      <c r="W358" s="31">
        <f>VLOOKUP($B358,Hitters!$A$1:$R$401,12,FALSE)</f>
        <v>47.953333333333326</v>
      </c>
      <c r="X358" s="31">
        <f>VLOOKUP($B358,Hitters!$A$1:$R$401,13,FALSE)</f>
        <v>67.563333333333333</v>
      </c>
      <c r="Y358" s="33">
        <f>VLOOKUP($B358,Hitters!$A$1:$R$401,16,FALSE)</f>
        <v>0.35099689043351018</v>
      </c>
      <c r="Z358" s="33">
        <f>VLOOKUP($B358,Hitters!$A$1:$R$401,17,FALSE)</f>
        <v>0.67771545644058184</v>
      </c>
      <c r="AA358" s="31">
        <f>VLOOKUP($B358,Hitters!$A1:$R401,18,FALSE)</f>
        <v>0</v>
      </c>
      <c r="AB358" s="31"/>
      <c r="AC358" s="31"/>
      <c r="AD358" s="33"/>
      <c r="AE358" s="33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</row>
    <row r="359" spans="1:44" ht="18.600000000000001" customHeight="1">
      <c r="A359" s="25">
        <f ca="1">RANK(I359,I$2:I$651)</f>
        <v>358</v>
      </c>
      <c r="B359" s="26" t="s">
        <v>327</v>
      </c>
      <c r="C359" s="27" t="s">
        <v>258</v>
      </c>
      <c r="D359" s="27" t="s">
        <v>69</v>
      </c>
      <c r="E359" s="28" t="s">
        <v>23</v>
      </c>
      <c r="F359" s="29">
        <f ca="1">VLOOKUP(B359,OF!A1:I139,IF(Settings!$J$13="points",4,7),FALSE)</f>
        <v>81</v>
      </c>
      <c r="G359" s="30">
        <f>(M359*Settings!$B$2)+(N359*Settings!$B$3)+(O359*Settings!$B$4)+(P359*Settings!$B$5)+(Q359*Settings!$B$6)+((T359-U359-V359-O359)*Settings!$B$9)+(U359*Settings!$B$10)+(V359*Settings!$B$11)+(W359*Settings!$B$12)+(X359*Settings!$B$13)+(AA359*Settings!$B$16)</f>
        <v>240.79833333333332</v>
      </c>
      <c r="H359" s="31">
        <f>VLOOKUP(B359,'Standard Deviations'!$A1:$D651,4,FALSE)</f>
        <v>-0.76459387167359183</v>
      </c>
      <c r="I359" s="32">
        <f ca="1">VLOOKUP(B359,OF!A1:I139,IF(Settings!$J$13="points",6,9),FALSE)</f>
        <v>-0.60765834732112434</v>
      </c>
      <c r="J359" s="31"/>
      <c r="K359" s="31">
        <f ca="1">J359-A359</f>
        <v>-358</v>
      </c>
      <c r="L359" s="31"/>
      <c r="M359" s="31">
        <f>VLOOKUP($B359,Hitters!$A1:$R401,4,FALSE)</f>
        <v>360.61111111111109</v>
      </c>
      <c r="N359" s="31">
        <f>VLOOKUP($B359,Hitters!$A1:$R401,5,FALSE)</f>
        <v>47.618888888888897</v>
      </c>
      <c r="O359" s="31">
        <f>VLOOKUP($B359,Hitters!$A1:$R401,6,FALSE)</f>
        <v>8.8466666666666658</v>
      </c>
      <c r="P359" s="31">
        <f>VLOOKUP($B359,Hitters!$A1:$R401,7,FALSE)</f>
        <v>35.728333333333332</v>
      </c>
      <c r="Q359" s="31">
        <f>VLOOKUP($B359,Hitters!$A1:$R401,8,FALSE)</f>
        <v>17.526666666666667</v>
      </c>
      <c r="R359" s="33">
        <f>VLOOKUP($B359,Hitters!$A$1:$R$401,14,FALSE)</f>
        <v>0.23152364812817747</v>
      </c>
      <c r="S359" s="33">
        <f>VLOOKUP($B359,Hitters!$A$1:$R$401,15,FALSE)</f>
        <v>0.3185762530880758</v>
      </c>
      <c r="T359" s="31">
        <f>VLOOKUP($B359,Hitters!$A$1:$R$401,9,FALSE)</f>
        <v>83.49</v>
      </c>
      <c r="U359" s="31">
        <f>VLOOKUP($B359,Hitters!$A$1:$R$401,10,FALSE)</f>
        <v>15.256666666666668</v>
      </c>
      <c r="V359" s="31">
        <f>VLOOKUP($B359,Hitters!$A$1:$R$401,11,FALSE)</f>
        <v>4.1050000000000004</v>
      </c>
      <c r="W359" s="31">
        <f>VLOOKUP($B359,Hitters!$A$1:$R$401,12,FALSE)</f>
        <v>40.424999999999997</v>
      </c>
      <c r="X359" s="31">
        <f>VLOOKUP($B359,Hitters!$A$1:$R$401,13,FALSE)</f>
        <v>103.04777777777777</v>
      </c>
      <c r="Y359" s="33">
        <f>VLOOKUP($B359,Hitters!$A$1:$R$401,16,FALSE)</f>
        <v>0.37019565552303185</v>
      </c>
      <c r="Z359" s="33">
        <f>VLOOKUP($B359,Hitters!$A$1:$R$401,17,FALSE)</f>
        <v>0.68877190861110771</v>
      </c>
      <c r="AA359" s="31">
        <f>VLOOKUP($B359,Hitters!$A1:$R401,18,FALSE)</f>
        <v>0</v>
      </c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</row>
    <row r="360" spans="1:44" ht="18.600000000000001" customHeight="1">
      <c r="A360" s="25">
        <f ca="1">RANK(I360,I$2:I$651)</f>
        <v>359</v>
      </c>
      <c r="B360" s="26" t="s">
        <v>680</v>
      </c>
      <c r="C360" s="27" t="s">
        <v>99</v>
      </c>
      <c r="D360" s="27" t="s">
        <v>69</v>
      </c>
      <c r="E360" s="38" t="s">
        <v>27</v>
      </c>
      <c r="F360" s="39">
        <f ca="1">VLOOKUP(B360,SS!A1:I45,IF(Settings!$J$13="points",4,7),FALSE)</f>
        <v>27</v>
      </c>
      <c r="G360" s="30">
        <f>(M360*Settings!$B$2)+(N360*Settings!$B$3)+(O360*Settings!$B$4)+(P360*Settings!$B$5)+(Q360*Settings!$B$6)+((T360-U360-V360-O360)*Settings!$B$9)+(U360*Settings!$B$10)+(V360*Settings!$B$11)+(W360*Settings!$B$12)+(X360*Settings!$B$13)+(AA360*Settings!$B$16)</f>
        <v>216.60305555555556</v>
      </c>
      <c r="H360" s="31">
        <f>VLOOKUP(B360,'Standard Deviations'!$A1:$D651,4,FALSE)</f>
        <v>-0.62494918231289165</v>
      </c>
      <c r="I360" s="32">
        <f ca="1">IF(Settings!$J$16="no",VLOOKUP(B360,SS!A1:I45,IF(Settings!$J$13="points",6,9),FALSE),VLOOKUP(B360,'2B+SS'!$A1:$I94,IF(Settings!$J$13="points",6,9),FALSE))</f>
        <v>-0.6309872122776593</v>
      </c>
      <c r="J360" s="31"/>
      <c r="K360" s="31">
        <f ca="1">J360-A360</f>
        <v>-359</v>
      </c>
      <c r="L360" s="31"/>
      <c r="M360" s="31">
        <f>VLOOKUP($B360,Hitters!$A1:$R401,4,FALSE)</f>
        <v>336.03333333333336</v>
      </c>
      <c r="N360" s="31">
        <f>VLOOKUP($B360,Hitters!$A1:$R401,5,FALSE)</f>
        <v>42.114444444444445</v>
      </c>
      <c r="O360" s="31">
        <f>VLOOKUP($B360,Hitters!$A1:$R401,6,FALSE)</f>
        <v>8.0888888888888886</v>
      </c>
      <c r="P360" s="31">
        <f>VLOOKUP($B360,Hitters!$A1:$R401,7,FALSE)</f>
        <v>34.784444444444439</v>
      </c>
      <c r="Q360" s="31">
        <f>VLOOKUP($B360,Hitters!$A1:$R401,8,FALSE)</f>
        <v>22.611111111111111</v>
      </c>
      <c r="R360" s="33">
        <f>VLOOKUP($B360,Hitters!$A$1:$R$401,14,FALSE)</f>
        <v>0.22777502231921437</v>
      </c>
      <c r="S360" s="33">
        <f>VLOOKUP($B360,Hitters!$A$1:$R$401,15,FALSE)</f>
        <v>0.2789422514519786</v>
      </c>
      <c r="T360" s="31">
        <f>VLOOKUP($B360,Hitters!$A$1:$R$401,9,FALSE)</f>
        <v>76.540000000000006</v>
      </c>
      <c r="U360" s="31">
        <f>VLOOKUP($B360,Hitters!$A$1:$R$401,10,FALSE)</f>
        <v>16.466666666666665</v>
      </c>
      <c r="V360" s="31">
        <f>VLOOKUP($B360,Hitters!$A$1:$R$401,11,FALSE)</f>
        <v>3.4266666666666663</v>
      </c>
      <c r="W360" s="31">
        <f>VLOOKUP($B360,Hitters!$A$1:$R$401,12,FALSE)</f>
        <v>18.044444444444444</v>
      </c>
      <c r="X360" s="31">
        <f>VLOOKUP($B360,Hitters!$A$1:$R$401,13,FALSE)</f>
        <v>95.37833333333333</v>
      </c>
      <c r="Y360" s="33">
        <f>VLOOKUP($B360,Hitters!$A$1:$R$401,16,FALSE)</f>
        <v>0.36938795754389442</v>
      </c>
      <c r="Z360" s="33">
        <f>VLOOKUP($B360,Hitters!$A$1:$R$401,17,FALSE)</f>
        <v>0.64833020899587301</v>
      </c>
      <c r="AA360" s="31">
        <f>VLOOKUP($B360,Hitters!$A1:$R401,18,FALSE)</f>
        <v>0</v>
      </c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</row>
    <row r="361" spans="1:44" ht="18.600000000000001" customHeight="1">
      <c r="A361" s="25">
        <f ca="1">RANK(I361,I$2:I$651)</f>
        <v>360</v>
      </c>
      <c r="B361" s="26" t="s">
        <v>702</v>
      </c>
      <c r="C361" s="27" t="s">
        <v>78</v>
      </c>
      <c r="D361" s="27" t="s">
        <v>69</v>
      </c>
      <c r="E361" s="38" t="s">
        <v>27</v>
      </c>
      <c r="F361" s="39">
        <f ca="1">VLOOKUP(B361,SS!A1:I45,IF(Settings!$J$13="points",4,7),FALSE)</f>
        <v>28</v>
      </c>
      <c r="G361" s="30">
        <f>(M361*Settings!$B$2)+(N361*Settings!$B$3)+(O361*Settings!$B$4)+(P361*Settings!$B$5)+(Q361*Settings!$B$6)+((T361-U361-V361-O361)*Settings!$B$9)+(U361*Settings!$B$10)+(V361*Settings!$B$11)+(W361*Settings!$B$12)+(X361*Settings!$B$13)+(AA361*Settings!$B$16)</f>
        <v>255.19666666666669</v>
      </c>
      <c r="H361" s="31">
        <f>VLOOKUP(B361,'Standard Deviations'!$A1:$D651,4,FALSE)</f>
        <v>-0.62864218810853212</v>
      </c>
      <c r="I361" s="32">
        <f ca="1">IF(Settings!$J$16="no",VLOOKUP(B361,SS!A1:I45,IF(Settings!$J$13="points",6,9),FALSE),VLOOKUP(B361,'2B+SS'!$A1:$I94,IF(Settings!$J$13="points",6,9),FALSE))</f>
        <v>-0.63468827950249296</v>
      </c>
      <c r="J361" s="31"/>
      <c r="K361" s="31">
        <f ca="1">J361-A361</f>
        <v>-360</v>
      </c>
      <c r="L361" s="31"/>
      <c r="M361" s="31">
        <f>VLOOKUP($B361,Hitters!$A1:$R401,4,FALSE)</f>
        <v>402.06666666666661</v>
      </c>
      <c r="N361" s="31">
        <f>VLOOKUP($B361,Hitters!$A1:$R401,5,FALSE)</f>
        <v>48.82</v>
      </c>
      <c r="O361" s="31">
        <f>VLOOKUP($B361,Hitters!$A1:$R401,6,FALSE)</f>
        <v>10.200000000000001</v>
      </c>
      <c r="P361" s="31">
        <f>VLOOKUP($B361,Hitters!$A1:$R401,7,FALSE)</f>
        <v>45.986666666666657</v>
      </c>
      <c r="Q361" s="31">
        <f>VLOOKUP($B361,Hitters!$A1:$R401,8,FALSE)</f>
        <v>7.419999999999999</v>
      </c>
      <c r="R361" s="33">
        <f>VLOOKUP($B361,Hitters!$A$1:$R$401,14,FALSE)</f>
        <v>0.24842480517327145</v>
      </c>
      <c r="S361" s="33">
        <f>VLOOKUP($B361,Hitters!$A$1:$R$401,15,FALSE)</f>
        <v>0.30425688268173967</v>
      </c>
      <c r="T361" s="31">
        <f>VLOOKUP($B361,Hitters!$A$1:$R$401,9,FALSE)</f>
        <v>99.883333333333326</v>
      </c>
      <c r="U361" s="31">
        <f>VLOOKUP($B361,Hitters!$A$1:$R$401,10,FALSE)</f>
        <v>17.63</v>
      </c>
      <c r="V361" s="31">
        <f>VLOOKUP($B361,Hitters!$A$1:$R$401,11,FALSE)</f>
        <v>1.4566666666666668</v>
      </c>
      <c r="W361" s="31">
        <f>VLOOKUP($B361,Hitters!$A$1:$R$401,12,FALSE)</f>
        <v>25.73</v>
      </c>
      <c r="X361" s="31">
        <f>VLOOKUP($B361,Hitters!$A$1:$R$401,13,FALSE)</f>
        <v>62.413333333333334</v>
      </c>
      <c r="Y361" s="33">
        <f>VLOOKUP($B361,Hitters!$A$1:$R$401,16,FALSE)</f>
        <v>0.37562593268114747</v>
      </c>
      <c r="Z361" s="33">
        <f>VLOOKUP($B361,Hitters!$A$1:$R$401,17,FALSE)</f>
        <v>0.67988281536288708</v>
      </c>
      <c r="AA361" s="31">
        <f>VLOOKUP($B361,Hitters!$A1:$R401,18,FALSE)</f>
        <v>0</v>
      </c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</row>
    <row r="362" spans="1:44" ht="18.600000000000001" customHeight="1">
      <c r="A362" s="25">
        <f ca="1">RANK(I362,I$2:I$651)</f>
        <v>361</v>
      </c>
      <c r="B362" s="26" t="s">
        <v>386</v>
      </c>
      <c r="C362" s="27" t="s">
        <v>134</v>
      </c>
      <c r="D362" s="27" t="s">
        <v>74</v>
      </c>
      <c r="E362" s="36" t="s">
        <v>31</v>
      </c>
      <c r="F362" s="37">
        <f ca="1">VLOOKUP(B362,SP!A1:I161,IF(Settings!$J$13="points",4,7),FALSE)</f>
        <v>100</v>
      </c>
      <c r="G362" s="30">
        <f>(AC362*Settings!$F$2)+(AF362*Settings!$F$5)+(AG362*Settings!$F$6)+(AH362*Settings!$F$7)+(AI362*Settings!$F$8)+(AJ362*Settings!$F$9)+(AK362*Settings!$F$10)+(AL362*Settings!$F$11)+(AM362*Settings!$F$12)+(AN362*Settings!$F$13)+(AO362*Settings!$F$14)+(AP362*Settings!$F$15)+(AQ362*Settings!$F$16)+(AR362*Settings!$F$17)</f>
        <v>260.12166666666667</v>
      </c>
      <c r="H362" s="31">
        <f>VLOOKUP(B362,'Standard Deviations'!$A1:$D651,4,FALSE)</f>
        <v>-1.5046026996163415</v>
      </c>
      <c r="I362" s="32">
        <f ca="1">IF(Settings!$J$16="no",VLOOKUP(B362,SP!A1:I161,IF(Settings!$J$13="points",6,9),FALSE),VLOOKUP(B362,'SP+RP'!$A1:$I251,IF(Settings!$J$13="points",6,9),FALSE))</f>
        <v>-0.63702416295804265</v>
      </c>
      <c r="J362" s="31"/>
      <c r="K362" s="31">
        <f ca="1">J362-A362</f>
        <v>-361</v>
      </c>
      <c r="L362" s="31"/>
      <c r="M362" s="31"/>
      <c r="N362" s="31"/>
      <c r="O362" s="31"/>
      <c r="P362" s="31"/>
      <c r="Q362" s="31"/>
      <c r="R362" s="33"/>
      <c r="S362" s="33"/>
      <c r="T362" s="31"/>
      <c r="U362" s="31"/>
      <c r="V362" s="31"/>
      <c r="W362" s="31"/>
      <c r="X362" s="31"/>
      <c r="Y362" s="33"/>
      <c r="Z362" s="33"/>
      <c r="AA362" s="31"/>
      <c r="AB362" s="31"/>
      <c r="AC362" s="31">
        <f>VLOOKUP($B362,Pitchers!$A1:$S251,4,FALSE)</f>
        <v>128.20777777777778</v>
      </c>
      <c r="AD362" s="33">
        <f>VLOOKUP($B362,Pitchers!$A1:$S251,5,FALSE)</f>
        <v>4.0538882196434605</v>
      </c>
      <c r="AE362" s="33">
        <f>VLOOKUP($B362,Pitchers!$A1:$S251,6,FALSE)</f>
        <v>1.2961598793624931</v>
      </c>
      <c r="AF362" s="31">
        <f>VLOOKUP($B362,Pitchers!$A1:$S251,7,FALSE)</f>
        <v>130.11666666666667</v>
      </c>
      <c r="AG362" s="31">
        <f>VLOOKUP($B362,Pitchers!$A1:$S251,8,FALSE)</f>
        <v>6.9777777777777779</v>
      </c>
      <c r="AH362" s="31">
        <f>VLOOKUP($B362,Pitchers!$A1:$S251,9,FALSE)</f>
        <v>0</v>
      </c>
      <c r="AI362" s="31">
        <f>VLOOKUP($B362,Pitchers!$A1:$S251,10,FALSE)</f>
        <v>57.748888888888892</v>
      </c>
      <c r="AJ362" s="31">
        <f>VLOOKUP($B362,Pitchers!$A1:$S251,11,FALSE)</f>
        <v>120.85555555555555</v>
      </c>
      <c r="AK362" s="31">
        <f>VLOOKUP($B362,Pitchers!$A1:$S251,12,FALSE)</f>
        <v>45.322222222222223</v>
      </c>
      <c r="AL362" s="31">
        <f>VLOOKUP($B362,Pitchers!$A1:$S251,13,FALSE)</f>
        <v>15.066666666666668</v>
      </c>
      <c r="AM362" s="31">
        <f>VLOOKUP($B362,Pitchers!$A1:$S251,14,FALSE)</f>
        <v>29.774444444444445</v>
      </c>
      <c r="AN362" s="31">
        <f>VLOOKUP($B362,Pitchers!$A1:$S251,15,FALSE)</f>
        <v>24.085555555555555</v>
      </c>
      <c r="AO362" s="31">
        <f>VLOOKUP($B362,Pitchers!$A1:$S251,16,FALSE)</f>
        <v>8.8955555555555552</v>
      </c>
      <c r="AP362" s="31">
        <f>VLOOKUP($B362,Pitchers!$A1:$S251,17,FALSE)</f>
        <v>10</v>
      </c>
      <c r="AQ362" s="31">
        <f>VLOOKUP($B362,Pitchers!$A1:$S251,18,FALSE)</f>
        <v>0</v>
      </c>
      <c r="AR362" s="31">
        <f>VLOOKUP($B362,Pitchers!$A1:$S251,19,FALSE)</f>
        <v>0</v>
      </c>
    </row>
    <row r="363" spans="1:44" ht="18.600000000000001" customHeight="1">
      <c r="A363" s="25">
        <f ca="1">RANK(I363,I$2:I$651)</f>
        <v>362</v>
      </c>
      <c r="B363" s="26" t="s">
        <v>612</v>
      </c>
      <c r="C363" s="27" t="s">
        <v>258</v>
      </c>
      <c r="D363" s="27" t="s">
        <v>69</v>
      </c>
      <c r="E363" s="40" t="s">
        <v>7</v>
      </c>
      <c r="F363" s="41">
        <f ca="1">VLOOKUP(B363,'1B'!A1:I63,IF(Settings!$J$13="points",4,7),FALSE)</f>
        <v>33</v>
      </c>
      <c r="G363" s="30">
        <f>(M363*Settings!$B$2)+(N363*Settings!$B$3)+(O363*Settings!$B$4)+(P363*Settings!$B$5)+(Q363*Settings!$B$6)+((T363-U363-V363-O363)*Settings!$B$9)+(U363*Settings!$B$10)+(V363*Settings!$B$11)+(W363*Settings!$B$12)+(X363*Settings!$B$13)+(AA363*Settings!$B$16)</f>
        <v>294.84802222222226</v>
      </c>
      <c r="H363" s="31">
        <f>VLOOKUP(B363,'Standard Deviations'!$A1:$D651,4,FALSE)</f>
        <v>-0.41651648551006226</v>
      </c>
      <c r="I363" s="32">
        <f ca="1">IF(Settings!$J$15="no",VLOOKUP(B363,'1B'!A1:I63,IF(Settings!$J$13="points",6,9),FALSE),VLOOKUP(B363,'1B+3B'!$A1:$I104,IF(Settings!$J$13="points",6,9),FALSE))</f>
        <v>-0.64199190908014303</v>
      </c>
      <c r="J363" s="31"/>
      <c r="K363" s="31">
        <f ca="1">J363-A363</f>
        <v>-362</v>
      </c>
      <c r="L363" s="31"/>
      <c r="M363" s="31">
        <f>VLOOKUP($B363,Hitters!$A1:$R401,4,FALSE)</f>
        <v>459.25822222222223</v>
      </c>
      <c r="N363" s="31">
        <f>VLOOKUP($B363,Hitters!$A1:$R401,5,FALSE)</f>
        <v>57.886133333333333</v>
      </c>
      <c r="O363" s="31">
        <f>VLOOKUP($B363,Hitters!$A1:$R401,6,FALSE)</f>
        <v>17.423333333333332</v>
      </c>
      <c r="P363" s="31">
        <f>VLOOKUP($B363,Hitters!$A1:$R401,7,FALSE)</f>
        <v>58.485288888888896</v>
      </c>
      <c r="Q363" s="31">
        <f>VLOOKUP($B363,Hitters!$A1:$R401,8,FALSE)</f>
        <v>1.9878222222222224</v>
      </c>
      <c r="R363" s="33">
        <f>VLOOKUP($B363,Hitters!$A$1:$R$401,14,FALSE)</f>
        <v>0.2310750379113759</v>
      </c>
      <c r="S363" s="33">
        <f>VLOOKUP($B363,Hitters!$A$1:$R$401,15,FALSE)</f>
        <v>0.31946858836574743</v>
      </c>
      <c r="T363" s="31">
        <f>VLOOKUP($B363,Hitters!$A$1:$R$401,9,FALSE)</f>
        <v>106.1231111111111</v>
      </c>
      <c r="U363" s="31">
        <f>VLOOKUP($B363,Hitters!$A$1:$R$401,10,FALSE)</f>
        <v>22.920400000000001</v>
      </c>
      <c r="V363" s="31">
        <f>VLOOKUP($B363,Hitters!$A$1:$R$401,11,FALSE)</f>
        <v>1.5205333333333335</v>
      </c>
      <c r="W363" s="31">
        <f>VLOOKUP($B363,Hitters!$A$1:$R$401,12,FALSE)</f>
        <v>52.483022222222225</v>
      </c>
      <c r="X363" s="31">
        <f>VLOOKUP($B363,Hitters!$A$1:$R$401,13,FALSE)</f>
        <v>124.67328888888888</v>
      </c>
      <c r="Y363" s="33">
        <f>VLOOKUP($B363,Hitters!$A$1:$R$401,16,FALSE)</f>
        <v>0.40141813223449213</v>
      </c>
      <c r="Z363" s="33">
        <f>VLOOKUP($B363,Hitters!$A$1:$R$401,17,FALSE)</f>
        <v>0.72088672060023962</v>
      </c>
      <c r="AA363" s="31">
        <f>VLOOKUP($B363,Hitters!$A1:$R401,18,FALSE)</f>
        <v>0</v>
      </c>
      <c r="AB363" s="31"/>
      <c r="AC363" s="31"/>
      <c r="AD363" s="33"/>
      <c r="AE363" s="33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</row>
    <row r="364" spans="1:44" ht="18.600000000000001" customHeight="1">
      <c r="A364" s="25">
        <f ca="1">RANK(I364,I$2:I$651)</f>
        <v>363</v>
      </c>
      <c r="B364" s="26" t="s">
        <v>516</v>
      </c>
      <c r="C364" s="27" t="s">
        <v>99</v>
      </c>
      <c r="D364" s="27" t="s">
        <v>69</v>
      </c>
      <c r="E364" s="48" t="s">
        <v>11</v>
      </c>
      <c r="F364" s="49">
        <f ca="1">VLOOKUP(B364,'2B'!A1:I50,IF(Settings!$J$13="points",4,7),FALSE)</f>
        <v>29</v>
      </c>
      <c r="G364" s="30">
        <f>(M364*Settings!$B$2)+(N364*Settings!$B$3)+(O364*Settings!$B$4)+(P364*Settings!$B$5)+(Q364*Settings!$B$6)+((T364-U364-V364-O364)*Settings!$B$9)+(U364*Settings!$B$10)+(V364*Settings!$B$11)+(W364*Settings!$B$12)+(X364*Settings!$B$13)+(AA364*Settings!$B$16)</f>
        <v>267.17944444444447</v>
      </c>
      <c r="H364" s="31">
        <f>VLOOKUP(B364,'Standard Deviations'!$A1:$D651,4,FALSE)</f>
        <v>-0.64389135632438399</v>
      </c>
      <c r="I364" s="32">
        <f ca="1">IF(Settings!$J$16="no",VLOOKUP(B364,'2B'!A1:I50,IF(Settings!$J$13="points",6,9),FALSE),VLOOKUP(B364,'2B+SS'!$A1:$I94,IF(Settings!$J$13="points",6,9),FALSE))</f>
        <v>-0.6499285512539682</v>
      </c>
      <c r="J364" s="31"/>
      <c r="K364" s="31">
        <f ca="1">J364-A364</f>
        <v>-363</v>
      </c>
      <c r="L364" s="31"/>
      <c r="M364" s="31">
        <f>VLOOKUP($B364,Hitters!$A1:$R401,4,FALSE)</f>
        <v>430.43333333333334</v>
      </c>
      <c r="N364" s="31">
        <f>VLOOKUP($B364,Hitters!$A1:$R401,5,FALSE)</f>
        <v>50.781111111111109</v>
      </c>
      <c r="O364" s="31">
        <f>VLOOKUP($B364,Hitters!$A1:$R401,6,FALSE)</f>
        <v>4.3677777777777775</v>
      </c>
      <c r="P364" s="31">
        <f>VLOOKUP($B364,Hitters!$A1:$R401,7,FALSE)</f>
        <v>39.595555555555556</v>
      </c>
      <c r="Q364" s="31">
        <f>VLOOKUP($B364,Hitters!$A1:$R401,8,FALSE)</f>
        <v>8.5166666666666675</v>
      </c>
      <c r="R364" s="33">
        <f>VLOOKUP($B364,Hitters!$A$1:$R$401,14,FALSE)</f>
        <v>0.2630424120395467</v>
      </c>
      <c r="S364" s="33">
        <f>VLOOKUP($B364,Hitters!$A$1:$R$401,15,FALSE)</f>
        <v>0.32614037246627142</v>
      </c>
      <c r="T364" s="31">
        <f>VLOOKUP($B364,Hitters!$A$1:$R$401,9,FALSE)</f>
        <v>113.22222222222223</v>
      </c>
      <c r="U364" s="31">
        <f>VLOOKUP($B364,Hitters!$A$1:$R$401,10,FALSE)</f>
        <v>22.056666666666668</v>
      </c>
      <c r="V364" s="31">
        <f>VLOOKUP($B364,Hitters!$A$1:$R$401,11,FALSE)</f>
        <v>3.0116666666666667</v>
      </c>
      <c r="W364" s="31">
        <f>VLOOKUP($B364,Hitters!$A$1:$R$401,12,FALSE)</f>
        <v>33.71</v>
      </c>
      <c r="X364" s="31">
        <f>VLOOKUP($B364,Hitters!$A$1:$R$401,13,FALSE)</f>
        <v>56.69222222222222</v>
      </c>
      <c r="Y364" s="33">
        <f>VLOOKUP($B364,Hitters!$A$1:$R$401,16,FALSE)</f>
        <v>0.35872118536874981</v>
      </c>
      <c r="Z364" s="33">
        <f>VLOOKUP($B364,Hitters!$A$1:$R$401,17,FALSE)</f>
        <v>0.68486155783502123</v>
      </c>
      <c r="AA364" s="31">
        <f>VLOOKUP($B364,Hitters!$A1:$R401,18,FALSE)</f>
        <v>0</v>
      </c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</row>
    <row r="365" spans="1:44" ht="18.600000000000001" customHeight="1">
      <c r="A365" s="25">
        <f ca="1">RANK(I365,I$2:I$651)</f>
        <v>364</v>
      </c>
      <c r="B365" s="26" t="s">
        <v>544</v>
      </c>
      <c r="C365" s="27" t="s">
        <v>134</v>
      </c>
      <c r="D365" s="27" t="s">
        <v>74</v>
      </c>
      <c r="E365" s="48" t="s">
        <v>11</v>
      </c>
      <c r="F365" s="49">
        <f ca="1">VLOOKUP(B365,'2B'!A1:I50,IF(Settings!$J$13="points",4,7),FALSE)</f>
        <v>30</v>
      </c>
      <c r="G365" s="30">
        <f>(M365*Settings!$B$2)+(N365*Settings!$B$3)+(O365*Settings!$B$4)+(P365*Settings!$B$5)+(Q365*Settings!$B$6)+((T365-U365-V365-O365)*Settings!$B$9)+(U365*Settings!$B$10)+(V365*Settings!$B$11)+(W365*Settings!$B$12)+(X365*Settings!$B$13)+(AA365*Settings!$B$16)</f>
        <v>210.71777777777777</v>
      </c>
      <c r="H365" s="31">
        <f>VLOOKUP(B365,'Standard Deviations'!$A1:$D651,4,FALSE)</f>
        <v>-0.65905462196080034</v>
      </c>
      <c r="I365" s="32">
        <f ca="1">IF(Settings!$J$16="no",VLOOKUP(B365,'2B'!A1:I50,IF(Settings!$J$13="points",6,9),FALSE),VLOOKUP(B365,'2B+SS'!$A1:$I94,IF(Settings!$J$13="points",6,9),FALSE))</f>
        <v>-0.66509929564007153</v>
      </c>
      <c r="J365" s="31"/>
      <c r="K365" s="31">
        <f ca="1">J365-A365</f>
        <v>-364</v>
      </c>
      <c r="L365" s="31"/>
      <c r="M365" s="31">
        <f>VLOOKUP($B365,Hitters!$A1:$R401,4,FALSE)</f>
        <v>287.88333333333338</v>
      </c>
      <c r="N365" s="31">
        <f>VLOOKUP($B365,Hitters!$A1:$R401,5,FALSE)</f>
        <v>40.164999999999999</v>
      </c>
      <c r="O365" s="31">
        <f>VLOOKUP($B365,Hitters!$A1:$R401,6,FALSE)</f>
        <v>4.47</v>
      </c>
      <c r="P365" s="31">
        <f>VLOOKUP($B365,Hitters!$A1:$R401,7,FALSE)</f>
        <v>25.315000000000001</v>
      </c>
      <c r="Q365" s="31">
        <f>VLOOKUP($B365,Hitters!$A1:$R401,8,FALSE)</f>
        <v>24.744444444444444</v>
      </c>
      <c r="R365" s="33">
        <f>VLOOKUP($B365,Hitters!$A$1:$R$401,14,FALSE)</f>
        <v>0.2400046315058183</v>
      </c>
      <c r="S365" s="33">
        <f>VLOOKUP($B365,Hitters!$A$1:$R$401,15,FALSE)</f>
        <v>0.32706980131295921</v>
      </c>
      <c r="T365" s="31">
        <f>VLOOKUP($B365,Hitters!$A$1:$R$401,9,FALSE)</f>
        <v>69.093333333333334</v>
      </c>
      <c r="U365" s="31">
        <f>VLOOKUP($B365,Hitters!$A$1:$R$401,10,FALSE)</f>
        <v>12.755000000000001</v>
      </c>
      <c r="V365" s="31">
        <f>VLOOKUP($B365,Hitters!$A$1:$R$401,11,FALSE)</f>
        <v>1.9911111111111113</v>
      </c>
      <c r="W365" s="31">
        <f>VLOOKUP($B365,Hitters!$A$1:$R$401,12,FALSE)</f>
        <v>32.848333333333329</v>
      </c>
      <c r="X365" s="31">
        <f>VLOOKUP($B365,Hitters!$A$1:$R$401,13,FALSE)</f>
        <v>72.679999999999993</v>
      </c>
      <c r="Y365" s="33">
        <f>VLOOKUP($B365,Hitters!$A$1:$R$401,16,FALSE)</f>
        <v>0.34472490785233206</v>
      </c>
      <c r="Z365" s="33">
        <f>VLOOKUP($B365,Hitters!$A$1:$R$401,17,FALSE)</f>
        <v>0.67179470916529127</v>
      </c>
      <c r="AA365" s="31">
        <f>VLOOKUP($B365,Hitters!$A1:$R401,18,FALSE)</f>
        <v>0</v>
      </c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</row>
    <row r="366" spans="1:44" ht="18.600000000000001" customHeight="1">
      <c r="A366" s="25">
        <f ca="1">RANK(I366,I$2:I$651)</f>
        <v>365</v>
      </c>
      <c r="B366" s="26" t="s">
        <v>368</v>
      </c>
      <c r="C366" s="27" t="s">
        <v>117</v>
      </c>
      <c r="D366" s="27" t="s">
        <v>69</v>
      </c>
      <c r="E366" s="28" t="s">
        <v>23</v>
      </c>
      <c r="F366" s="29">
        <f ca="1">VLOOKUP(B366,OF!A1:I139,IF(Settings!$J$13="points",4,7),FALSE)</f>
        <v>82</v>
      </c>
      <c r="G366" s="30">
        <f>(M366*Settings!$B$2)+(N366*Settings!$B$3)+(O366*Settings!$B$4)+(P366*Settings!$B$5)+(Q366*Settings!$B$6)+((T366-U366-V366-O366)*Settings!$B$9)+(U366*Settings!$B$10)+(V366*Settings!$B$11)+(W366*Settings!$B$12)+(X366*Settings!$B$13)+(AA366*Settings!$B$16)</f>
        <v>218.28222222222223</v>
      </c>
      <c r="H366" s="31">
        <f>VLOOKUP(B366,'Standard Deviations'!$A1:$D651,4,FALSE)</f>
        <v>-0.82262374210961042</v>
      </c>
      <c r="I366" s="32">
        <f ca="1">VLOOKUP(B366,OF!A1:I139,IF(Settings!$J$13="points",6,9),FALSE)</f>
        <v>-0.66569762065924842</v>
      </c>
      <c r="J366" s="31"/>
      <c r="K366" s="31">
        <f ca="1">J366-A366</f>
        <v>-365</v>
      </c>
      <c r="L366" s="31"/>
      <c r="M366" s="31">
        <f>VLOOKUP($B366,Hitters!$A1:$R401,4,FALSE)</f>
        <v>333.81666666666666</v>
      </c>
      <c r="N366" s="31">
        <f>VLOOKUP($B366,Hitters!$A1:$R401,5,FALSE)</f>
        <v>42.314999999999998</v>
      </c>
      <c r="O366" s="31">
        <f>VLOOKUP($B366,Hitters!$A1:$R401,6,FALSE)</f>
        <v>9.3766666666666669</v>
      </c>
      <c r="P366" s="31">
        <f>VLOOKUP($B366,Hitters!$A1:$R401,7,FALSE)</f>
        <v>38.706666666666671</v>
      </c>
      <c r="Q366" s="31">
        <f>VLOOKUP($B366,Hitters!$A1:$R401,8,FALSE)</f>
        <v>7.9077777777777776</v>
      </c>
      <c r="R366" s="33">
        <f>VLOOKUP($B366,Hitters!$A$1:$R$401,14,FALSE)</f>
        <v>0.2574317240001997</v>
      </c>
      <c r="S366" s="33">
        <f>VLOOKUP($B366,Hitters!$A$1:$R$401,15,FALSE)</f>
        <v>0.31541000712447848</v>
      </c>
      <c r="T366" s="31">
        <f>VLOOKUP($B366,Hitters!$A$1:$R$401,9,FALSE)</f>
        <v>85.935000000000002</v>
      </c>
      <c r="U366" s="31">
        <f>VLOOKUP($B366,Hitters!$A$1:$R$401,10,FALSE)</f>
        <v>16.2</v>
      </c>
      <c r="V366" s="31">
        <f>VLOOKUP($B366,Hitters!$A$1:$R$401,11,FALSE)</f>
        <v>1.4583333333333333</v>
      </c>
      <c r="W366" s="31">
        <f>VLOOKUP($B366,Hitters!$A$1:$R$401,12,FALSE)</f>
        <v>23.001666666666665</v>
      </c>
      <c r="X366" s="31">
        <f>VLOOKUP($B366,Hitters!$A$1:$R$401,13,FALSE)</f>
        <v>69.476666666666674</v>
      </c>
      <c r="Y366" s="33">
        <f>VLOOKUP($B366,Hitters!$A$1:$R$401,16,FALSE)</f>
        <v>0.39896649857706329</v>
      </c>
      <c r="Z366" s="33">
        <f>VLOOKUP($B366,Hitters!$A$1:$R$401,17,FALSE)</f>
        <v>0.71437650570154176</v>
      </c>
      <c r="AA366" s="31">
        <f>VLOOKUP($B366,Hitters!$A1:$R401,18,FALSE)</f>
        <v>0</v>
      </c>
      <c r="AB366" s="31"/>
      <c r="AC366" s="31"/>
      <c r="AD366" s="33"/>
      <c r="AE366" s="33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</row>
    <row r="367" spans="1:44" ht="18.600000000000001" customHeight="1">
      <c r="A367" s="25">
        <f ca="1">RANK(I367,I$2:I$651)</f>
        <v>366</v>
      </c>
      <c r="B367" s="26" t="s">
        <v>493</v>
      </c>
      <c r="C367" s="27" t="s">
        <v>156</v>
      </c>
      <c r="D367" s="27" t="s">
        <v>69</v>
      </c>
      <c r="E367" s="42" t="s">
        <v>34</v>
      </c>
      <c r="F367" s="43">
        <f ca="1">VLOOKUP(B367,RP!A1:I91,IF(Settings!$J$13="points",4,7),FALSE)</f>
        <v>53</v>
      </c>
      <c r="G367" s="30">
        <f>(AC367*Settings!$F$2)+(AF367*Settings!$F$5)+(AG367*Settings!$F$6)+(AH367*Settings!$F$7)+(AI367*Settings!$F$8)+(AJ367*Settings!$F$9)+(AK367*Settings!$F$10)+(AL367*Settings!$F$11)+(AM367*Settings!$F$12)+(AN367*Settings!$F$13)+(AO367*Settings!$F$14)+(AP367*Settings!$F$15)+(AQ367*Settings!$F$16)+(AR367*Settings!$F$17)</f>
        <v>131.84055555555551</v>
      </c>
      <c r="H367" s="31">
        <f>VLOOKUP(B367,'Standard Deviations'!$A1:$D651,4,FALSE)</f>
        <v>-1.5416792777339829</v>
      </c>
      <c r="I367" s="32">
        <f ca="1">IF(Settings!$J$16="no",VLOOKUP(B367,RP!A1:I91,IF(Settings!$J$13="points",6,9),FALSE),VLOOKUP(B367,'SP+RP'!$A1:$I251,IF(Settings!$J$13="points",6,9),FALSE))</f>
        <v>-0.6740980337944833</v>
      </c>
      <c r="J367" s="31"/>
      <c r="K367" s="31">
        <f ca="1">J367-A367</f>
        <v>-366</v>
      </c>
      <c r="L367" s="31"/>
      <c r="M367" s="31"/>
      <c r="N367" s="31"/>
      <c r="O367" s="31"/>
      <c r="P367" s="31"/>
      <c r="Q367" s="31"/>
      <c r="R367" s="33"/>
      <c r="S367" s="33"/>
      <c r="T367" s="31"/>
      <c r="U367" s="31"/>
      <c r="V367" s="31"/>
      <c r="W367" s="31"/>
      <c r="X367" s="31"/>
      <c r="Y367" s="33"/>
      <c r="Z367" s="33"/>
      <c r="AA367" s="31"/>
      <c r="AB367" s="31"/>
      <c r="AC367" s="31">
        <f>VLOOKUP($B367,Pitchers!$A1:$S251,4,FALSE)</f>
        <v>59.284999999999989</v>
      </c>
      <c r="AD367" s="33">
        <f>VLOOKUP($B367,Pitchers!$A1:$S251,5,FALSE)</f>
        <v>3.6381040735430554</v>
      </c>
      <c r="AE367" s="33">
        <f>VLOOKUP($B367,Pitchers!$A1:$S251,6,FALSE)</f>
        <v>1.1850290030268105</v>
      </c>
      <c r="AF367" s="31">
        <f>VLOOKUP($B367,Pitchers!$A1:$S251,7,FALSE)</f>
        <v>70.783333333333331</v>
      </c>
      <c r="AG367" s="31">
        <f>VLOOKUP($B367,Pitchers!$A1:$S251,8,FALSE)</f>
        <v>3.5344444444444445</v>
      </c>
      <c r="AH367" s="31">
        <f>VLOOKUP($B367,Pitchers!$A1:$S251,9,FALSE)</f>
        <v>0.42222222222222222</v>
      </c>
      <c r="AI367" s="31">
        <f>VLOOKUP($B367,Pitchers!$A1:$S251,10,FALSE)</f>
        <v>23.965</v>
      </c>
      <c r="AJ367" s="31">
        <f>VLOOKUP($B367,Pitchers!$A1:$S251,11,FALSE)</f>
        <v>51.237777777777779</v>
      </c>
      <c r="AK367" s="31">
        <f>VLOOKUP($B367,Pitchers!$A1:$S251,12,FALSE)</f>
        <v>19.016666666666666</v>
      </c>
      <c r="AL367" s="31">
        <f>VLOOKUP($B367,Pitchers!$A1:$S251,13,FALSE)</f>
        <v>7.0333333333333341</v>
      </c>
      <c r="AM367" s="31">
        <f>VLOOKUP($B367,Pitchers!$A1:$S251,14,FALSE)</f>
        <v>60.76444444444445</v>
      </c>
      <c r="AN367" s="31">
        <f>VLOOKUP($B367,Pitchers!$A1:$S251,15,FALSE)</f>
        <v>0</v>
      </c>
      <c r="AO367" s="31">
        <f>VLOOKUP($B367,Pitchers!$A1:$S251,16,FALSE)</f>
        <v>2.9766666666666666</v>
      </c>
      <c r="AP367" s="31">
        <f>VLOOKUP($B367,Pitchers!$A1:$S251,17,FALSE)</f>
        <v>0</v>
      </c>
      <c r="AQ367" s="31">
        <f>VLOOKUP($B367,Pitchers!$A1:$S251,18,FALSE)</f>
        <v>16</v>
      </c>
      <c r="AR367" s="31">
        <f>VLOOKUP($B367,Pitchers!$A1:$S251,19,FALSE)</f>
        <v>4</v>
      </c>
    </row>
    <row r="368" spans="1:44" ht="18.600000000000001" customHeight="1">
      <c r="A368" s="25">
        <f ca="1">RANK(I368,I$2:I$651)</f>
        <v>367</v>
      </c>
      <c r="B368" s="26" t="s">
        <v>400</v>
      </c>
      <c r="C368" s="27" t="s">
        <v>156</v>
      </c>
      <c r="D368" s="27" t="s">
        <v>69</v>
      </c>
      <c r="E368" s="36" t="s">
        <v>31</v>
      </c>
      <c r="F368" s="37">
        <f ca="1">VLOOKUP(B368,SP!A1:I161,IF(Settings!$J$13="points",4,7),FALSE)</f>
        <v>101</v>
      </c>
      <c r="G368" s="30">
        <f>(AC368*Settings!$F$2)+(AF368*Settings!$F$5)+(AG368*Settings!$F$6)+(AH368*Settings!$F$7)+(AI368*Settings!$F$8)+(AJ368*Settings!$F$9)+(AK368*Settings!$F$10)+(AL368*Settings!$F$11)+(AM368*Settings!$F$12)+(AN368*Settings!$F$13)+(AO368*Settings!$F$14)+(AP368*Settings!$F$15)+(AQ368*Settings!$F$16)+(AR368*Settings!$F$17)</f>
        <v>194.81734444444447</v>
      </c>
      <c r="H368" s="31">
        <f>VLOOKUP(B368,'Standard Deviations'!$A1:$D651,4,FALSE)</f>
        <v>-1.5449471644307731</v>
      </c>
      <c r="I368" s="32">
        <f ca="1">IF(Settings!$J$16="no",VLOOKUP(B368,SP!A1:I161,IF(Settings!$J$13="points",6,9),FALSE),VLOOKUP(B368,'SP+RP'!$A1:$I251,IF(Settings!$J$13="points",6,9),FALSE))</f>
        <v>-0.67736301842284696</v>
      </c>
      <c r="J368" s="31"/>
      <c r="K368" s="31">
        <f ca="1">J368-A368</f>
        <v>-367</v>
      </c>
      <c r="L368" s="31"/>
      <c r="M368" s="31"/>
      <c r="N368" s="31"/>
      <c r="O368" s="31"/>
      <c r="P368" s="31"/>
      <c r="Q368" s="31"/>
      <c r="R368" s="33"/>
      <c r="S368" s="33"/>
      <c r="T368" s="31"/>
      <c r="U368" s="31"/>
      <c r="V368" s="31"/>
      <c r="W368" s="31"/>
      <c r="X368" s="31"/>
      <c r="Y368" s="33"/>
      <c r="Z368" s="33"/>
      <c r="AA368" s="31"/>
      <c r="AB368" s="31"/>
      <c r="AC368" s="31">
        <f>VLOOKUP($B368,Pitchers!$A1:$S251,4,FALSE)</f>
        <v>90.204999999999998</v>
      </c>
      <c r="AD368" s="33">
        <f>VLOOKUP($B368,Pitchers!$A1:$S251,5,FALSE)</f>
        <v>3.9462490992738766</v>
      </c>
      <c r="AE368" s="33">
        <f>VLOOKUP($B368,Pitchers!$A1:$S251,6,FALSE)</f>
        <v>1.1837973997499522</v>
      </c>
      <c r="AF368" s="31">
        <f>VLOOKUP($B368,Pitchers!$A1:$S251,7,FALSE)</f>
        <v>85.101666666666674</v>
      </c>
      <c r="AG368" s="31">
        <f>VLOOKUP($B368,Pitchers!$A1:$S251,8,FALSE)</f>
        <v>5.0316666666666663</v>
      </c>
      <c r="AH368" s="31">
        <f>VLOOKUP($B368,Pitchers!$A1:$S251,9,FALSE)</f>
        <v>0</v>
      </c>
      <c r="AI368" s="31">
        <f>VLOOKUP($B368,Pitchers!$A1:$S251,10,FALSE)</f>
        <v>39.552377777777778</v>
      </c>
      <c r="AJ368" s="31">
        <f>VLOOKUP($B368,Pitchers!$A1:$S251,11,FALSE)</f>
        <v>85.878888888888881</v>
      </c>
      <c r="AK368" s="31">
        <f>VLOOKUP($B368,Pitchers!$A1:$S251,12,FALSE)</f>
        <v>20.905555555555555</v>
      </c>
      <c r="AL368" s="31">
        <f>VLOOKUP($B368,Pitchers!$A1:$S251,13,FALSE)</f>
        <v>13.200000000000001</v>
      </c>
      <c r="AM368" s="31">
        <f>VLOOKUP($B368,Pitchers!$A1:$S251,14,FALSE)</f>
        <v>30.045555555555556</v>
      </c>
      <c r="AN368" s="31">
        <f>VLOOKUP($B368,Pitchers!$A1:$S251,15,FALSE)</f>
        <v>15.285000000000002</v>
      </c>
      <c r="AO368" s="31">
        <f>VLOOKUP($B368,Pitchers!$A1:$S251,16,FALSE)</f>
        <v>5.0466666666666669</v>
      </c>
      <c r="AP368" s="31">
        <f>VLOOKUP($B368,Pitchers!$A1:$S251,17,FALSE)</f>
        <v>6</v>
      </c>
      <c r="AQ368" s="31">
        <f>VLOOKUP($B368,Pitchers!$A1:$S251,18,FALSE)</f>
        <v>0</v>
      </c>
      <c r="AR368" s="31">
        <f>VLOOKUP($B368,Pitchers!$A1:$S251,19,FALSE)</f>
        <v>0</v>
      </c>
    </row>
    <row r="369" spans="1:44" ht="18.600000000000001" customHeight="1">
      <c r="A369" s="25">
        <f ca="1">RANK(I369,I$2:I$651)</f>
        <v>368</v>
      </c>
      <c r="B369" s="26" t="s">
        <v>601</v>
      </c>
      <c r="C369" s="27" t="s">
        <v>101</v>
      </c>
      <c r="D369" s="27" t="s">
        <v>69</v>
      </c>
      <c r="E369" s="42" t="s">
        <v>34</v>
      </c>
      <c r="F369" s="43">
        <f ca="1">VLOOKUP(B369,RP!A1:I91,IF(Settings!$J$13="points",4,7),FALSE)</f>
        <v>54</v>
      </c>
      <c r="G369" s="30">
        <f>(AC369*Settings!$F$2)+(AF369*Settings!$F$5)+(AG369*Settings!$F$6)+(AH369*Settings!$F$7)+(AI369*Settings!$F$8)+(AJ369*Settings!$F$9)+(AK369*Settings!$F$10)+(AL369*Settings!$F$11)+(AM369*Settings!$F$12)+(AN369*Settings!$F$13)+(AO369*Settings!$F$14)+(AP369*Settings!$F$15)+(AQ369*Settings!$F$16)+(AR369*Settings!$F$17)</f>
        <v>128.91416666666672</v>
      </c>
      <c r="H369" s="31">
        <f>VLOOKUP(B369,'Standard Deviations'!$A1:$D651,4,FALSE)</f>
        <v>-1.5452948240902766</v>
      </c>
      <c r="I369" s="32">
        <f ca="1">IF(Settings!$J$16="no",VLOOKUP(B369,RP!A1:I91,IF(Settings!$J$13="points",6,9),FALSE),VLOOKUP(B369,'SP+RP'!$A1:$I251,IF(Settings!$J$13="points",6,9),FALSE))</f>
        <v>-0.67771599730822718</v>
      </c>
      <c r="J369" s="31"/>
      <c r="K369" s="31">
        <f ca="1">J369-A369</f>
        <v>-368</v>
      </c>
      <c r="L369" s="31"/>
      <c r="M369" s="31"/>
      <c r="N369" s="31"/>
      <c r="O369" s="31"/>
      <c r="P369" s="31"/>
      <c r="Q369" s="31"/>
      <c r="R369" s="33"/>
      <c r="S369" s="33"/>
      <c r="T369" s="31"/>
      <c r="U369" s="31"/>
      <c r="V369" s="31"/>
      <c r="W369" s="31"/>
      <c r="X369" s="31"/>
      <c r="Y369" s="33"/>
      <c r="Z369" s="33"/>
      <c r="AA369" s="31"/>
      <c r="AB369" s="31"/>
      <c r="AC369" s="31">
        <f>VLOOKUP($B369,Pitchers!$A1:$S251,4,FALSE)</f>
        <v>54.106666666666676</v>
      </c>
      <c r="AD369" s="33">
        <f>VLOOKUP($B369,Pitchers!$A1:$S251,5,FALSE)</f>
        <v>3.4161686791522912</v>
      </c>
      <c r="AE369" s="33">
        <f>VLOOKUP($B369,Pitchers!$A1:$S251,6,FALSE)</f>
        <v>1.2244332183341546</v>
      </c>
      <c r="AF369" s="31">
        <f>VLOOKUP($B369,Pitchers!$A1:$S251,7,FALSE)</f>
        <v>71.756666666666675</v>
      </c>
      <c r="AG369" s="31">
        <f>VLOOKUP($B369,Pitchers!$A1:$S251,8,FALSE)</f>
        <v>2.9516666666666667</v>
      </c>
      <c r="AH369" s="31">
        <f>VLOOKUP($B369,Pitchers!$A1:$S251,9,FALSE)</f>
        <v>0.98333333333333339</v>
      </c>
      <c r="AI369" s="31">
        <f>VLOOKUP($B369,Pitchers!$A1:$S251,10,FALSE)</f>
        <v>20.537500000000001</v>
      </c>
      <c r="AJ369" s="31">
        <f>VLOOKUP($B369,Pitchers!$A1:$S251,11,FALSE)</f>
        <v>40.233333333333334</v>
      </c>
      <c r="AK369" s="31">
        <f>VLOOKUP($B369,Pitchers!$A1:$S251,12,FALSE)</f>
        <v>26.016666666666666</v>
      </c>
      <c r="AL369" s="31">
        <f>VLOOKUP($B369,Pitchers!$A1:$S251,13,FALSE)</f>
        <v>6</v>
      </c>
      <c r="AM369" s="31">
        <f>VLOOKUP($B369,Pitchers!$A1:$S251,14,FALSE)</f>
        <v>53.294999999999995</v>
      </c>
      <c r="AN369" s="31">
        <f>VLOOKUP($B369,Pitchers!$A1:$S251,15,FALSE)</f>
        <v>0</v>
      </c>
      <c r="AO369" s="31">
        <f>VLOOKUP($B369,Pitchers!$A1:$S251,16,FALSE)</f>
        <v>2.0083333333333333</v>
      </c>
      <c r="AP369" s="31">
        <f>VLOOKUP($B369,Pitchers!$A1:$S251,17,FALSE)</f>
        <v>0</v>
      </c>
      <c r="AQ369" s="31">
        <f>VLOOKUP($B369,Pitchers!$A1:$S251,18,FALSE)</f>
        <v>6</v>
      </c>
      <c r="AR369" s="31">
        <f>VLOOKUP($B369,Pitchers!$A1:$S251,19,FALSE)</f>
        <v>0</v>
      </c>
    </row>
    <row r="370" spans="1:44" ht="20.100000000000001" customHeight="1">
      <c r="A370" s="25">
        <f ca="1">RANK(I370,I$2:I$651)</f>
        <v>369</v>
      </c>
      <c r="B370" s="26" t="s">
        <v>416</v>
      </c>
      <c r="C370" s="27" t="s">
        <v>223</v>
      </c>
      <c r="D370" s="27" t="s">
        <v>74</v>
      </c>
      <c r="E370" s="28" t="s">
        <v>23</v>
      </c>
      <c r="F370" s="29">
        <f ca="1">VLOOKUP(B370,OF!A1:I139,IF(Settings!$J$13="points",4,7),FALSE)</f>
        <v>83</v>
      </c>
      <c r="G370" s="30">
        <f>(M370*Settings!$B$2)+(N370*Settings!$B$3)+(O370*Settings!$B$4)+(P370*Settings!$B$5)+(Q370*Settings!$B$6)+((T370-U370-V370-O370)*Settings!$B$9)+(U370*Settings!$B$10)+(V370*Settings!$B$11)+(W370*Settings!$B$12)+(X370*Settings!$B$13)+(AA370*Settings!$B$16)</f>
        <v>241.83277777777772</v>
      </c>
      <c r="H370" s="31">
        <f>VLOOKUP(B370,'Standard Deviations'!$A1:$D651,4,FALSE)</f>
        <v>-0.84321291960174827</v>
      </c>
      <c r="I370" s="32">
        <f ca="1">VLOOKUP(B370,OF!A1:I139,IF(Settings!$J$13="points",6,9),FALSE)</f>
        <v>-0.68628418957146886</v>
      </c>
      <c r="J370" s="31"/>
      <c r="K370" s="31">
        <f ca="1">J370-A370</f>
        <v>-369</v>
      </c>
      <c r="L370" s="31"/>
      <c r="M370" s="31">
        <f>VLOOKUP($B370,Hitters!$A1:$R401,4,FALSE)</f>
        <v>380.96666666666664</v>
      </c>
      <c r="N370" s="31">
        <f>VLOOKUP($B370,Hitters!$A1:$R401,5,FALSE)</f>
        <v>46.925000000000004</v>
      </c>
      <c r="O370" s="31">
        <f>VLOOKUP($B370,Hitters!$A1:$R401,6,FALSE)</f>
        <v>7.830000000000001</v>
      </c>
      <c r="P370" s="31">
        <f>VLOOKUP($B370,Hitters!$A1:$R401,7,FALSE)</f>
        <v>38.06444444444444</v>
      </c>
      <c r="Q370" s="31">
        <f>VLOOKUP($B370,Hitters!$A1:$R401,8,FALSE)</f>
        <v>9.9811111111111117</v>
      </c>
      <c r="R370" s="33">
        <f>VLOOKUP($B370,Hitters!$A$1:$R$401,14,FALSE)</f>
        <v>0.25162306413509494</v>
      </c>
      <c r="S370" s="33">
        <f>VLOOKUP($B370,Hitters!$A$1:$R$401,15,FALSE)</f>
        <v>0.31907057240367831</v>
      </c>
      <c r="T370" s="31">
        <f>VLOOKUP($B370,Hitters!$A$1:$R$401,9,FALSE)</f>
        <v>95.86</v>
      </c>
      <c r="U370" s="31">
        <f>VLOOKUP($B370,Hitters!$A$1:$R$401,10,FALSE)</f>
        <v>20.476666666666667</v>
      </c>
      <c r="V370" s="31">
        <f>VLOOKUP($B370,Hitters!$A$1:$R$401,11,FALSE)</f>
        <v>1.7855555555555556</v>
      </c>
      <c r="W370" s="31">
        <f>VLOOKUP($B370,Hitters!$A$1:$R$401,12,FALSE)</f>
        <v>31.781666666666666</v>
      </c>
      <c r="X370" s="31">
        <f>VLOOKUP($B370,Hitters!$A$1:$R$401,13,FALSE)</f>
        <v>76.596666666666664</v>
      </c>
      <c r="Y370" s="33">
        <f>VLOOKUP($B370,Hitters!$A$1:$R$401,16,FALSE)</f>
        <v>0.3764050514772363</v>
      </c>
      <c r="Z370" s="33">
        <f>VLOOKUP($B370,Hitters!$A$1:$R$401,17,FALSE)</f>
        <v>0.69547562388091455</v>
      </c>
      <c r="AA370" s="31">
        <f>VLOOKUP($B370,Hitters!$A1:$R401,18,FALSE)</f>
        <v>0</v>
      </c>
      <c r="AB370" s="31"/>
      <c r="AC370" s="31"/>
      <c r="AD370" s="33"/>
      <c r="AE370" s="33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</row>
    <row r="371" spans="1:44" ht="18.600000000000001" customHeight="1">
      <c r="A371" s="25">
        <f ca="1">RANK(I371,I$2:I$651)</f>
        <v>370</v>
      </c>
      <c r="B371" s="26" t="s">
        <v>431</v>
      </c>
      <c r="C371" s="27" t="s">
        <v>81</v>
      </c>
      <c r="D371" s="27" t="s">
        <v>74</v>
      </c>
      <c r="E371" s="36" t="s">
        <v>31</v>
      </c>
      <c r="F371" s="37">
        <f ca="1">VLOOKUP(B371,SP!A1:I161,IF(Settings!$J$13="points",4,7),FALSE)</f>
        <v>102</v>
      </c>
      <c r="G371" s="30">
        <f>(AC371*Settings!$F$2)+(AF371*Settings!$F$5)+(AG371*Settings!$F$6)+(AH371*Settings!$F$7)+(AI371*Settings!$F$8)+(AJ371*Settings!$F$9)+(AK371*Settings!$F$10)+(AL371*Settings!$F$11)+(AM371*Settings!$F$12)+(AN371*Settings!$F$13)+(AO371*Settings!$F$14)+(AP371*Settings!$F$15)+(AQ371*Settings!$F$16)+(AR371*Settings!$F$17)</f>
        <v>290.54875555555554</v>
      </c>
      <c r="H371" s="31">
        <f>VLOOKUP(B371,'Standard Deviations'!$A1:$D651,4,FALSE)</f>
        <v>-1.5580114771397193</v>
      </c>
      <c r="I371" s="32">
        <f ca="1">IF(Settings!$J$16="no",VLOOKUP(B371,SP!A1:I161,IF(Settings!$J$13="points",6,9),FALSE),VLOOKUP(B371,'SP+RP'!$A1:$I251,IF(Settings!$J$13="points",6,9),FALSE))</f>
        <v>-0.69042750343389936</v>
      </c>
      <c r="J371" s="31"/>
      <c r="K371" s="31">
        <f ca="1">J371-A371</f>
        <v>-370</v>
      </c>
      <c r="L371" s="31"/>
      <c r="M371" s="31"/>
      <c r="N371" s="31"/>
      <c r="O371" s="31"/>
      <c r="P371" s="31"/>
      <c r="Q371" s="31"/>
      <c r="R371" s="33"/>
      <c r="S371" s="33"/>
      <c r="T371" s="31"/>
      <c r="U371" s="31"/>
      <c r="V371" s="31"/>
      <c r="W371" s="31"/>
      <c r="X371" s="31"/>
      <c r="Y371" s="33"/>
      <c r="Z371" s="33"/>
      <c r="AA371" s="31"/>
      <c r="AB371" s="31"/>
      <c r="AC371" s="31">
        <f>VLOOKUP($B371,Pitchers!$A1:$S251,4,FALSE)</f>
        <v>142.92333333333332</v>
      </c>
      <c r="AD371" s="33">
        <f>VLOOKUP($B371,Pitchers!$A1:$S251,5,FALSE)</f>
        <v>4.3208214194090067</v>
      </c>
      <c r="AE371" s="33">
        <f>VLOOKUP($B371,Pitchers!$A1:$S251,6,FALSE)</f>
        <v>1.2812230333278916</v>
      </c>
      <c r="AF371" s="31">
        <f>VLOOKUP($B371,Pitchers!$A1:$S251,7,FALSE)</f>
        <v>108.05</v>
      </c>
      <c r="AG371" s="31">
        <f>VLOOKUP($B371,Pitchers!$A1:$S251,8,FALSE)</f>
        <v>9.9266666666666676</v>
      </c>
      <c r="AH371" s="31">
        <f>VLOOKUP($B371,Pitchers!$A1:$S251,9,FALSE)</f>
        <v>0</v>
      </c>
      <c r="AI371" s="31">
        <f>VLOOKUP($B371,Pitchers!$A1:$S251,10,FALSE)</f>
        <v>68.616244444444433</v>
      </c>
      <c r="AJ371" s="31">
        <f>VLOOKUP($B371,Pitchers!$A1:$S251,11,FALSE)</f>
        <v>147.82444444444445</v>
      </c>
      <c r="AK371" s="31">
        <f>VLOOKUP($B371,Pitchers!$A1:$S251,12,FALSE)</f>
        <v>35.292222222222222</v>
      </c>
      <c r="AL371" s="31">
        <f>VLOOKUP($B371,Pitchers!$A1:$S251,13,FALSE)</f>
        <v>19.366666666666667</v>
      </c>
      <c r="AM371" s="31">
        <f>VLOOKUP($B371,Pitchers!$A1:$S251,14,FALSE)</f>
        <v>26.058888888888887</v>
      </c>
      <c r="AN371" s="31">
        <f>VLOOKUP($B371,Pitchers!$A1:$S251,15,FALSE)</f>
        <v>26.047777777777778</v>
      </c>
      <c r="AO371" s="31">
        <f>VLOOKUP($B371,Pitchers!$A1:$S251,16,FALSE)</f>
        <v>8</v>
      </c>
      <c r="AP371" s="31">
        <f>VLOOKUP($B371,Pitchers!$A1:$S251,17,FALSE)</f>
        <v>10</v>
      </c>
      <c r="AQ371" s="31">
        <f>VLOOKUP($B371,Pitchers!$A1:$S251,18,FALSE)</f>
        <v>0</v>
      </c>
      <c r="AR371" s="31">
        <f>VLOOKUP($B371,Pitchers!$A1:$S251,19,FALSE)</f>
        <v>0</v>
      </c>
    </row>
    <row r="372" spans="1:44" ht="18.600000000000001" customHeight="1">
      <c r="A372" s="25">
        <f ca="1">RANK(I372,I$2:I$651)</f>
        <v>371</v>
      </c>
      <c r="B372" s="26" t="s">
        <v>505</v>
      </c>
      <c r="C372" s="27" t="s">
        <v>114</v>
      </c>
      <c r="D372" s="27" t="s">
        <v>69</v>
      </c>
      <c r="E372" s="42" t="s">
        <v>34</v>
      </c>
      <c r="F372" s="43">
        <f ca="1">VLOOKUP(B372,RP!A1:I91,IF(Settings!$J$13="points",4,7),FALSE)</f>
        <v>55</v>
      </c>
      <c r="G372" s="30">
        <f>(AC372*Settings!$F$2)+(AF372*Settings!$F$5)+(AG372*Settings!$F$6)+(AH372*Settings!$F$7)+(AI372*Settings!$F$8)+(AJ372*Settings!$F$9)+(AK372*Settings!$F$10)+(AL372*Settings!$F$11)+(AM372*Settings!$F$12)+(AN372*Settings!$F$13)+(AO372*Settings!$F$14)+(AP372*Settings!$F$15)+(AQ372*Settings!$F$16)+(AR372*Settings!$F$17)</f>
        <v>160.01166666666671</v>
      </c>
      <c r="H372" s="31">
        <f>VLOOKUP(B372,'Standard Deviations'!$A1:$D651,4,FALSE)</f>
        <v>-1.5763818876257787</v>
      </c>
      <c r="I372" s="32">
        <f ca="1">IF(Settings!$J$16="no",VLOOKUP(B372,RP!A1:I91,IF(Settings!$J$13="points",6,9),FALSE),VLOOKUP(B372,'SP+RP'!$A1:$I251,IF(Settings!$J$13="points",6,9),FALSE))</f>
        <v>-0.70879744292881242</v>
      </c>
      <c r="J372" s="31"/>
      <c r="K372" s="31">
        <f ca="1">J372-A372</f>
        <v>-371</v>
      </c>
      <c r="L372" s="31"/>
      <c r="M372" s="31"/>
      <c r="N372" s="31"/>
      <c r="O372" s="31"/>
      <c r="P372" s="31"/>
      <c r="Q372" s="31"/>
      <c r="R372" s="33"/>
      <c r="S372" s="33"/>
      <c r="T372" s="31"/>
      <c r="U372" s="31"/>
      <c r="V372" s="31"/>
      <c r="W372" s="31"/>
      <c r="X372" s="31"/>
      <c r="Y372" s="33"/>
      <c r="Z372" s="33"/>
      <c r="AA372" s="31"/>
      <c r="AB372" s="31"/>
      <c r="AC372" s="31">
        <f>VLOOKUP($B372,Pitchers!$A1:$S251,4,FALSE)</f>
        <v>61.212222222222231</v>
      </c>
      <c r="AD372" s="33">
        <f>VLOOKUP($B372,Pitchers!$A1:$S251,5,FALSE)</f>
        <v>3.8559292806447507</v>
      </c>
      <c r="AE372" s="33">
        <f>VLOOKUP($B372,Pitchers!$A1:$S251,6,FALSE)</f>
        <v>1.1809369951534732</v>
      </c>
      <c r="AF372" s="31">
        <f>VLOOKUP($B372,Pitchers!$A1:$S251,7,FALSE)</f>
        <v>60.75888888888889</v>
      </c>
      <c r="AG372" s="31">
        <f>VLOOKUP($B372,Pitchers!$A1:$S251,8,FALSE)</f>
        <v>3.4044444444444442</v>
      </c>
      <c r="AH372" s="31">
        <f>VLOOKUP($B372,Pitchers!$A1:$S251,9,FALSE)</f>
        <v>5.4222222222222216</v>
      </c>
      <c r="AI372" s="31">
        <f>VLOOKUP($B372,Pitchers!$A1:$S251,10,FALSE)</f>
        <v>26.225555555555555</v>
      </c>
      <c r="AJ372" s="31">
        <f>VLOOKUP($B372,Pitchers!$A1:$S251,11,FALSE)</f>
        <v>55.045555555555552</v>
      </c>
      <c r="AK372" s="31">
        <f>VLOOKUP($B372,Pitchers!$A1:$S251,12,FALSE)</f>
        <v>17.242222222222221</v>
      </c>
      <c r="AL372" s="31">
        <f>VLOOKUP($B372,Pitchers!$A1:$S251,13,FALSE)</f>
        <v>8.0333333333333332</v>
      </c>
      <c r="AM372" s="31">
        <f>VLOOKUP($B372,Pitchers!$A1:$S251,14,FALSE)</f>
        <v>54.175555555555555</v>
      </c>
      <c r="AN372" s="31">
        <f>VLOOKUP($B372,Pitchers!$A1:$S251,15,FALSE)</f>
        <v>1.0555555555555556</v>
      </c>
      <c r="AO372" s="31">
        <f>VLOOKUP($B372,Pitchers!$A1:$S251,16,FALSE)</f>
        <v>3.4555555555555557</v>
      </c>
      <c r="AP372" s="31">
        <f>VLOOKUP($B372,Pitchers!$A1:$S251,17,FALSE)</f>
        <v>0</v>
      </c>
      <c r="AQ372" s="31">
        <f>VLOOKUP($B372,Pitchers!$A1:$S251,18,FALSE)</f>
        <v>10.5</v>
      </c>
      <c r="AR372" s="31">
        <f>VLOOKUP($B372,Pitchers!$A1:$S251,19,FALSE)</f>
        <v>1</v>
      </c>
    </row>
    <row r="373" spans="1:44" ht="20.100000000000001" customHeight="1">
      <c r="A373" s="25">
        <f ca="1">RANK(I373,I$2:I$651)</f>
        <v>372</v>
      </c>
      <c r="B373" s="26" t="s">
        <v>521</v>
      </c>
      <c r="C373" s="27" t="s">
        <v>101</v>
      </c>
      <c r="D373" s="27" t="s">
        <v>69</v>
      </c>
      <c r="E373" s="40" t="s">
        <v>7</v>
      </c>
      <c r="F373" s="41">
        <f ca="1">VLOOKUP(B373,'1B'!A1:I63,IF(Settings!$J$13="points",4,7),FALSE)</f>
        <v>34</v>
      </c>
      <c r="G373" s="30">
        <f>(M373*Settings!$B$2)+(N373*Settings!$B$3)+(O373*Settings!$B$4)+(P373*Settings!$B$5)+(Q373*Settings!$B$6)+((T373-U373-V373-O373)*Settings!$B$9)+(U373*Settings!$B$10)+(V373*Settings!$B$11)+(W373*Settings!$B$12)+(X373*Settings!$B$13)+(AA373*Settings!$B$16)</f>
        <v>291.94333333333333</v>
      </c>
      <c r="H373" s="31">
        <f>VLOOKUP(B373,'Standard Deviations'!$A1:$D651,4,FALSE)</f>
        <v>-0.49067539969936658</v>
      </c>
      <c r="I373" s="32">
        <f ca="1">IF(Settings!$J$15="no",VLOOKUP(B373,'1B'!A1:I63,IF(Settings!$J$13="points",6,9),FALSE),VLOOKUP(B373,'1B+3B'!$A1:$I104,IF(Settings!$J$13="points",6,9),FALSE))</f>
        <v>-0.71615948792966555</v>
      </c>
      <c r="J373" s="31"/>
      <c r="K373" s="31">
        <f ca="1">J373-A373</f>
        <v>-372</v>
      </c>
      <c r="L373" s="31"/>
      <c r="M373" s="31">
        <f>VLOOKUP($B373,Hitters!$A1:$R401,4,FALSE)</f>
        <v>396.70833333333331</v>
      </c>
      <c r="N373" s="31">
        <f>VLOOKUP($B373,Hitters!$A1:$R401,5,FALSE)</f>
        <v>53.927500000000002</v>
      </c>
      <c r="O373" s="31">
        <f>VLOOKUP($B373,Hitters!$A1:$R401,6,FALSE)</f>
        <v>17.61</v>
      </c>
      <c r="P373" s="31">
        <f>VLOOKUP($B373,Hitters!$A1:$R401,7,FALSE)</f>
        <v>56.945833333333333</v>
      </c>
      <c r="Q373" s="31">
        <f>VLOOKUP($B373,Hitters!$A1:$R401,8,FALSE)</f>
        <v>1.0375000000000001</v>
      </c>
      <c r="R373" s="33">
        <f>VLOOKUP($B373,Hitters!$A$1:$R$401,14,FALSE)</f>
        <v>0.23661380107131608</v>
      </c>
      <c r="S373" s="33">
        <f>VLOOKUP($B373,Hitters!$A$1:$R$401,15,FALSE)</f>
        <v>0.33111376263866155</v>
      </c>
      <c r="T373" s="31">
        <f>VLOOKUP($B373,Hitters!$A$1:$R$401,9,FALSE)</f>
        <v>93.866666666666674</v>
      </c>
      <c r="U373" s="31">
        <f>VLOOKUP($B373,Hitters!$A$1:$R$401,10,FALSE)</f>
        <v>19.465</v>
      </c>
      <c r="V373" s="31">
        <f>VLOOKUP($B373,Hitters!$A$1:$R$401,11,FALSE)</f>
        <v>1.0049999999999999</v>
      </c>
      <c r="W373" s="31">
        <f>VLOOKUP($B373,Hitters!$A$1:$R$401,12,FALSE)</f>
        <v>50.056666666666672</v>
      </c>
      <c r="X373" s="31">
        <f>VLOOKUP($B373,Hitters!$A$1:$R$401,13,FALSE)</f>
        <v>78.466666666666669</v>
      </c>
      <c r="Y373" s="33">
        <f>VLOOKUP($B373,Hitters!$A$1:$R$401,16,FALSE)</f>
        <v>0.42391765570843404</v>
      </c>
      <c r="Z373" s="33">
        <f>VLOOKUP($B373,Hitters!$A$1:$R$401,17,FALSE)</f>
        <v>0.75503141834709564</v>
      </c>
      <c r="AA373" s="31">
        <f>VLOOKUP($B373,Hitters!$A1:$R401,18,FALSE)</f>
        <v>0</v>
      </c>
      <c r="AB373" s="31"/>
      <c r="AC373" s="31"/>
      <c r="AD373" s="33"/>
      <c r="AE373" s="33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</row>
    <row r="374" spans="1:44" ht="18.600000000000001" customHeight="1">
      <c r="A374" s="25">
        <f ca="1">RANK(I374,I$2:I$651)</f>
        <v>373</v>
      </c>
      <c r="B374" s="26" t="s">
        <v>539</v>
      </c>
      <c r="C374" s="27" t="s">
        <v>134</v>
      </c>
      <c r="D374" s="27" t="s">
        <v>74</v>
      </c>
      <c r="E374" s="42" t="s">
        <v>34</v>
      </c>
      <c r="F374" s="43">
        <f ca="1">VLOOKUP(B374,RP!A1:I91,IF(Settings!$J$13="points",4,7),FALSE)</f>
        <v>56</v>
      </c>
      <c r="G374" s="30">
        <f>(AC374*Settings!$F$2)+(AF374*Settings!$F$5)+(AG374*Settings!$F$6)+(AH374*Settings!$F$7)+(AI374*Settings!$F$8)+(AJ374*Settings!$F$9)+(AK374*Settings!$F$10)+(AL374*Settings!$F$11)+(AM374*Settings!$F$12)+(AN374*Settings!$F$13)+(AO374*Settings!$F$14)+(AP374*Settings!$F$15)+(AQ374*Settings!$F$16)+(AR374*Settings!$F$17)</f>
        <v>202.47862222222219</v>
      </c>
      <c r="H374" s="31">
        <f>VLOOKUP(B374,'Standard Deviations'!$A1:$D651,4,FALSE)</f>
        <v>-1.6069773651406454</v>
      </c>
      <c r="I374" s="32">
        <f ca="1">IF(Settings!$J$16="no",VLOOKUP(B374,RP!A1:I91,IF(Settings!$J$13="points",6,9),FALSE),VLOOKUP(B374,'SP+RP'!$A1:$I251,IF(Settings!$J$13="points",6,9),FALSE))</f>
        <v>-0.73939265453309377</v>
      </c>
      <c r="J374" s="31"/>
      <c r="K374" s="31">
        <f ca="1">J374-A374</f>
        <v>-373</v>
      </c>
      <c r="L374" s="31"/>
      <c r="M374" s="31"/>
      <c r="N374" s="31"/>
      <c r="O374" s="31"/>
      <c r="P374" s="31"/>
      <c r="Q374" s="31"/>
      <c r="R374" s="33"/>
      <c r="S374" s="33"/>
      <c r="T374" s="31"/>
      <c r="U374" s="31"/>
      <c r="V374" s="31"/>
      <c r="W374" s="31"/>
      <c r="X374" s="31"/>
      <c r="Y374" s="33"/>
      <c r="Z374" s="33"/>
      <c r="AA374" s="31"/>
      <c r="AB374" s="31"/>
      <c r="AC374" s="31">
        <f>VLOOKUP($B374,Pitchers!$A1:$S251,4,FALSE)</f>
        <v>60.75888888888889</v>
      </c>
      <c r="AD374" s="33">
        <f>VLOOKUP($B374,Pitchers!$A1:$S251,5,FALSE)</f>
        <v>3.7134879212918093</v>
      </c>
      <c r="AE374" s="33">
        <f>VLOOKUP($B374,Pitchers!$A1:$S251,6,FALSE)</f>
        <v>1.2786332132472615</v>
      </c>
      <c r="AF374" s="31">
        <f>VLOOKUP($B374,Pitchers!$A1:$S251,7,FALSE)</f>
        <v>53.285555555555554</v>
      </c>
      <c r="AG374" s="31">
        <f>VLOOKUP($B374,Pitchers!$A1:$S251,8,FALSE)</f>
        <v>3.0016666666666665</v>
      </c>
      <c r="AH374" s="31">
        <f>VLOOKUP($B374,Pitchers!$A1:$S251,9,FALSE)</f>
        <v>12.911111111111111</v>
      </c>
      <c r="AI374" s="31">
        <f>VLOOKUP($B374,Pitchers!$A1:$S251,10,FALSE)</f>
        <v>25.069711111111115</v>
      </c>
      <c r="AJ374" s="31">
        <f>VLOOKUP($B374,Pitchers!$A1:$S251,11,FALSE)</f>
        <v>58.73</v>
      </c>
      <c r="AK374" s="31">
        <f>VLOOKUP($B374,Pitchers!$A1:$S251,12,FALSE)</f>
        <v>18.958333333333336</v>
      </c>
      <c r="AL374" s="31">
        <f>VLOOKUP($B374,Pitchers!$A1:$S251,13,FALSE)</f>
        <v>5.6000000000000005</v>
      </c>
      <c r="AM374" s="31">
        <f>VLOOKUP($B374,Pitchers!$A1:$S251,14,FALSE)</f>
        <v>62.23</v>
      </c>
      <c r="AN374" s="31">
        <f>VLOOKUP($B374,Pitchers!$A1:$S251,15,FALSE)</f>
        <v>0</v>
      </c>
      <c r="AO374" s="31">
        <f>VLOOKUP($B374,Pitchers!$A1:$S251,16,FALSE)</f>
        <v>3.0144444444444445</v>
      </c>
      <c r="AP374" s="31">
        <f>VLOOKUP($B374,Pitchers!$A1:$S251,17,FALSE)</f>
        <v>0</v>
      </c>
      <c r="AQ374" s="31">
        <f>VLOOKUP($B374,Pitchers!$A1:$S251,18,FALSE)</f>
        <v>10.5</v>
      </c>
      <c r="AR374" s="31">
        <f>VLOOKUP($B374,Pitchers!$A1:$S251,19,FALSE)</f>
        <v>8</v>
      </c>
    </row>
    <row r="375" spans="1:44" ht="18.600000000000001" customHeight="1">
      <c r="A375" s="25">
        <f ca="1">RANK(I375,I$2:I$651)</f>
        <v>374</v>
      </c>
      <c r="B375" s="26" t="s">
        <v>448</v>
      </c>
      <c r="C375" s="27" t="s">
        <v>84</v>
      </c>
      <c r="D375" s="27" t="s">
        <v>69</v>
      </c>
      <c r="E375" s="34" t="s">
        <v>15</v>
      </c>
      <c r="F375" s="35">
        <f ca="1">VLOOKUP(B375,'3B'!A1:I55,IF(Settings!$J$13="points",4,7),FALSE)</f>
        <v>26</v>
      </c>
      <c r="G375" s="30">
        <f>(M375*Settings!$B$2)+(N375*Settings!$B$3)+(O375*Settings!$B$4)+(P375*Settings!$B$5)+(Q375*Settings!$B$6)+((T375-U375-V375-O375)*Settings!$B$9)+(U375*Settings!$B$10)+(V375*Settings!$B$11)+(W375*Settings!$B$12)+(X375*Settings!$B$13)+(AA375*Settings!$B$16)</f>
        <v>241.86611111111117</v>
      </c>
      <c r="H375" s="31">
        <f>VLOOKUP(B375,'Standard Deviations'!$A1:$D651,4,FALSE)</f>
        <v>-0.51680451365290958</v>
      </c>
      <c r="I375" s="32">
        <f ca="1">IF(Settings!$J$15="no",VLOOKUP(B375,'3B'!A1:I55,IF(Settings!$J$13="points",6,9),FALSE),VLOOKUP(B375,'1B+3B'!$A1:$I104,IF(Settings!$J$13="points",6,9),FALSE))</f>
        <v>-0.74228573849763946</v>
      </c>
      <c r="J375" s="31"/>
      <c r="K375" s="31">
        <f ca="1">J375-A375</f>
        <v>-374</v>
      </c>
      <c r="L375" s="31"/>
      <c r="M375" s="31">
        <f>VLOOKUP($B375,Hitters!$A1:$R401,4,FALSE)</f>
        <v>378.07777777777778</v>
      </c>
      <c r="N375" s="31">
        <f>VLOOKUP($B375,Hitters!$A1:$R401,5,FALSE)</f>
        <v>46.045555555555552</v>
      </c>
      <c r="O375" s="31">
        <f>VLOOKUP($B375,Hitters!$A1:$R401,6,FALSE)</f>
        <v>11.045555555555557</v>
      </c>
      <c r="P375" s="31">
        <f>VLOOKUP($B375,Hitters!$A1:$R401,7,FALSE)</f>
        <v>48.160000000000004</v>
      </c>
      <c r="Q375" s="31">
        <f>VLOOKUP($B375,Hitters!$A1:$R401,8,FALSE)</f>
        <v>1.0116666666666667</v>
      </c>
      <c r="R375" s="33">
        <f>VLOOKUP($B375,Hitters!$A$1:$R$401,14,FALSE)</f>
        <v>0.26655597025891209</v>
      </c>
      <c r="S375" s="33">
        <f>VLOOKUP($B375,Hitters!$A$1:$R$401,15,FALSE)</f>
        <v>0.32523845687891889</v>
      </c>
      <c r="T375" s="31">
        <f>VLOOKUP($B375,Hitters!$A$1:$R$401,9,FALSE)</f>
        <v>100.7788888888889</v>
      </c>
      <c r="U375" s="31">
        <f>VLOOKUP($B375,Hitters!$A$1:$R$401,10,FALSE)</f>
        <v>19.818888888888889</v>
      </c>
      <c r="V375" s="31">
        <f>VLOOKUP($B375,Hitters!$A$1:$R$401,11,FALSE)</f>
        <v>1.9922222222222221</v>
      </c>
      <c r="W375" s="31">
        <f>VLOOKUP($B375,Hitters!$A$1:$R$401,12,FALSE)</f>
        <v>27.073333333333334</v>
      </c>
      <c r="X375" s="31">
        <f>VLOOKUP($B375,Hitters!$A$1:$R$401,13,FALSE)</f>
        <v>78.31</v>
      </c>
      <c r="Y375" s="33">
        <f>VLOOKUP($B375,Hitters!$A$1:$R$401,16,FALSE)</f>
        <v>0.41715990243042289</v>
      </c>
      <c r="Z375" s="33">
        <f>VLOOKUP($B375,Hitters!$A$1:$R$401,17,FALSE)</f>
        <v>0.74239835930934173</v>
      </c>
      <c r="AA375" s="31">
        <f>VLOOKUP($B375,Hitters!$A1:$R401,18,FALSE)</f>
        <v>0</v>
      </c>
      <c r="AB375" s="31"/>
      <c r="AC375" s="31"/>
      <c r="AD375" s="33"/>
      <c r="AE375" s="33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</row>
    <row r="376" spans="1:44" ht="18.600000000000001" customHeight="1">
      <c r="A376" s="25">
        <f ca="1">RANK(I376,I$2:I$651)</f>
        <v>375</v>
      </c>
      <c r="B376" s="26" t="s">
        <v>491</v>
      </c>
      <c r="C376" s="27" t="s">
        <v>217</v>
      </c>
      <c r="D376" s="27" t="s">
        <v>74</v>
      </c>
      <c r="E376" s="40" t="s">
        <v>7</v>
      </c>
      <c r="F376" s="41">
        <f ca="1">VLOOKUP(B376,'1B'!A1:I63,IF(Settings!$J$13="points",4,7),FALSE)</f>
        <v>35</v>
      </c>
      <c r="G376" s="30">
        <f>(M376*Settings!$B$2)+(N376*Settings!$B$3)+(O376*Settings!$B$4)+(P376*Settings!$B$5)+(Q376*Settings!$B$6)+((T376-U376-V376-O376)*Settings!$B$9)+(U376*Settings!$B$10)+(V376*Settings!$B$11)+(W376*Settings!$B$12)+(X376*Settings!$B$13)+(AA376*Settings!$B$16)</f>
        <v>273.20000000000005</v>
      </c>
      <c r="H376" s="31">
        <f>VLOOKUP(B376,'Standard Deviations'!$A1:$D651,4,FALSE)</f>
        <v>-0.53276238999487435</v>
      </c>
      <c r="I376" s="32">
        <f ca="1">IF(Settings!$J$15="no",VLOOKUP(B376,'1B'!A1:I63,IF(Settings!$J$13="points",6,9),FALSE),VLOOKUP(B376,'1B+3B'!$A1:$I104,IF(Settings!$J$13="points",6,9),FALSE))</f>
        <v>-0.75824593572575827</v>
      </c>
      <c r="J376" s="31"/>
      <c r="K376" s="31">
        <f ca="1">J376-A376</f>
        <v>-375</v>
      </c>
      <c r="L376" s="31"/>
      <c r="M376" s="31">
        <f>VLOOKUP($B376,Hitters!$A1:$R401,4,FALSE)</f>
        <v>396.7166666666667</v>
      </c>
      <c r="N376" s="31">
        <f>VLOOKUP($B376,Hitters!$A1:$R401,5,FALSE)</f>
        <v>51.891666666666673</v>
      </c>
      <c r="O376" s="31">
        <f>VLOOKUP($B376,Hitters!$A1:$R401,6,FALSE)</f>
        <v>14.463333333333333</v>
      </c>
      <c r="P376" s="31">
        <f>VLOOKUP($B376,Hitters!$A1:$R401,7,FALSE)</f>
        <v>52.396666666666668</v>
      </c>
      <c r="Q376" s="31">
        <f>VLOOKUP($B376,Hitters!$A1:$R401,8,FALSE)</f>
        <v>1</v>
      </c>
      <c r="R376" s="33">
        <f>VLOOKUP($B376,Hitters!$A$1:$R$401,14,FALSE)</f>
        <v>0.24924169222366926</v>
      </c>
      <c r="S376" s="33">
        <f>VLOOKUP($B376,Hitters!$A$1:$R$401,15,FALSE)</f>
        <v>0.32594592499394237</v>
      </c>
      <c r="T376" s="31">
        <f>VLOOKUP($B376,Hitters!$A$1:$R$401,9,FALSE)</f>
        <v>98.87833333333333</v>
      </c>
      <c r="U376" s="31">
        <f>VLOOKUP($B376,Hitters!$A$1:$R$401,10,FALSE)</f>
        <v>19.600000000000001</v>
      </c>
      <c r="V376" s="31">
        <f>VLOOKUP($B376,Hitters!$A$1:$R$401,11,FALSE)</f>
        <v>1.0033333333333334</v>
      </c>
      <c r="W376" s="31">
        <f>VLOOKUP($B376,Hitters!$A$1:$R$401,12,FALSE)</f>
        <v>39.063333333333333</v>
      </c>
      <c r="X376" s="31">
        <f>VLOOKUP($B376,Hitters!$A$1:$R$401,13,FALSE)</f>
        <v>72.053333333333327</v>
      </c>
      <c r="Y376" s="33">
        <f>VLOOKUP($B376,Hitters!$A$1:$R$401,16,FALSE)</f>
        <v>0.41307818342225772</v>
      </c>
      <c r="Z376" s="33">
        <f>VLOOKUP($B376,Hitters!$A$1:$R$401,17,FALSE)</f>
        <v>0.73902410841620014</v>
      </c>
      <c r="AA376" s="31">
        <f>VLOOKUP($B376,Hitters!$A1:$R401,18,FALSE)</f>
        <v>0</v>
      </c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</row>
    <row r="377" spans="1:44" ht="18.600000000000001" customHeight="1">
      <c r="A377" s="25">
        <f ca="1">RANK(I377,I$2:I$651)</f>
        <v>376</v>
      </c>
      <c r="B377" s="26" t="s">
        <v>433</v>
      </c>
      <c r="C377" s="27" t="s">
        <v>137</v>
      </c>
      <c r="D377" s="27" t="s">
        <v>74</v>
      </c>
      <c r="E377" s="36" t="s">
        <v>31</v>
      </c>
      <c r="F377" s="37">
        <f ca="1">VLOOKUP(B377,SP!A1:I161,IF(Settings!$J$13="points",4,7),FALSE)</f>
        <v>103</v>
      </c>
      <c r="G377" s="30">
        <f>(AC377*Settings!$F$2)+(AF377*Settings!$F$5)+(AG377*Settings!$F$6)+(AH377*Settings!$F$7)+(AI377*Settings!$F$8)+(AJ377*Settings!$F$9)+(AK377*Settings!$F$10)+(AL377*Settings!$F$11)+(AM377*Settings!$F$12)+(AN377*Settings!$F$13)+(AO377*Settings!$F$14)+(AP377*Settings!$F$15)+(AQ377*Settings!$F$16)+(AR377*Settings!$F$17)</f>
        <v>285.03500000000003</v>
      </c>
      <c r="H377" s="31">
        <f>VLOOKUP(B377,'Standard Deviations'!$A1:$D651,4,FALSE)</f>
        <v>-1.6262996847610351</v>
      </c>
      <c r="I377" s="32">
        <f ca="1">IF(Settings!$J$16="no",VLOOKUP(B377,SP!A1:I161,IF(Settings!$J$13="points",6,9),FALSE),VLOOKUP(B377,'SP+RP'!$A1:$I251,IF(Settings!$J$13="points",6,9),FALSE))</f>
        <v>-0.75871623377020714</v>
      </c>
      <c r="J377" s="31"/>
      <c r="K377" s="31">
        <f ca="1">J377-A377</f>
        <v>-376</v>
      </c>
      <c r="L377" s="31"/>
      <c r="M377" s="31"/>
      <c r="N377" s="31"/>
      <c r="O377" s="31"/>
      <c r="P377" s="31"/>
      <c r="Q377" s="31"/>
      <c r="R377" s="33"/>
      <c r="S377" s="33"/>
      <c r="T377" s="31"/>
      <c r="U377" s="31"/>
      <c r="V377" s="31"/>
      <c r="W377" s="31"/>
      <c r="X377" s="31"/>
      <c r="Y377" s="33"/>
      <c r="Z377" s="33"/>
      <c r="AA377" s="31"/>
      <c r="AB377" s="31"/>
      <c r="AC377" s="31">
        <f>VLOOKUP($B377,Pitchers!$A1:$S251,4,FALSE)</f>
        <v>141.81333333333333</v>
      </c>
      <c r="AD377" s="33">
        <f>VLOOKUP($B377,Pitchers!$A1:$S251,5,FALSE)</f>
        <v>4.1593056600225653</v>
      </c>
      <c r="AE377" s="33">
        <f>VLOOKUP($B377,Pitchers!$A1:$S251,6,FALSE)</f>
        <v>1.2921916133884919</v>
      </c>
      <c r="AF377" s="31">
        <f>VLOOKUP($B377,Pitchers!$A1:$S251,7,FALSE)</f>
        <v>132.91</v>
      </c>
      <c r="AG377" s="31">
        <f>VLOOKUP($B377,Pitchers!$A1:$S251,8,FALSE)</f>
        <v>7.0266666666666664</v>
      </c>
      <c r="AH377" s="31">
        <f>VLOOKUP($B377,Pitchers!$A1:$S251,9,FALSE)</f>
        <v>0</v>
      </c>
      <c r="AI377" s="31">
        <f>VLOOKUP($B377,Pitchers!$A1:$S251,10,FALSE)</f>
        <v>65.538333333333341</v>
      </c>
      <c r="AJ377" s="31">
        <f>VLOOKUP($B377,Pitchers!$A1:$S251,11,FALSE)</f>
        <v>131.93333333333334</v>
      </c>
      <c r="AK377" s="31">
        <f>VLOOKUP($B377,Pitchers!$A1:$S251,12,FALSE)</f>
        <v>51.316666666666663</v>
      </c>
      <c r="AL377" s="31">
        <f>VLOOKUP($B377,Pitchers!$A1:$S251,13,FALSE)</f>
        <v>19.7</v>
      </c>
      <c r="AM377" s="31">
        <f>VLOOKUP($B377,Pitchers!$A1:$S251,14,FALSE)</f>
        <v>28.465</v>
      </c>
      <c r="AN377" s="31">
        <f>VLOOKUP($B377,Pitchers!$A1:$S251,15,FALSE)</f>
        <v>28.131666666666664</v>
      </c>
      <c r="AO377" s="31">
        <f>VLOOKUP($B377,Pitchers!$A1:$S251,16,FALSE)</f>
        <v>8.6516666666666655</v>
      </c>
      <c r="AP377" s="31">
        <f>VLOOKUP($B377,Pitchers!$A1:$S251,17,FALSE)</f>
        <v>12</v>
      </c>
      <c r="AQ377" s="31">
        <f>VLOOKUP($B377,Pitchers!$A1:$S251,18,FALSE)</f>
        <v>0</v>
      </c>
      <c r="AR377" s="31">
        <f>VLOOKUP($B377,Pitchers!$A1:$S251,19,FALSE)</f>
        <v>0</v>
      </c>
    </row>
    <row r="378" spans="1:44" ht="18.600000000000001" customHeight="1">
      <c r="A378" s="25">
        <f ca="1">RANK(I378,I$2:I$651)</f>
        <v>377</v>
      </c>
      <c r="B378" s="26" t="s">
        <v>640</v>
      </c>
      <c r="C378" s="27" t="s">
        <v>120</v>
      </c>
      <c r="D378" s="27" t="s">
        <v>74</v>
      </c>
      <c r="E378" s="28" t="s">
        <v>23</v>
      </c>
      <c r="F378" s="29">
        <f ca="1">VLOOKUP(B378,OF!A1:I139,IF(Settings!$J$13="points",4,7),FALSE)</f>
        <v>84</v>
      </c>
      <c r="G378" s="30">
        <f>(M378*Settings!$B$2)+(N378*Settings!$B$3)+(O378*Settings!$B$4)+(P378*Settings!$B$5)+(Q378*Settings!$B$6)+((T378-U378-V378-O378)*Settings!$B$9)+(U378*Settings!$B$10)+(V378*Settings!$B$11)+(W378*Settings!$B$12)+(X378*Settings!$B$13)+(AA378*Settings!$B$16)</f>
        <v>218.83249999999998</v>
      </c>
      <c r="H378" s="31">
        <f>VLOOKUP(B378,'Standard Deviations'!$A1:$D651,4,FALSE)</f>
        <v>-0.9467118892167653</v>
      </c>
      <c r="I378" s="32">
        <f ca="1">VLOOKUP(B378,OF!A1:I139,IF(Settings!$J$13="points",6,9),FALSE)</f>
        <v>-0.78978281165048969</v>
      </c>
      <c r="J378" s="31"/>
      <c r="K378" s="31">
        <f ca="1">J378-A378</f>
        <v>-377</v>
      </c>
      <c r="L378" s="31"/>
      <c r="M378" s="31">
        <f>VLOOKUP($B378,Hitters!$A1:$R401,4,FALSE)</f>
        <v>330.76666666666665</v>
      </c>
      <c r="N378" s="31">
        <f>VLOOKUP($B378,Hitters!$A1:$R401,5,FALSE)</f>
        <v>43.166666666666664</v>
      </c>
      <c r="O378" s="31">
        <f>VLOOKUP($B378,Hitters!$A1:$R401,6,FALSE)</f>
        <v>7.43</v>
      </c>
      <c r="P378" s="31">
        <f>VLOOKUP($B378,Hitters!$A1:$R401,7,FALSE)</f>
        <v>38.783333333333331</v>
      </c>
      <c r="Q378" s="31">
        <f>VLOOKUP($B378,Hitters!$A1:$R401,8,FALSE)</f>
        <v>6.6722222222222216</v>
      </c>
      <c r="R378" s="33">
        <f>VLOOKUP($B378,Hitters!$A$1:$R$401,14,FALSE)</f>
        <v>0.26229298935133866</v>
      </c>
      <c r="S378" s="33">
        <f>VLOOKUP($B378,Hitters!$A$1:$R$401,15,FALSE)</f>
        <v>0.32291996390095967</v>
      </c>
      <c r="T378" s="31">
        <f>VLOOKUP($B378,Hitters!$A$1:$R$401,9,FALSE)</f>
        <v>86.757777777777775</v>
      </c>
      <c r="U378" s="31">
        <f>VLOOKUP($B378,Hitters!$A$1:$R$401,10,FALSE)</f>
        <v>17.955555555555556</v>
      </c>
      <c r="V378" s="31">
        <f>VLOOKUP($B378,Hitters!$A$1:$R$401,11,FALSE)</f>
        <v>2.9444444444444442</v>
      </c>
      <c r="W378" s="31">
        <f>VLOOKUP($B378,Hitters!$A$1:$R$401,12,FALSE)</f>
        <v>24.50333333333333</v>
      </c>
      <c r="X378" s="31">
        <f>VLOOKUP($B378,Hitters!$A$1:$R$401,13,FALSE)</f>
        <v>67.715000000000003</v>
      </c>
      <c r="Y378" s="33">
        <f>VLOOKUP($B378,Hitters!$A$1:$R$401,16,FALSE)</f>
        <v>0.40177029796096603</v>
      </c>
      <c r="Z378" s="33">
        <f>VLOOKUP($B378,Hitters!$A$1:$R$401,17,FALSE)</f>
        <v>0.72469026186192576</v>
      </c>
      <c r="AA378" s="31">
        <f>VLOOKUP($B378,Hitters!$A1:$R401,18,FALSE)</f>
        <v>0</v>
      </c>
      <c r="AB378" s="31"/>
      <c r="AC378" s="31"/>
      <c r="AD378" s="33"/>
      <c r="AE378" s="33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</row>
    <row r="379" spans="1:44" ht="18.600000000000001" customHeight="1">
      <c r="A379" s="25">
        <f ca="1">RANK(I379,I$2:I$651)</f>
        <v>378</v>
      </c>
      <c r="B379" s="26" t="s">
        <v>401</v>
      </c>
      <c r="C379" s="27" t="s">
        <v>97</v>
      </c>
      <c r="D379" s="27" t="s">
        <v>74</v>
      </c>
      <c r="E379" s="28" t="s">
        <v>23</v>
      </c>
      <c r="F379" s="29">
        <f ca="1">VLOOKUP(B379,OF!A1:I139,IF(Settings!$J$13="points",4,7),FALSE)</f>
        <v>85</v>
      </c>
      <c r="G379" s="30">
        <f>(M379*Settings!$B$2)+(N379*Settings!$B$3)+(O379*Settings!$B$4)+(P379*Settings!$B$5)+(Q379*Settings!$B$6)+((T379-U379-V379-O379)*Settings!$B$9)+(U379*Settings!$B$10)+(V379*Settings!$B$11)+(W379*Settings!$B$12)+(X379*Settings!$B$13)+(AA379*Settings!$B$16)</f>
        <v>239.87833333333333</v>
      </c>
      <c r="H379" s="31">
        <f>VLOOKUP(B379,'Standard Deviations'!$A1:$D651,4,FALSE)</f>
        <v>-0.95346955487048102</v>
      </c>
      <c r="I379" s="32">
        <f ca="1">VLOOKUP(B379,OF!A1:I139,IF(Settings!$J$13="points",6,9),FALSE)</f>
        <v>-0.79653876190532769</v>
      </c>
      <c r="J379" s="31"/>
      <c r="K379" s="31">
        <f ca="1">J379-A379</f>
        <v>-378</v>
      </c>
      <c r="L379" s="31"/>
      <c r="M379" s="31">
        <f>VLOOKUP($B379,Hitters!$A1:$R401,4,FALSE)</f>
        <v>371.93333333333334</v>
      </c>
      <c r="N379" s="31">
        <f>VLOOKUP($B379,Hitters!$A1:$R401,5,FALSE)</f>
        <v>46.771666666666668</v>
      </c>
      <c r="O379" s="31">
        <f>VLOOKUP($B379,Hitters!$A1:$R401,6,FALSE)</f>
        <v>15.464999999999998</v>
      </c>
      <c r="P379" s="31">
        <f>VLOOKUP($B379,Hitters!$A1:$R401,7,FALSE)</f>
        <v>50.485000000000007</v>
      </c>
      <c r="Q379" s="31">
        <f>VLOOKUP($B379,Hitters!$A1:$R401,8,FALSE)</f>
        <v>5.085</v>
      </c>
      <c r="R379" s="33">
        <f>VLOOKUP($B379,Hitters!$A$1:$R$401,14,FALSE)</f>
        <v>0.23377397383043552</v>
      </c>
      <c r="S379" s="33">
        <f>VLOOKUP($B379,Hitters!$A$1:$R$401,15,FALSE)</f>
        <v>0.29411504382054654</v>
      </c>
      <c r="T379" s="31">
        <f>VLOOKUP($B379,Hitters!$A$1:$R$401,9,FALSE)</f>
        <v>86.948333333333323</v>
      </c>
      <c r="U379" s="31">
        <f>VLOOKUP($B379,Hitters!$A$1:$R$401,10,FALSE)</f>
        <v>18.126666666666669</v>
      </c>
      <c r="V379" s="31">
        <f>VLOOKUP($B379,Hitters!$A$1:$R$401,11,FALSE)</f>
        <v>2.0716666666666668</v>
      </c>
      <c r="W379" s="31">
        <f>VLOOKUP($B379,Hitters!$A$1:$R$401,12,FALSE)</f>
        <v>25.594999999999999</v>
      </c>
      <c r="X379" s="31">
        <f>VLOOKUP($B379,Hitters!$A$1:$R$401,13,FALSE)</f>
        <v>97.513333333333335</v>
      </c>
      <c r="Y379" s="33">
        <f>VLOOKUP($B379,Hitters!$A$1:$R$401,16,FALSE)</f>
        <v>0.41839039254346649</v>
      </c>
      <c r="Z379" s="33">
        <f>VLOOKUP($B379,Hitters!$A$1:$R$401,17,FALSE)</f>
        <v>0.71250543636401309</v>
      </c>
      <c r="AA379" s="31">
        <f>VLOOKUP($B379,Hitters!$A1:$R401,18,FALSE)</f>
        <v>0</v>
      </c>
      <c r="AB379" s="31"/>
      <c r="AC379" s="31"/>
      <c r="AD379" s="33"/>
      <c r="AE379" s="33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</row>
    <row r="380" spans="1:44" ht="18.600000000000001" customHeight="1">
      <c r="A380" s="25">
        <f ca="1">RANK(I380,I$2:I$651)</f>
        <v>379</v>
      </c>
      <c r="B380" s="26" t="s">
        <v>462</v>
      </c>
      <c r="C380" s="27" t="s">
        <v>156</v>
      </c>
      <c r="D380" s="27" t="s">
        <v>69</v>
      </c>
      <c r="E380" s="42" t="s">
        <v>34</v>
      </c>
      <c r="F380" s="43">
        <f ca="1">VLOOKUP(B380,RP!A1:I91,IF(Settings!$J$13="points",4,7),FALSE)</f>
        <v>57</v>
      </c>
      <c r="G380" s="30">
        <f>(AC380*Settings!$F$2)+(AF380*Settings!$F$5)+(AG380*Settings!$F$6)+(AH380*Settings!$F$7)+(AI380*Settings!$F$8)+(AJ380*Settings!$F$9)+(AK380*Settings!$F$10)+(AL380*Settings!$F$11)+(AM380*Settings!$F$12)+(AN380*Settings!$F$13)+(AO380*Settings!$F$14)+(AP380*Settings!$F$15)+(AQ380*Settings!$F$16)+(AR380*Settings!$F$17)</f>
        <v>244.88666666666663</v>
      </c>
      <c r="H380" s="31">
        <f>VLOOKUP(B380,'Standard Deviations'!$A1:$D651,4,FALSE)</f>
        <v>-1.698842066507825</v>
      </c>
      <c r="I380" s="32">
        <f ca="1">IF(Settings!$J$16="no",VLOOKUP(B380,RP!A1:I91,IF(Settings!$J$13="points",6,9),FALSE),VLOOKUP(B380,'SP+RP'!$A1:$I251,IF(Settings!$J$13="points",6,9),FALSE))</f>
        <v>-0.83126311532520392</v>
      </c>
      <c r="J380" s="31"/>
      <c r="K380" s="31">
        <f ca="1">J380-A380</f>
        <v>-379</v>
      </c>
      <c r="L380" s="31"/>
      <c r="M380" s="31"/>
      <c r="N380" s="31"/>
      <c r="O380" s="31"/>
      <c r="P380" s="31"/>
      <c r="Q380" s="31"/>
      <c r="R380" s="33"/>
      <c r="S380" s="33"/>
      <c r="T380" s="31"/>
      <c r="U380" s="31"/>
      <c r="V380" s="31"/>
      <c r="W380" s="31"/>
      <c r="X380" s="31"/>
      <c r="Y380" s="33"/>
      <c r="Z380" s="33"/>
      <c r="AA380" s="31"/>
      <c r="AB380" s="31"/>
      <c r="AC380" s="31">
        <f>VLOOKUP($B380,Pitchers!$A1:$S251,4,FALSE)</f>
        <v>68.173333333333332</v>
      </c>
      <c r="AD380" s="33">
        <f>VLOOKUP($B380,Pitchers!$A1:$S251,5,FALSE)</f>
        <v>3.9902699002542534</v>
      </c>
      <c r="AE380" s="33">
        <f>VLOOKUP($B380,Pitchers!$A1:$S251,6,FALSE)</f>
        <v>1.3113957885129408</v>
      </c>
      <c r="AF380" s="31">
        <f>VLOOKUP($B380,Pitchers!$A1:$S251,7,FALSE)</f>
        <v>66.86333333333333</v>
      </c>
      <c r="AG380" s="31">
        <f>VLOOKUP($B380,Pitchers!$A1:$S251,8,FALSE)</f>
        <v>3.0550000000000002</v>
      </c>
      <c r="AH380" s="31">
        <f>VLOOKUP($B380,Pitchers!$A1:$S251,9,FALSE)</f>
        <v>17.366666666666667</v>
      </c>
      <c r="AI380" s="31">
        <f>VLOOKUP($B380,Pitchers!$A1:$S251,10,FALSE)</f>
        <v>30.225555555555555</v>
      </c>
      <c r="AJ380" s="31">
        <f>VLOOKUP($B380,Pitchers!$A1:$S251,11,FALSE)</f>
        <v>64.566666666666663</v>
      </c>
      <c r="AK380" s="31">
        <f>VLOOKUP($B380,Pitchers!$A1:$S251,12,FALSE)</f>
        <v>24.835555555555555</v>
      </c>
      <c r="AL380" s="31">
        <f>VLOOKUP($B380,Pitchers!$A1:$S251,13,FALSE)</f>
        <v>7.2666666666666666</v>
      </c>
      <c r="AM380" s="31">
        <f>VLOOKUP($B380,Pitchers!$A1:$S251,14,FALSE)</f>
        <v>62.864444444444445</v>
      </c>
      <c r="AN380" s="31">
        <f>VLOOKUP($B380,Pitchers!$A1:$S251,15,FALSE)</f>
        <v>0.33333333333333331</v>
      </c>
      <c r="AO380" s="31">
        <f>VLOOKUP($B380,Pitchers!$A1:$S251,16,FALSE)</f>
        <v>3.2777777777777781</v>
      </c>
      <c r="AP380" s="31">
        <f>VLOOKUP($B380,Pitchers!$A1:$S251,17,FALSE)</f>
        <v>0</v>
      </c>
      <c r="AQ380" s="31">
        <f>VLOOKUP($B380,Pitchers!$A1:$S251,18,FALSE)</f>
        <v>3.5</v>
      </c>
      <c r="AR380" s="31">
        <f>VLOOKUP($B380,Pitchers!$A1:$S251,19,FALSE)</f>
        <v>1</v>
      </c>
    </row>
    <row r="381" spans="1:44" ht="18.600000000000001" customHeight="1">
      <c r="A381" s="25">
        <f ca="1">RANK(I381,I$2:I$651)</f>
        <v>380</v>
      </c>
      <c r="B381" s="26" t="s">
        <v>538</v>
      </c>
      <c r="C381" s="27" t="s">
        <v>114</v>
      </c>
      <c r="D381" s="27" t="s">
        <v>69</v>
      </c>
      <c r="E381" s="36" t="s">
        <v>31</v>
      </c>
      <c r="F381" s="37">
        <f ca="1">VLOOKUP(B381,SP!A1:I161,IF(Settings!$J$13="points",4,7),FALSE)</f>
        <v>104</v>
      </c>
      <c r="G381" s="30">
        <f>(AC381*Settings!$F$2)+(AF381*Settings!$F$5)+(AG381*Settings!$F$6)+(AH381*Settings!$F$7)+(AI381*Settings!$F$8)+(AJ381*Settings!$F$9)+(AK381*Settings!$F$10)+(AL381*Settings!$F$11)+(AM381*Settings!$F$12)+(AN381*Settings!$F$13)+(AO381*Settings!$F$14)+(AP381*Settings!$F$15)+(AQ381*Settings!$F$16)+(AR381*Settings!$F$17)</f>
        <v>267.54444444444448</v>
      </c>
      <c r="H381" s="31">
        <f>VLOOKUP(B381,'Standard Deviations'!$A1:$D651,4,FALSE)</f>
        <v>-1.7187716458497151</v>
      </c>
      <c r="I381" s="32">
        <f ca="1">IF(Settings!$J$16="no",VLOOKUP(B381,SP!A1:I161,IF(Settings!$J$13="points",6,9),FALSE),VLOOKUP(B381,'SP+RP'!$A1:$I251,IF(Settings!$J$13="points",6,9),FALSE))</f>
        <v>-0.8511945367742153</v>
      </c>
      <c r="J381" s="31"/>
      <c r="K381" s="31">
        <f ca="1">J381-A381</f>
        <v>-380</v>
      </c>
      <c r="L381" s="31"/>
      <c r="M381" s="31"/>
      <c r="N381" s="31"/>
      <c r="O381" s="31"/>
      <c r="P381" s="31"/>
      <c r="Q381" s="31"/>
      <c r="R381" s="33"/>
      <c r="S381" s="33"/>
      <c r="T381" s="31"/>
      <c r="U381" s="31"/>
      <c r="V381" s="31"/>
      <c r="W381" s="31"/>
      <c r="X381" s="31"/>
      <c r="Y381" s="33"/>
      <c r="Z381" s="33"/>
      <c r="AA381" s="31"/>
      <c r="AB381" s="31"/>
      <c r="AC381" s="31">
        <f>VLOOKUP($B381,Pitchers!$A1:$S251,4,FALSE)</f>
        <v>135.84</v>
      </c>
      <c r="AD381" s="33">
        <f>VLOOKUP($B381,Pitchers!$A1:$S251,5,FALSE)</f>
        <v>4.2314487632508833</v>
      </c>
      <c r="AE381" s="33">
        <f>VLOOKUP($B381,Pitchers!$A1:$S251,6,FALSE)</f>
        <v>1.2853356890459364</v>
      </c>
      <c r="AF381" s="31">
        <f>VLOOKUP($B381,Pitchers!$A1:$S251,7,FALSE)</f>
        <v>133.73333333333332</v>
      </c>
      <c r="AG381" s="31">
        <f>VLOOKUP($B381,Pitchers!$A1:$S251,8,FALSE)</f>
        <v>6.9511111111111106</v>
      </c>
      <c r="AH381" s="31">
        <f>VLOOKUP($B381,Pitchers!$A1:$S251,9,FALSE)</f>
        <v>0</v>
      </c>
      <c r="AI381" s="31">
        <f>VLOOKUP($B381,Pitchers!$A1:$S251,10,FALSE)</f>
        <v>63.866666666666667</v>
      </c>
      <c r="AJ381" s="31">
        <f>VLOOKUP($B381,Pitchers!$A1:$S251,11,FALSE)</f>
        <v>118.73333333333333</v>
      </c>
      <c r="AK381" s="31">
        <f>VLOOKUP($B381,Pitchers!$A1:$S251,12,FALSE)</f>
        <v>55.866666666666667</v>
      </c>
      <c r="AL381" s="31">
        <f>VLOOKUP($B381,Pitchers!$A1:$S251,13,FALSE)</f>
        <v>20.666666666666668</v>
      </c>
      <c r="AM381" s="31">
        <f>VLOOKUP($B381,Pitchers!$A1:$S251,14,FALSE)</f>
        <v>31.102222222222224</v>
      </c>
      <c r="AN381" s="31">
        <f>VLOOKUP($B381,Pitchers!$A1:$S251,15,FALSE)</f>
        <v>25.535555555555558</v>
      </c>
      <c r="AO381" s="31">
        <f>VLOOKUP($B381,Pitchers!$A1:$S251,16,FALSE)</f>
        <v>8.8066666666666666</v>
      </c>
      <c r="AP381" s="31">
        <f>VLOOKUP($B381,Pitchers!$A1:$S251,17,FALSE)</f>
        <v>9</v>
      </c>
      <c r="AQ381" s="31">
        <f>VLOOKUP($B381,Pitchers!$A1:$S251,18,FALSE)</f>
        <v>2.5</v>
      </c>
      <c r="AR381" s="31">
        <f>VLOOKUP($B381,Pitchers!$A1:$S251,19,FALSE)</f>
        <v>0</v>
      </c>
    </row>
    <row r="382" spans="1:44" ht="18.600000000000001" customHeight="1">
      <c r="A382" s="25">
        <f ca="1">RANK(I382,I$2:I$651)</f>
        <v>381</v>
      </c>
      <c r="B382" s="26" t="s">
        <v>540</v>
      </c>
      <c r="C382" s="27" t="s">
        <v>91</v>
      </c>
      <c r="D382" s="27" t="s">
        <v>74</v>
      </c>
      <c r="E382" s="36" t="s">
        <v>31</v>
      </c>
      <c r="F382" s="37">
        <f ca="1">VLOOKUP(B382,SP!A1:I161,IF(Settings!$J$13="points",4,7),FALSE)</f>
        <v>105</v>
      </c>
      <c r="G382" s="30">
        <f>(AC382*Settings!$F$2)+(AF382*Settings!$F$5)+(AG382*Settings!$F$6)+(AH382*Settings!$F$7)+(AI382*Settings!$F$8)+(AJ382*Settings!$F$9)+(AK382*Settings!$F$10)+(AL382*Settings!$F$11)+(AM382*Settings!$F$12)+(AN382*Settings!$F$13)+(AO382*Settings!$F$14)+(AP382*Settings!$F$15)+(AQ382*Settings!$F$16)+(AR382*Settings!$F$17)</f>
        <v>217.18644444444439</v>
      </c>
      <c r="H382" s="31">
        <f>VLOOKUP(B382,'Standard Deviations'!$A1:$D651,4,FALSE)</f>
        <v>-1.733277655412127</v>
      </c>
      <c r="I382" s="32">
        <f ca="1">IF(Settings!$J$16="no",VLOOKUP(B382,SP!A1:I161,IF(Settings!$J$13="points",6,9),FALSE),VLOOKUP(B382,'SP+RP'!$A1:$I251,IF(Settings!$J$13="points",6,9),FALSE))</f>
        <v>-0.86569934362485812</v>
      </c>
      <c r="J382" s="31"/>
      <c r="K382" s="31">
        <f ca="1">J382-A382</f>
        <v>-381</v>
      </c>
      <c r="L382" s="31"/>
      <c r="M382" s="31"/>
      <c r="N382" s="31"/>
      <c r="O382" s="31"/>
      <c r="P382" s="31"/>
      <c r="Q382" s="31"/>
      <c r="R382" s="33"/>
      <c r="S382" s="33"/>
      <c r="T382" s="31"/>
      <c r="U382" s="31"/>
      <c r="V382" s="31"/>
      <c r="W382" s="31"/>
      <c r="X382" s="31"/>
      <c r="Y382" s="33"/>
      <c r="Z382" s="33"/>
      <c r="AA382" s="31"/>
      <c r="AB382" s="31"/>
      <c r="AC382" s="31">
        <f>VLOOKUP($B382,Pitchers!$A1:$S251,4,FALSE)</f>
        <v>103.94333333333333</v>
      </c>
      <c r="AD382" s="33">
        <f>VLOOKUP($B382,Pitchers!$A1:$S251,5,FALSE)</f>
        <v>4.1746977519802462</v>
      </c>
      <c r="AE382" s="33">
        <f>VLOOKUP($B382,Pitchers!$A1:$S251,6,FALSE)</f>
        <v>1.2045665907706122</v>
      </c>
      <c r="AF382" s="31">
        <f>VLOOKUP($B382,Pitchers!$A1:$S251,7,FALSE)</f>
        <v>93.867777777777789</v>
      </c>
      <c r="AG382" s="31">
        <f>VLOOKUP($B382,Pitchers!$A1:$S251,8,FALSE)</f>
        <v>6.3122222222222222</v>
      </c>
      <c r="AH382" s="31">
        <f>VLOOKUP($B382,Pitchers!$A1:$S251,9,FALSE)</f>
        <v>0</v>
      </c>
      <c r="AI382" s="31">
        <f>VLOOKUP($B382,Pitchers!$A1:$S251,10,FALSE)</f>
        <v>48.214666666666666</v>
      </c>
      <c r="AJ382" s="31">
        <f>VLOOKUP($B382,Pitchers!$A1:$S251,11,FALSE)</f>
        <v>100.77</v>
      </c>
      <c r="AK382" s="31">
        <f>VLOOKUP($B382,Pitchers!$A1:$S251,12,FALSE)</f>
        <v>24.436666666666667</v>
      </c>
      <c r="AL382" s="31">
        <f>VLOOKUP($B382,Pitchers!$A1:$S251,13,FALSE)</f>
        <v>16.633333333333333</v>
      </c>
      <c r="AM382" s="31">
        <f>VLOOKUP($B382,Pitchers!$A1:$S251,14,FALSE)</f>
        <v>33.055</v>
      </c>
      <c r="AN382" s="31">
        <f>VLOOKUP($B382,Pitchers!$A1:$S251,15,FALSE)</f>
        <v>15.877777777777778</v>
      </c>
      <c r="AO382" s="31">
        <f>VLOOKUP($B382,Pitchers!$A1:$S251,16,FALSE)</f>
        <v>5.4683333333333337</v>
      </c>
      <c r="AP382" s="31">
        <f>VLOOKUP($B382,Pitchers!$A1:$S251,17,FALSE)</f>
        <v>5</v>
      </c>
      <c r="AQ382" s="31">
        <f>VLOOKUP($B382,Pitchers!$A1:$S251,18,FALSE)</f>
        <v>2</v>
      </c>
      <c r="AR382" s="31">
        <f>VLOOKUP($B382,Pitchers!$A1:$S251,19,FALSE)</f>
        <v>0</v>
      </c>
    </row>
    <row r="383" spans="1:44" ht="18.600000000000001" customHeight="1">
      <c r="A383" s="25">
        <f ca="1">RANK(I383,I$2:I$651)</f>
        <v>382</v>
      </c>
      <c r="B383" s="26" t="s">
        <v>359</v>
      </c>
      <c r="C383" s="27" t="s">
        <v>134</v>
      </c>
      <c r="D383" s="27" t="s">
        <v>74</v>
      </c>
      <c r="E383" s="36" t="s">
        <v>31</v>
      </c>
      <c r="F383" s="37">
        <f ca="1">VLOOKUP(B383,SP!A1:I161,IF(Settings!$J$13="points",4,7),FALSE)</f>
        <v>106</v>
      </c>
      <c r="G383" s="30">
        <f>(AC383*Settings!$F$2)+(AF383*Settings!$F$5)+(AG383*Settings!$F$6)+(AH383*Settings!$F$7)+(AI383*Settings!$F$8)+(AJ383*Settings!$F$9)+(AK383*Settings!$F$10)+(AL383*Settings!$F$11)+(AM383*Settings!$F$12)+(AN383*Settings!$F$13)+(AO383*Settings!$F$14)+(AP383*Settings!$F$15)+(AQ383*Settings!$F$16)+(AR383*Settings!$F$17)</f>
        <v>253.22749999999991</v>
      </c>
      <c r="H383" s="31">
        <f>VLOOKUP(B383,'Standard Deviations'!$A1:$D651,4,FALSE)</f>
        <v>-1.7337733454810085</v>
      </c>
      <c r="I383" s="32">
        <f ca="1">IF(Settings!$J$16="no",VLOOKUP(B383,SP!A1:I161,IF(Settings!$J$13="points",6,9),FALSE),VLOOKUP(B383,'SP+RP'!$A1:$I251,IF(Settings!$J$13="points",6,9),FALSE))</f>
        <v>-0.86619115410358383</v>
      </c>
      <c r="J383" s="31"/>
      <c r="K383" s="31">
        <f ca="1">J383-A383</f>
        <v>-382</v>
      </c>
      <c r="L383" s="31"/>
      <c r="M383" s="31"/>
      <c r="N383" s="31"/>
      <c r="O383" s="31"/>
      <c r="P383" s="31"/>
      <c r="Q383" s="31"/>
      <c r="R383" s="33"/>
      <c r="S383" s="33"/>
      <c r="T383" s="31"/>
      <c r="U383" s="31"/>
      <c r="V383" s="31"/>
      <c r="W383" s="31"/>
      <c r="X383" s="31"/>
      <c r="Y383" s="33"/>
      <c r="Z383" s="33"/>
      <c r="AA383" s="31"/>
      <c r="AB383" s="31"/>
      <c r="AC383" s="31">
        <f>VLOOKUP($B383,Pitchers!$A1:$S251,4,FALSE)</f>
        <v>120.02499999999999</v>
      </c>
      <c r="AD383" s="33">
        <f>VLOOKUP($B383,Pitchers!$A1:$S251,5,FALSE)</f>
        <v>4.0826494480316606</v>
      </c>
      <c r="AE383" s="33">
        <f>VLOOKUP($B383,Pitchers!$A1:$S251,6,FALSE)</f>
        <v>1.2977574116503507</v>
      </c>
      <c r="AF383" s="31">
        <f>VLOOKUP($B383,Pitchers!$A1:$S251,7,FALSE)</f>
        <v>125.29833333333333</v>
      </c>
      <c r="AG383" s="31">
        <f>VLOOKUP($B383,Pitchers!$A1:$S251,8,FALSE)</f>
        <v>6.8233333333333333</v>
      </c>
      <c r="AH383" s="31">
        <f>VLOOKUP($B383,Pitchers!$A1:$S251,9,FALSE)</f>
        <v>0</v>
      </c>
      <c r="AI383" s="31">
        <f>VLOOKUP($B383,Pitchers!$A1:$S251,10,FALSE)</f>
        <v>54.446666666666665</v>
      </c>
      <c r="AJ383" s="31">
        <f>VLOOKUP($B383,Pitchers!$A1:$S251,11,FALSE)</f>
        <v>103.41000000000001</v>
      </c>
      <c r="AK383" s="31">
        <f>VLOOKUP($B383,Pitchers!$A1:$S251,12,FALSE)</f>
        <v>52.353333333333332</v>
      </c>
      <c r="AL383" s="31">
        <f>VLOOKUP($B383,Pitchers!$A1:$S251,13,FALSE)</f>
        <v>15.200000000000001</v>
      </c>
      <c r="AM383" s="31">
        <f>VLOOKUP($B383,Pitchers!$A1:$S251,14,FALSE)</f>
        <v>24.053333333333331</v>
      </c>
      <c r="AN383" s="31">
        <f>VLOOKUP($B383,Pitchers!$A1:$S251,15,FALSE)</f>
        <v>23.72</v>
      </c>
      <c r="AO383" s="31">
        <f>VLOOKUP($B383,Pitchers!$A1:$S251,16,FALSE)</f>
        <v>8.01</v>
      </c>
      <c r="AP383" s="31">
        <f>VLOOKUP($B383,Pitchers!$A1:$S251,17,FALSE)</f>
        <v>11</v>
      </c>
      <c r="AQ383" s="31">
        <f>VLOOKUP($B383,Pitchers!$A1:$S251,18,FALSE)</f>
        <v>0</v>
      </c>
      <c r="AR383" s="31">
        <f>VLOOKUP($B383,Pitchers!$A1:$S251,19,FALSE)</f>
        <v>0</v>
      </c>
    </row>
    <row r="384" spans="1:44" ht="18.600000000000001" customHeight="1">
      <c r="A384" s="25">
        <f ca="1">RANK(I384,I$2:I$651)</f>
        <v>383</v>
      </c>
      <c r="B384" s="26" t="s">
        <v>536</v>
      </c>
      <c r="C384" s="27" t="s">
        <v>140</v>
      </c>
      <c r="D384" s="27" t="s">
        <v>69</v>
      </c>
      <c r="E384" s="42" t="s">
        <v>34</v>
      </c>
      <c r="F384" s="43">
        <f ca="1">VLOOKUP(B384,RP!A1:I91,IF(Settings!$J$13="points",4,7),FALSE)</f>
        <v>58</v>
      </c>
      <c r="G384" s="30">
        <f>(AC384*Settings!$F$2)+(AF384*Settings!$F$5)+(AG384*Settings!$F$6)+(AH384*Settings!$F$7)+(AI384*Settings!$F$8)+(AJ384*Settings!$F$9)+(AK384*Settings!$F$10)+(AL384*Settings!$F$11)+(AM384*Settings!$F$12)+(AN384*Settings!$F$13)+(AO384*Settings!$F$14)+(AP384*Settings!$F$15)+(AQ384*Settings!$F$16)+(AR384*Settings!$F$17)</f>
        <v>203.96999999999997</v>
      </c>
      <c r="H384" s="31">
        <f>VLOOKUP(B384,'Standard Deviations'!$A1:$D651,4,FALSE)</f>
        <v>-1.7365349994671009</v>
      </c>
      <c r="I384" s="32">
        <f ca="1">IF(Settings!$J$16="no",VLOOKUP(B384,RP!A1:I91,IF(Settings!$J$13="points",6,9),FALSE),VLOOKUP(B384,'SP+RP'!$A1:$I251,IF(Settings!$J$13="points",6,9),FALSE))</f>
        <v>-0.86895613161811514</v>
      </c>
      <c r="J384" s="31"/>
      <c r="K384" s="31">
        <f ca="1">J384-A384</f>
        <v>-383</v>
      </c>
      <c r="L384" s="31"/>
      <c r="M384" s="31"/>
      <c r="N384" s="31"/>
      <c r="O384" s="31"/>
      <c r="P384" s="31"/>
      <c r="Q384" s="31"/>
      <c r="R384" s="33"/>
      <c r="S384" s="33"/>
      <c r="T384" s="31"/>
      <c r="U384" s="31"/>
      <c r="V384" s="31"/>
      <c r="W384" s="31"/>
      <c r="X384" s="31"/>
      <c r="Y384" s="33"/>
      <c r="Z384" s="33"/>
      <c r="AA384" s="31"/>
      <c r="AB384" s="31"/>
      <c r="AC384" s="31">
        <f>VLOOKUP($B384,Pitchers!$A1:$S251,4,FALSE)</f>
        <v>59.309999999999995</v>
      </c>
      <c r="AD384" s="33">
        <f>VLOOKUP($B384,Pitchers!$A1:$S251,5,FALSE)</f>
        <v>3.9524532119372795</v>
      </c>
      <c r="AE384" s="33">
        <f>VLOOKUP($B384,Pitchers!$A1:$S251,6,FALSE)</f>
        <v>1.2624065643792504</v>
      </c>
      <c r="AF384" s="31">
        <f>VLOOKUP($B384,Pitchers!$A1:$S251,7,FALSE)</f>
        <v>67.042222222222222</v>
      </c>
      <c r="AG384" s="31">
        <f>VLOOKUP($B384,Pitchers!$A1:$S251,8,FALSE)</f>
        <v>3</v>
      </c>
      <c r="AH384" s="31">
        <f>VLOOKUP($B384,Pitchers!$A1:$S251,9,FALSE)</f>
        <v>12.47777777777778</v>
      </c>
      <c r="AI384" s="31">
        <f>VLOOKUP($B384,Pitchers!$A1:$S251,10,FALSE)</f>
        <v>26.046666666666667</v>
      </c>
      <c r="AJ384" s="31">
        <f>VLOOKUP($B384,Pitchers!$A1:$S251,11,FALSE)</f>
        <v>53.094444444444441</v>
      </c>
      <c r="AK384" s="31">
        <f>VLOOKUP($B384,Pitchers!$A1:$S251,12,FALSE)</f>
        <v>21.77888888888889</v>
      </c>
      <c r="AL384" s="31">
        <f>VLOOKUP($B384,Pitchers!$A1:$S251,13,FALSE)</f>
        <v>8</v>
      </c>
      <c r="AM384" s="31">
        <f>VLOOKUP($B384,Pitchers!$A1:$S251,14,FALSE)</f>
        <v>61.042222222222222</v>
      </c>
      <c r="AN384" s="31">
        <f>VLOOKUP($B384,Pitchers!$A1:$S251,15,FALSE)</f>
        <v>0</v>
      </c>
      <c r="AO384" s="31">
        <f>VLOOKUP($B384,Pitchers!$A1:$S251,16,FALSE)</f>
        <v>2.9811111111111113</v>
      </c>
      <c r="AP384" s="31">
        <f>VLOOKUP($B384,Pitchers!$A1:$S251,17,FALSE)</f>
        <v>0</v>
      </c>
      <c r="AQ384" s="31">
        <f>VLOOKUP($B384,Pitchers!$A1:$S251,18,FALSE)</f>
        <v>15.5</v>
      </c>
      <c r="AR384" s="31">
        <f>VLOOKUP($B384,Pitchers!$A1:$S251,19,FALSE)</f>
        <v>7</v>
      </c>
    </row>
    <row r="385" spans="1:44" ht="18.600000000000001" customHeight="1">
      <c r="A385" s="25">
        <f ca="1">RANK(I385,I$2:I$651)</f>
        <v>384</v>
      </c>
      <c r="B385" s="26" t="s">
        <v>392</v>
      </c>
      <c r="C385" s="27" t="s">
        <v>73</v>
      </c>
      <c r="D385" s="27" t="s">
        <v>74</v>
      </c>
      <c r="E385" s="28" t="s">
        <v>23</v>
      </c>
      <c r="F385" s="29">
        <f ca="1">VLOOKUP(B385,OF!A1:I139,IF(Settings!$J$13="points",4,7),FALSE)</f>
        <v>86</v>
      </c>
      <c r="G385" s="30">
        <f>(M385*Settings!$B$2)+(N385*Settings!$B$3)+(O385*Settings!$B$4)+(P385*Settings!$B$5)+(Q385*Settings!$B$6)+((T385-U385-V385-O385)*Settings!$B$9)+(U385*Settings!$B$10)+(V385*Settings!$B$11)+(W385*Settings!$B$12)+(X385*Settings!$B$13)+(AA385*Settings!$B$16)</f>
        <v>237.01027777777782</v>
      </c>
      <c r="H385" s="31">
        <f>VLOOKUP(B385,'Standard Deviations'!$A1:$D651,4,FALSE)</f>
        <v>-1.0272360186619305</v>
      </c>
      <c r="I385" s="32">
        <f ca="1">VLOOKUP(B385,OF!A1:I139,IF(Settings!$J$13="points",6,9),FALSE)</f>
        <v>-0.87030025896074314</v>
      </c>
      <c r="J385" s="31"/>
      <c r="K385" s="31">
        <f ca="1">J385-A385</f>
        <v>-384</v>
      </c>
      <c r="L385" s="31"/>
      <c r="M385" s="31">
        <f>VLOOKUP($B385,Hitters!$A1:$R401,4,FALSE)</f>
        <v>378.56666666666666</v>
      </c>
      <c r="N385" s="31">
        <f>VLOOKUP($B385,Hitters!$A1:$R401,5,FALSE)</f>
        <v>44.74666666666667</v>
      </c>
      <c r="O385" s="31">
        <f>VLOOKUP($B385,Hitters!$A1:$R401,6,FALSE)</f>
        <v>12.035000000000002</v>
      </c>
      <c r="P385" s="31">
        <f>VLOOKUP($B385,Hitters!$A1:$R401,7,FALSE)</f>
        <v>48.297777777777775</v>
      </c>
      <c r="Q385" s="31">
        <f>VLOOKUP($B385,Hitters!$A1:$R401,8,FALSE)</f>
        <v>6.4211111111111121</v>
      </c>
      <c r="R385" s="33">
        <f>VLOOKUP($B385,Hitters!$A$1:$R$401,14,FALSE)</f>
        <v>0.240641601361862</v>
      </c>
      <c r="S385" s="33">
        <f>VLOOKUP($B385,Hitters!$A$1:$R$401,15,FALSE)</f>
        <v>0.29875394134530819</v>
      </c>
      <c r="T385" s="31">
        <f>VLOOKUP($B385,Hitters!$A$1:$R$401,9,FALSE)</f>
        <v>91.098888888888894</v>
      </c>
      <c r="U385" s="31">
        <f>VLOOKUP($B385,Hitters!$A$1:$R$401,10,FALSE)</f>
        <v>17.445555555555554</v>
      </c>
      <c r="V385" s="31">
        <f>VLOOKUP($B385,Hitters!$A$1:$R$401,11,FALSE)</f>
        <v>1.46</v>
      </c>
      <c r="W385" s="31">
        <f>VLOOKUP($B385,Hitters!$A$1:$R$401,12,FALSE)</f>
        <v>25.133333333333336</v>
      </c>
      <c r="X385" s="31">
        <f>VLOOKUP($B385,Hitters!$A$1:$R$401,13,FALSE)</f>
        <v>83.158333333333346</v>
      </c>
      <c r="Y385" s="33">
        <f>VLOOKUP($B385,Hitters!$A$1:$R$401,16,FALSE)</f>
        <v>0.38981098294737465</v>
      </c>
      <c r="Z385" s="33">
        <f>VLOOKUP($B385,Hitters!$A$1:$R$401,17,FALSE)</f>
        <v>0.68856492429268279</v>
      </c>
      <c r="AA385" s="31">
        <f>VLOOKUP($B385,Hitters!$A1:$R401,18,FALSE)</f>
        <v>0</v>
      </c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</row>
    <row r="386" spans="1:44" ht="20.100000000000001" customHeight="1">
      <c r="A386" s="25">
        <f ca="1">RANK(I386,I$2:I$651)</f>
        <v>385</v>
      </c>
      <c r="B386" s="26" t="s">
        <v>594</v>
      </c>
      <c r="C386" s="27" t="s">
        <v>68</v>
      </c>
      <c r="D386" s="27" t="s">
        <v>69</v>
      </c>
      <c r="E386" s="42" t="s">
        <v>34</v>
      </c>
      <c r="F386" s="43">
        <f ca="1">VLOOKUP(B386,RP!A1:I91,IF(Settings!$J$13="points",4,7),FALSE)</f>
        <v>59</v>
      </c>
      <c r="G386" s="30">
        <f>(AC386*Settings!$F$2)+(AF386*Settings!$F$5)+(AG386*Settings!$F$6)+(AH386*Settings!$F$7)+(AI386*Settings!$F$8)+(AJ386*Settings!$F$9)+(AK386*Settings!$F$10)+(AL386*Settings!$F$11)+(AM386*Settings!$F$12)+(AN386*Settings!$F$13)+(AO386*Settings!$F$14)+(AP386*Settings!$F$15)+(AQ386*Settings!$F$16)+(AR386*Settings!$F$17)</f>
        <v>148.1798</v>
      </c>
      <c r="H386" s="31">
        <f>VLOOKUP(B386,'Standard Deviations'!$A1:$D651,4,FALSE)</f>
        <v>-1.7488165627392047</v>
      </c>
      <c r="I386" s="32">
        <f ca="1">IF(Settings!$J$16="no",VLOOKUP(B386,RP!A1:I91,IF(Settings!$J$13="points",6,9),FALSE),VLOOKUP(B386,'SP+RP'!$A1:$I251,IF(Settings!$J$13="points",6,9),FALSE))</f>
        <v>-0.88123096058122385</v>
      </c>
      <c r="J386" s="31"/>
      <c r="K386" s="31">
        <f ca="1">J386-A386</f>
        <v>-385</v>
      </c>
      <c r="L386" s="31"/>
      <c r="M386" s="31"/>
      <c r="N386" s="31"/>
      <c r="O386" s="31"/>
      <c r="P386" s="31"/>
      <c r="Q386" s="31"/>
      <c r="R386" s="33"/>
      <c r="S386" s="33"/>
      <c r="T386" s="31"/>
      <c r="U386" s="31"/>
      <c r="V386" s="31"/>
      <c r="W386" s="31"/>
      <c r="X386" s="31"/>
      <c r="Y386" s="33"/>
      <c r="Z386" s="33"/>
      <c r="AA386" s="31"/>
      <c r="AB386" s="31"/>
      <c r="AC386" s="31">
        <f>VLOOKUP($B386,Pitchers!$A1:$S251,4,FALSE)</f>
        <v>61.146666666666668</v>
      </c>
      <c r="AD386" s="33">
        <f>VLOOKUP($B386,Pitchers!$A1:$S251,5,FALSE)</f>
        <v>3.5793741822939382</v>
      </c>
      <c r="AE386" s="33">
        <f>VLOOKUP($B386,Pitchers!$A1:$S251,6,FALSE)</f>
        <v>1.2346816397732228</v>
      </c>
      <c r="AF386" s="31">
        <f>VLOOKUP($B386,Pitchers!$A1:$S251,7,FALSE)</f>
        <v>55.431111111111115</v>
      </c>
      <c r="AG386" s="31">
        <f>VLOOKUP($B386,Pitchers!$A1:$S251,8,FALSE)</f>
        <v>3.9933333333333336</v>
      </c>
      <c r="AH386" s="31">
        <f>VLOOKUP($B386,Pitchers!$A1:$S251,9,FALSE)</f>
        <v>3.4111111111111114</v>
      </c>
      <c r="AI386" s="31">
        <f>VLOOKUP($B386,Pitchers!$A1:$S251,10,FALSE)</f>
        <v>24.318533333333335</v>
      </c>
      <c r="AJ386" s="31">
        <f>VLOOKUP($B386,Pitchers!$A1:$S251,11,FALSE)</f>
        <v>56.136666666666663</v>
      </c>
      <c r="AK386" s="31">
        <f>VLOOKUP($B386,Pitchers!$A1:$S251,12,FALSE)</f>
        <v>19.36</v>
      </c>
      <c r="AL386" s="31">
        <f>VLOOKUP($B386,Pitchers!$A1:$S251,13,FALSE)</f>
        <v>5.6000000000000005</v>
      </c>
      <c r="AM386" s="31">
        <f>VLOOKUP($B386,Pitchers!$A1:$S251,14,FALSE)</f>
        <v>58.52</v>
      </c>
      <c r="AN386" s="31">
        <f>VLOOKUP($B386,Pitchers!$A1:$S251,15,FALSE)</f>
        <v>1.6666666666666666E-2</v>
      </c>
      <c r="AO386" s="31">
        <f>VLOOKUP($B386,Pitchers!$A1:$S251,16,FALSE)</f>
        <v>2.9983333333333335</v>
      </c>
      <c r="AP386" s="31">
        <f>VLOOKUP($B386,Pitchers!$A1:$S251,17,FALSE)</f>
        <v>0</v>
      </c>
      <c r="AQ386" s="31">
        <f>VLOOKUP($B386,Pitchers!$A1:$S251,18,FALSE)</f>
        <v>15.5</v>
      </c>
      <c r="AR386" s="31">
        <f>VLOOKUP($B386,Pitchers!$A1:$S251,19,FALSE)</f>
        <v>0</v>
      </c>
    </row>
    <row r="387" spans="1:44" ht="20.100000000000001" customHeight="1">
      <c r="A387" s="25">
        <f ca="1">RANK(I387,I$2:I$651)</f>
        <v>386</v>
      </c>
      <c r="B387" s="26" t="s">
        <v>372</v>
      </c>
      <c r="C387" s="27" t="s">
        <v>78</v>
      </c>
      <c r="D387" s="27" t="s">
        <v>69</v>
      </c>
      <c r="E387" s="28" t="s">
        <v>23</v>
      </c>
      <c r="F387" s="29">
        <f ca="1">VLOOKUP(B387,OF!A1:I139,IF(Settings!$J$13="points",4,7),FALSE)</f>
        <v>87</v>
      </c>
      <c r="G387" s="30">
        <f>(M387*Settings!$B$2)+(N387*Settings!$B$3)+(O387*Settings!$B$4)+(P387*Settings!$B$5)+(Q387*Settings!$B$6)+((T387-U387-V387-O387)*Settings!$B$9)+(U387*Settings!$B$10)+(V387*Settings!$B$11)+(W387*Settings!$B$12)+(X387*Settings!$B$13)+(AA387*Settings!$B$16)</f>
        <v>241.125</v>
      </c>
      <c r="H387" s="31">
        <f>VLOOKUP(B387,'Standard Deviations'!$A1:$D651,4,FALSE)</f>
        <v>-1.050660582645925</v>
      </c>
      <c r="I387" s="32">
        <f ca="1">VLOOKUP(B387,OF!A1:I139,IF(Settings!$J$13="points",6,9),FALSE)</f>
        <v>-0.8937297488339071</v>
      </c>
      <c r="J387" s="31"/>
      <c r="K387" s="31">
        <f ca="1">J387-A387</f>
        <v>-386</v>
      </c>
      <c r="L387" s="31"/>
      <c r="M387" s="31">
        <f>VLOOKUP($B387,Hitters!$A1:$R401,4,FALSE)</f>
        <v>373.59999999999997</v>
      </c>
      <c r="N387" s="31">
        <f>VLOOKUP($B387,Hitters!$A1:$R401,5,FALSE)</f>
        <v>50.455555555555556</v>
      </c>
      <c r="O387" s="31">
        <f>VLOOKUP($B387,Hitters!$A1:$R401,6,FALSE)</f>
        <v>13.066666666666668</v>
      </c>
      <c r="P387" s="31">
        <f>VLOOKUP($B387,Hitters!$A1:$R401,7,FALSE)</f>
        <v>48.321111111111115</v>
      </c>
      <c r="Q387" s="31">
        <f>VLOOKUP($B387,Hitters!$A1:$R401,8,FALSE)</f>
        <v>5.974444444444444</v>
      </c>
      <c r="R387" s="33">
        <f>VLOOKUP($B387,Hitters!$A$1:$R$401,14,FALSE)</f>
        <v>0.23392219842969308</v>
      </c>
      <c r="S387" s="33">
        <f>VLOOKUP($B387,Hitters!$A$1:$R$401,15,FALSE)</f>
        <v>0.32049376977634547</v>
      </c>
      <c r="T387" s="31">
        <f>VLOOKUP($B387,Hitters!$A$1:$R$401,9,FALSE)</f>
        <v>87.393333333333331</v>
      </c>
      <c r="U387" s="31">
        <f>VLOOKUP($B387,Hitters!$A$1:$R$401,10,FALSE)</f>
        <v>14.52222222222222</v>
      </c>
      <c r="V387" s="31">
        <f>VLOOKUP($B387,Hitters!$A$1:$R$401,11,FALSE)</f>
        <v>1.9822222222222223</v>
      </c>
      <c r="W387" s="31">
        <f>VLOOKUP($B387,Hitters!$A$1:$R$401,12,FALSE)</f>
        <v>41.782222222222224</v>
      </c>
      <c r="X387" s="31">
        <f>VLOOKUP($B387,Hitters!$A$1:$R$401,13,FALSE)</f>
        <v>112.92555555555555</v>
      </c>
      <c r="Y387" s="33">
        <f>VLOOKUP($B387,Hitters!$A$1:$R$401,16,FALSE)</f>
        <v>0.3883297644539615</v>
      </c>
      <c r="Z387" s="33">
        <f>VLOOKUP($B387,Hitters!$A$1:$R$401,17,FALSE)</f>
        <v>0.70882353423030697</v>
      </c>
      <c r="AA387" s="31">
        <f>VLOOKUP($B387,Hitters!$A1:$R401,18,FALSE)</f>
        <v>0</v>
      </c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</row>
    <row r="388" spans="1:44" ht="20.100000000000001" customHeight="1">
      <c r="A388" s="25">
        <f ca="1">RANK(I388,I$2:I$651)</f>
        <v>387</v>
      </c>
      <c r="B388" s="26" t="s">
        <v>487</v>
      </c>
      <c r="C388" s="27" t="s">
        <v>120</v>
      </c>
      <c r="D388" s="27" t="s">
        <v>74</v>
      </c>
      <c r="E388" s="46" t="s">
        <v>19</v>
      </c>
      <c r="F388" s="47">
        <f ca="1">VLOOKUP(B388,'C'!A1:I54,IF(Settings!$J$13="points",4,7),FALSE)</f>
        <v>16</v>
      </c>
      <c r="G388" s="30">
        <f>(M388*Settings!$B$2)+(N388*Settings!$B$3)+(O388*Settings!$B$4)+(P388*Settings!$B$5)+(Q388*Settings!$B$6)+((T388-U388-V388-O388)*Settings!$B$9)+(U388*Settings!$B$10)+(V388*Settings!$B$11)+(W388*Settings!$B$12)+(X388*Settings!$B$13)+(AA388*Settings!$B$16)</f>
        <v>183.19388888888889</v>
      </c>
      <c r="H388" s="31">
        <f>VLOOKUP(B388,'Standard Deviations'!$A1:$D651,4,FALSE)</f>
        <v>-1.6865500789365275</v>
      </c>
      <c r="I388" s="32">
        <f ca="1">VLOOKUP(B388,'C'!A1:I54,IF(Settings!$J$13="points",6,9),FALSE)</f>
        <v>-0.90002755766650311</v>
      </c>
      <c r="J388" s="31"/>
      <c r="K388" s="31">
        <f ca="1">J388-A388</f>
        <v>-387</v>
      </c>
      <c r="L388" s="31"/>
      <c r="M388" s="31">
        <f>VLOOKUP($B388,Hitters!$A1:$R401,4,FALSE)</f>
        <v>288.13333333333333</v>
      </c>
      <c r="N388" s="31">
        <f>VLOOKUP($B388,Hitters!$A1:$R401,5,FALSE)</f>
        <v>35.254444444444445</v>
      </c>
      <c r="O388" s="31">
        <f>VLOOKUP($B388,Hitters!$A1:$R401,6,FALSE)</f>
        <v>5.9866666666666672</v>
      </c>
      <c r="P388" s="31">
        <f>VLOOKUP($B388,Hitters!$A1:$R401,7,FALSE)</f>
        <v>35.162222222222219</v>
      </c>
      <c r="Q388" s="31">
        <f>VLOOKUP($B388,Hitters!$A1:$R401,8,FALSE)</f>
        <v>2.9777777777777779</v>
      </c>
      <c r="R388" s="33">
        <f>VLOOKUP($B388,Hitters!$A$1:$R$401,14,FALSE)</f>
        <v>0.27177232762609904</v>
      </c>
      <c r="S388" s="33">
        <f>VLOOKUP($B388,Hitters!$A$1:$R$401,15,FALSE)</f>
        <v>0.3305566136164152</v>
      </c>
      <c r="T388" s="31">
        <f>VLOOKUP($B388,Hitters!$A$1:$R$401,9,FALSE)</f>
        <v>78.306666666666672</v>
      </c>
      <c r="U388" s="31">
        <f>VLOOKUP($B388,Hitters!$A$1:$R$401,10,FALSE)</f>
        <v>14.815555555555555</v>
      </c>
      <c r="V388" s="31">
        <f>VLOOKUP($B388,Hitters!$A$1:$R$401,11,FALSE)</f>
        <v>0.98666666666666669</v>
      </c>
      <c r="W388" s="31">
        <f>VLOOKUP($B388,Hitters!$A$1:$R$401,12,FALSE)</f>
        <v>20.943333333333332</v>
      </c>
      <c r="X388" s="31">
        <f>VLOOKUP($B388,Hitters!$A$1:$R$401,13,FALSE)</f>
        <v>54.354444444444447</v>
      </c>
      <c r="Y388" s="33">
        <f>VLOOKUP($B388,Hitters!$A$1:$R$401,16,FALSE)</f>
        <v>0.39237235847601426</v>
      </c>
      <c r="Z388" s="33">
        <f>VLOOKUP($B388,Hitters!$A$1:$R$401,17,FALSE)</f>
        <v>0.72292897209242946</v>
      </c>
      <c r="AA388" s="31">
        <f>VLOOKUP($B388,Hitters!$A1:$R401,18,FALSE)</f>
        <v>0</v>
      </c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</row>
    <row r="389" spans="1:44" ht="18.600000000000001" customHeight="1">
      <c r="A389" s="25">
        <f ca="1">RANK(I389,I$2:I$651)</f>
        <v>388</v>
      </c>
      <c r="B389" s="26" t="s">
        <v>373</v>
      </c>
      <c r="C389" s="27" t="s">
        <v>258</v>
      </c>
      <c r="D389" s="27" t="s">
        <v>69</v>
      </c>
      <c r="E389" s="28" t="s">
        <v>23</v>
      </c>
      <c r="F389" s="29">
        <f ca="1">VLOOKUP(B389,OF!A1:I139,IF(Settings!$J$13="points",4,7),FALSE)</f>
        <v>88</v>
      </c>
      <c r="G389" s="30">
        <f>(M389*Settings!$B$2)+(N389*Settings!$B$3)+(O389*Settings!$B$4)+(P389*Settings!$B$5)+(Q389*Settings!$B$6)+((T389-U389-V389-O389)*Settings!$B$9)+(U389*Settings!$B$10)+(V389*Settings!$B$11)+(W389*Settings!$B$12)+(X389*Settings!$B$13)+(AA389*Settings!$B$16)</f>
        <v>230.03611111111113</v>
      </c>
      <c r="H389" s="31">
        <f>VLOOKUP(B389,'Standard Deviations'!$A1:$D651,4,FALSE)</f>
        <v>-1.0578507477709376</v>
      </c>
      <c r="I389" s="32">
        <f ca="1">VLOOKUP(B389,OF!A1:I139,IF(Settings!$J$13="points",6,9),FALSE)</f>
        <v>-0.90091730324318098</v>
      </c>
      <c r="J389" s="31"/>
      <c r="K389" s="31">
        <f ca="1">J389-A389</f>
        <v>-388</v>
      </c>
      <c r="L389" s="31"/>
      <c r="M389" s="31">
        <f>VLOOKUP($B389,Hitters!$A1:$R401,4,FALSE)</f>
        <v>360.45000000000005</v>
      </c>
      <c r="N389" s="31">
        <f>VLOOKUP($B389,Hitters!$A1:$R401,5,FALSE)</f>
        <v>43.976666666666667</v>
      </c>
      <c r="O389" s="31">
        <f>VLOOKUP($B389,Hitters!$A1:$R401,6,FALSE)</f>
        <v>14.183333333333332</v>
      </c>
      <c r="P389" s="31">
        <f>VLOOKUP($B389,Hitters!$A1:$R401,7,FALSE)</f>
        <v>47.288333333333334</v>
      </c>
      <c r="Q389" s="31">
        <f>VLOOKUP($B389,Hitters!$A1:$R401,8,FALSE)</f>
        <v>4.0166666666666666</v>
      </c>
      <c r="R389" s="33">
        <f>VLOOKUP($B389,Hitters!$A$1:$R$401,14,FALSE)</f>
        <v>0.24302029870069819</v>
      </c>
      <c r="S389" s="33">
        <f>VLOOKUP($B389,Hitters!$A$1:$R$401,15,FALSE)</f>
        <v>0.30262538380786791</v>
      </c>
      <c r="T389" s="31">
        <f>VLOOKUP($B389,Hitters!$A$1:$R$401,9,FALSE)</f>
        <v>87.596666666666678</v>
      </c>
      <c r="U389" s="31">
        <f>VLOOKUP($B389,Hitters!$A$1:$R$401,10,FALSE)</f>
        <v>17.62</v>
      </c>
      <c r="V389" s="31">
        <f>VLOOKUP($B389,Hitters!$A$1:$R$401,11,FALSE)</f>
        <v>1.9966666666666668</v>
      </c>
      <c r="W389" s="31">
        <f>VLOOKUP($B389,Hitters!$A$1:$R$401,12,FALSE)</f>
        <v>24.925000000000001</v>
      </c>
      <c r="X389" s="31">
        <f>VLOOKUP($B389,Hitters!$A$1:$R$401,13,FALSE)</f>
        <v>91.894444444444446</v>
      </c>
      <c r="Y389" s="33">
        <f>VLOOKUP($B389,Hitters!$A$1:$R$401,16,FALSE)</f>
        <v>0.42102926896934378</v>
      </c>
      <c r="Z389" s="33">
        <f>VLOOKUP($B389,Hitters!$A$1:$R$401,17,FALSE)</f>
        <v>0.72365465277721164</v>
      </c>
      <c r="AA389" s="31">
        <f>VLOOKUP($B389,Hitters!$A1:$R401,18,FALSE)</f>
        <v>0</v>
      </c>
      <c r="AB389" s="31"/>
      <c r="AC389" s="31"/>
      <c r="AD389" s="33"/>
      <c r="AE389" s="33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</row>
    <row r="390" spans="1:44" ht="18.600000000000001" customHeight="1">
      <c r="A390" s="25">
        <f ca="1">RANK(I390,I$2:I$651)</f>
        <v>389</v>
      </c>
      <c r="B390" s="26" t="s">
        <v>546</v>
      </c>
      <c r="C390" s="27" t="s">
        <v>78</v>
      </c>
      <c r="D390" s="27" t="s">
        <v>69</v>
      </c>
      <c r="E390" s="42" t="s">
        <v>34</v>
      </c>
      <c r="F390" s="43">
        <f ca="1">VLOOKUP(B390,RP!A1:I91,IF(Settings!$J$13="points",4,7),FALSE)</f>
        <v>60</v>
      </c>
      <c r="G390" s="30">
        <f>(AC390*Settings!$F$2)+(AF390*Settings!$F$5)+(AG390*Settings!$F$6)+(AH390*Settings!$F$7)+(AI390*Settings!$F$8)+(AJ390*Settings!$F$9)+(AK390*Settings!$F$10)+(AL390*Settings!$F$11)+(AM390*Settings!$F$12)+(AN390*Settings!$F$13)+(AO390*Settings!$F$14)+(AP390*Settings!$F$15)+(AQ390*Settings!$F$16)+(AR390*Settings!$F$17)</f>
        <v>146.15499999999994</v>
      </c>
      <c r="H390" s="31">
        <f>VLOOKUP(B390,'Standard Deviations'!$A1:$D651,4,FALSE)</f>
        <v>-1.8217185622978673</v>
      </c>
      <c r="I390" s="32">
        <f ca="1">IF(Settings!$J$16="no",VLOOKUP(B390,RP!A1:I91,IF(Settings!$J$13="points",6,9),FALSE),VLOOKUP(B390,'SP+RP'!$A1:$I251,IF(Settings!$J$13="points",6,9),FALSE))</f>
        <v>-0.95414138232577939</v>
      </c>
      <c r="J390" s="31"/>
      <c r="K390" s="31">
        <f ca="1">J390-A390</f>
        <v>-389</v>
      </c>
      <c r="L390" s="31"/>
      <c r="M390" s="31"/>
      <c r="N390" s="31"/>
      <c r="O390" s="31"/>
      <c r="P390" s="31"/>
      <c r="Q390" s="31"/>
      <c r="R390" s="33"/>
      <c r="S390" s="33"/>
      <c r="T390" s="31"/>
      <c r="U390" s="31"/>
      <c r="V390" s="31"/>
      <c r="W390" s="31"/>
      <c r="X390" s="31"/>
      <c r="Y390" s="33"/>
      <c r="Z390" s="33"/>
      <c r="AA390" s="31"/>
      <c r="AB390" s="31"/>
      <c r="AC390" s="31">
        <f>VLOOKUP($B390,Pitchers!$A1:$S251,4,FALSE)</f>
        <v>63.584444444444443</v>
      </c>
      <c r="AD390" s="33">
        <f>VLOOKUP($B390,Pitchers!$A1:$S251,5,FALSE)</f>
        <v>3.4154580085974904</v>
      </c>
      <c r="AE390" s="33">
        <f>VLOOKUP($B390,Pitchers!$A1:$S251,6,FALSE)</f>
        <v>1.2745779890259672</v>
      </c>
      <c r="AF390" s="31">
        <f>VLOOKUP($B390,Pitchers!$A1:$S251,7,FALSE)</f>
        <v>80.984444444444435</v>
      </c>
      <c r="AG390" s="31">
        <f>VLOOKUP($B390,Pitchers!$A1:$S251,8,FALSE)</f>
        <v>3.1316666666666664</v>
      </c>
      <c r="AH390" s="31">
        <f>VLOOKUP($B390,Pitchers!$A1:$S251,9,FALSE)</f>
        <v>1.1666666666666665</v>
      </c>
      <c r="AI390" s="31">
        <f>VLOOKUP($B390,Pitchers!$A1:$S251,10,FALSE)</f>
        <v>24.13</v>
      </c>
      <c r="AJ390" s="31">
        <f>VLOOKUP($B390,Pitchers!$A1:$S251,11,FALSE)</f>
        <v>50.477777777777781</v>
      </c>
      <c r="AK390" s="31">
        <f>VLOOKUP($B390,Pitchers!$A1:$S251,12,FALSE)</f>
        <v>30.565555555555559</v>
      </c>
      <c r="AL390" s="31">
        <f>VLOOKUP($B390,Pitchers!$A1:$S251,13,FALSE)</f>
        <v>5.2333333333333334</v>
      </c>
      <c r="AM390" s="31">
        <f>VLOOKUP($B390,Pitchers!$A1:$S251,14,FALSE)</f>
        <v>60.186666666666667</v>
      </c>
      <c r="AN390" s="31">
        <f>VLOOKUP($B390,Pitchers!$A1:$S251,15,FALSE)</f>
        <v>0</v>
      </c>
      <c r="AO390" s="31">
        <f>VLOOKUP($B390,Pitchers!$A1:$S251,16,FALSE)</f>
        <v>2.0011111111111108</v>
      </c>
      <c r="AP390" s="31">
        <f>VLOOKUP($B390,Pitchers!$A1:$S251,17,FALSE)</f>
        <v>0</v>
      </c>
      <c r="AQ390" s="31">
        <f>VLOOKUP($B390,Pitchers!$A1:$S251,18,FALSE)</f>
        <v>10.5</v>
      </c>
      <c r="AR390" s="31">
        <f>VLOOKUP($B390,Pitchers!$A1:$S251,19,FALSE)</f>
        <v>0</v>
      </c>
    </row>
    <row r="391" spans="1:44" ht="18.600000000000001" customHeight="1">
      <c r="A391" s="25">
        <f ca="1">RANK(I391,I$2:I$651)</f>
        <v>390</v>
      </c>
      <c r="B391" s="26" t="s">
        <v>413</v>
      </c>
      <c r="C391" s="27" t="s">
        <v>81</v>
      </c>
      <c r="D391" s="27" t="s">
        <v>74</v>
      </c>
      <c r="E391" s="28" t="s">
        <v>23</v>
      </c>
      <c r="F391" s="29">
        <f ca="1">VLOOKUP(B391,OF!A1:I139,IF(Settings!$J$13="points",4,7),FALSE)</f>
        <v>89</v>
      </c>
      <c r="G391" s="30">
        <f>(M391*Settings!$B$2)+(N391*Settings!$B$3)+(O391*Settings!$B$4)+(P391*Settings!$B$5)+(Q391*Settings!$B$6)+((T391-U391-V391-O391)*Settings!$B$9)+(U391*Settings!$B$10)+(V391*Settings!$B$11)+(W391*Settings!$B$12)+(X391*Settings!$B$13)+(AA391*Settings!$B$16)</f>
        <v>241.44611111111115</v>
      </c>
      <c r="H391" s="31">
        <f>VLOOKUP(B391,'Standard Deviations'!$A1:$D651,4,FALSE)</f>
        <v>-1.1297561992828697</v>
      </c>
      <c r="I391" s="32">
        <f ca="1">VLOOKUP(B391,OF!A1:I139,IF(Settings!$J$13="points",6,9),FALSE)</f>
        <v>-0.97282502019599426</v>
      </c>
      <c r="J391" s="31"/>
      <c r="K391" s="31">
        <f ca="1">J391-A391</f>
        <v>-390</v>
      </c>
      <c r="L391" s="31"/>
      <c r="M391" s="31">
        <f>VLOOKUP($B391,Hitters!$A1:$R401,4,FALSE)</f>
        <v>380.26666666666665</v>
      </c>
      <c r="N391" s="31">
        <f>VLOOKUP($B391,Hitters!$A1:$R401,5,FALSE)</f>
        <v>45.677777777777777</v>
      </c>
      <c r="O391" s="31">
        <f>VLOOKUP($B391,Hitters!$A1:$R401,6,FALSE)</f>
        <v>10.86888888888889</v>
      </c>
      <c r="P391" s="31">
        <f>VLOOKUP($B391,Hitters!$A1:$R401,7,FALSE)</f>
        <v>49.03</v>
      </c>
      <c r="Q391" s="31">
        <f>VLOOKUP($B391,Hitters!$A1:$R401,8,FALSE)</f>
        <v>2.0099999999999998</v>
      </c>
      <c r="R391" s="33">
        <f>VLOOKUP($B391,Hitters!$A$1:$R$401,14,FALSE)</f>
        <v>0.25206872370266481</v>
      </c>
      <c r="S391" s="33">
        <f>VLOOKUP($B391,Hitters!$A$1:$R$401,15,FALSE)</f>
        <v>0.32199895365431591</v>
      </c>
      <c r="T391" s="31">
        <f>VLOOKUP($B391,Hitters!$A$1:$R$401,9,FALSE)</f>
        <v>95.853333333333339</v>
      </c>
      <c r="U391" s="31">
        <f>VLOOKUP($B391,Hitters!$A$1:$R$401,10,FALSE)</f>
        <v>21.316666666666666</v>
      </c>
      <c r="V391" s="31">
        <f>VLOOKUP($B391,Hitters!$A$1:$R$401,11,FALSE)</f>
        <v>2.36</v>
      </c>
      <c r="W391" s="31">
        <f>VLOOKUP($B391,Hitters!$A$1:$R$401,12,FALSE)</f>
        <v>33.326666666666668</v>
      </c>
      <c r="X391" s="31">
        <f>VLOOKUP($B391,Hitters!$A$1:$R$401,13,FALSE)</f>
        <v>90.21</v>
      </c>
      <c r="Y391" s="33">
        <f>VLOOKUP($B391,Hitters!$A$1:$R$401,16,FALSE)</f>
        <v>0.40628506311360452</v>
      </c>
      <c r="Z391" s="33">
        <f>VLOOKUP($B391,Hitters!$A$1:$R$401,17,FALSE)</f>
        <v>0.72828401676792043</v>
      </c>
      <c r="AA391" s="31">
        <f>VLOOKUP($B391,Hitters!$A1:$R401,18,FALSE)</f>
        <v>0</v>
      </c>
      <c r="AB391" s="31"/>
      <c r="AC391" s="31"/>
      <c r="AD391" s="33"/>
      <c r="AE391" s="33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</row>
    <row r="392" spans="1:44" ht="18.600000000000001" customHeight="1">
      <c r="A392" s="25">
        <f ca="1">RANK(I392,I$2:I$651)</f>
        <v>391</v>
      </c>
      <c r="B392" s="26" t="s">
        <v>396</v>
      </c>
      <c r="C392" s="27"/>
      <c r="D392" s="27" t="s">
        <v>69</v>
      </c>
      <c r="E392" s="28" t="s">
        <v>23</v>
      </c>
      <c r="F392" s="29">
        <f ca="1">VLOOKUP(B392,OF!A1:I139,IF(Settings!$J$13="points",4,7),FALSE)</f>
        <v>90</v>
      </c>
      <c r="G392" s="30">
        <f>(M392*Settings!$B$2)+(N392*Settings!$B$3)+(O392*Settings!$B$4)+(P392*Settings!$B$5)+(Q392*Settings!$B$6)+((T392-U392-V392-O392)*Settings!$B$9)+(U392*Settings!$B$10)+(V392*Settings!$B$11)+(W392*Settings!$B$12)+(X392*Settings!$B$13)+(AA392*Settings!$B$16)</f>
        <v>260.97111111111116</v>
      </c>
      <c r="H392" s="31">
        <f>VLOOKUP(B392,'Standard Deviations'!$A1:$D651,4,FALSE)</f>
        <v>-1.1330190841829846</v>
      </c>
      <c r="I392" s="32">
        <f ca="1">VLOOKUP(B392,OF!A1:I139,IF(Settings!$J$13="points",6,9),FALSE)</f>
        <v>-0.97608850779350065</v>
      </c>
      <c r="J392" s="31"/>
      <c r="K392" s="31">
        <f ca="1">J392-A392</f>
        <v>-391</v>
      </c>
      <c r="L392" s="31"/>
      <c r="M392" s="31">
        <f>VLOOKUP($B392,Hitters!$A1:$R401,4,FALSE)</f>
        <v>371.27777777777777</v>
      </c>
      <c r="N392" s="31">
        <f>VLOOKUP($B392,Hitters!$A1:$R401,5,FALSE)</f>
        <v>52.081111111111113</v>
      </c>
      <c r="O392" s="31">
        <f>VLOOKUP($B392,Hitters!$A1:$R401,6,FALSE)</f>
        <v>9.7544444444444434</v>
      </c>
      <c r="P392" s="31">
        <f>VLOOKUP($B392,Hitters!$A1:$R401,7,FALSE)</f>
        <v>41.505555555555553</v>
      </c>
      <c r="Q392" s="31">
        <f>VLOOKUP($B392,Hitters!$A1:$R401,8,FALSE)</f>
        <v>6.253333333333333</v>
      </c>
      <c r="R392" s="33">
        <f>VLOOKUP($B392,Hitters!$A$1:$R$401,14,FALSE)</f>
        <v>0.24409995510998053</v>
      </c>
      <c r="S392" s="33">
        <f>VLOOKUP($B392,Hitters!$A$1:$R$401,15,FALSE)</f>
        <v>0.33326861469760211</v>
      </c>
      <c r="T392" s="31">
        <f>VLOOKUP($B392,Hitters!$A$1:$R$401,9,FALSE)</f>
        <v>90.628888888888881</v>
      </c>
      <c r="U392" s="31">
        <f>VLOOKUP($B392,Hitters!$A$1:$R$401,10,FALSE)</f>
        <v>19.91</v>
      </c>
      <c r="V392" s="31">
        <f>VLOOKUP($B392,Hitters!$A$1:$R$401,11,FALSE)</f>
        <v>1.788888888888889</v>
      </c>
      <c r="W392" s="31">
        <f>VLOOKUP($B392,Hitters!$A$1:$R$401,12,FALSE)</f>
        <v>44.084444444444443</v>
      </c>
      <c r="X392" s="31">
        <f>VLOOKUP($B392,Hitters!$A$1:$R$401,13,FALSE)</f>
        <v>65.173333333333332</v>
      </c>
      <c r="Y392" s="33">
        <f>VLOOKUP($B392,Hitters!$A$1:$R$401,16,FALSE)</f>
        <v>0.38617985934460569</v>
      </c>
      <c r="Z392" s="33">
        <f>VLOOKUP($B392,Hitters!$A$1:$R$401,17,FALSE)</f>
        <v>0.7194484740422078</v>
      </c>
      <c r="AA392" s="31">
        <f>VLOOKUP($B392,Hitters!$A1:$R401,18,FALSE)</f>
        <v>0</v>
      </c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</row>
    <row r="393" spans="1:44" ht="18.600000000000001" customHeight="1">
      <c r="A393" s="25">
        <f ca="1">RANK(I393,I$2:I$651)</f>
        <v>392</v>
      </c>
      <c r="B393" s="26" t="s">
        <v>603</v>
      </c>
      <c r="C393" s="27" t="s">
        <v>223</v>
      </c>
      <c r="D393" s="27" t="s">
        <v>74</v>
      </c>
      <c r="E393" s="40" t="s">
        <v>7</v>
      </c>
      <c r="F393" s="41">
        <f ca="1">VLOOKUP(B393,'1B'!A1:I63,IF(Settings!$J$13="points",4,7),FALSE)</f>
        <v>36</v>
      </c>
      <c r="G393" s="30">
        <f>(M393*Settings!$B$2)+(N393*Settings!$B$3)+(O393*Settings!$B$4)+(P393*Settings!$B$5)+(Q393*Settings!$B$6)+((T393-U393-V393-O393)*Settings!$B$9)+(U393*Settings!$B$10)+(V393*Settings!$B$11)+(W393*Settings!$B$12)+(X393*Settings!$B$13)+(AA393*Settings!$B$16)</f>
        <v>279.24333333333334</v>
      </c>
      <c r="H393" s="31">
        <f>VLOOKUP(B393,'Standard Deviations'!$A1:$D651,4,FALSE)</f>
        <v>-0.75509049854740806</v>
      </c>
      <c r="I393" s="32">
        <f ca="1">IF(Settings!$J$15="no",VLOOKUP(B393,'1B'!A1:I63,IF(Settings!$J$13="points",6,9),FALSE),VLOOKUP(B393,'1B+3B'!$A1:$I104,IF(Settings!$J$13="points",6,9),FALSE))</f>
        <v>-0.98057035424580918</v>
      </c>
      <c r="J393" s="31"/>
      <c r="K393" s="31">
        <f ca="1">J393-A393</f>
        <v>-392</v>
      </c>
      <c r="L393" s="31"/>
      <c r="M393" s="31">
        <f>VLOOKUP($B393,Hitters!$A1:$R401,4,FALSE)</f>
        <v>408.0888888888889</v>
      </c>
      <c r="N393" s="31">
        <f>VLOOKUP($B393,Hitters!$A1:$R401,5,FALSE)</f>
        <v>54.415555555555557</v>
      </c>
      <c r="O393" s="31">
        <f>VLOOKUP($B393,Hitters!$A1:$R401,6,FALSE)</f>
        <v>17.16</v>
      </c>
      <c r="P393" s="31">
        <f>VLOOKUP($B393,Hitters!$A1:$R401,7,FALSE)</f>
        <v>57.25333333333333</v>
      </c>
      <c r="Q393" s="31">
        <f>VLOOKUP($B393,Hitters!$A1:$R401,8,FALSE)</f>
        <v>0.98777777777777775</v>
      </c>
      <c r="R393" s="33">
        <f>VLOOKUP($B393,Hitters!$A$1:$R$401,14,FALSE)</f>
        <v>0.2320681768677848</v>
      </c>
      <c r="S393" s="33">
        <f>VLOOKUP($B393,Hitters!$A$1:$R$401,15,FALSE)</f>
        <v>0.33328909967456005</v>
      </c>
      <c r="T393" s="31">
        <f>VLOOKUP($B393,Hitters!$A$1:$R$401,9,FALSE)</f>
        <v>94.704444444444448</v>
      </c>
      <c r="U393" s="31">
        <f>VLOOKUP($B393,Hitters!$A$1:$R$401,10,FALSE)</f>
        <v>19.968888888888888</v>
      </c>
      <c r="V393" s="31">
        <f>VLOOKUP($B393,Hitters!$A$1:$R$401,11,FALSE)</f>
        <v>1.02</v>
      </c>
      <c r="W393" s="31">
        <f>VLOOKUP($B393,Hitters!$A$1:$R$401,12,FALSE)</f>
        <v>55.834444444444443</v>
      </c>
      <c r="X393" s="31">
        <f>VLOOKUP($B393,Hitters!$A$1:$R$401,13,FALSE)</f>
        <v>116.85777777777777</v>
      </c>
      <c r="Y393" s="33">
        <f>VLOOKUP($B393,Hitters!$A$1:$R$401,16,FALSE)</f>
        <v>0.41214876933130035</v>
      </c>
      <c r="Z393" s="33">
        <f>VLOOKUP($B393,Hitters!$A$1:$R$401,17,FALSE)</f>
        <v>0.7454378690058604</v>
      </c>
      <c r="AA393" s="31">
        <f>VLOOKUP($B393,Hitters!$A1:$R401,18,FALSE)</f>
        <v>0</v>
      </c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</row>
    <row r="394" spans="1:44" ht="18.600000000000001" customHeight="1">
      <c r="A394" s="25">
        <f ca="1">RANK(I394,I$2:I$651)</f>
        <v>393</v>
      </c>
      <c r="B394" s="26" t="s">
        <v>419</v>
      </c>
      <c r="C394" s="27" t="s">
        <v>103</v>
      </c>
      <c r="D394" s="27" t="s">
        <v>69</v>
      </c>
      <c r="E394" s="28" t="s">
        <v>23</v>
      </c>
      <c r="F394" s="29">
        <f ca="1">VLOOKUP(B394,OF!A1:I139,IF(Settings!$J$13="points",4,7),FALSE)</f>
        <v>91</v>
      </c>
      <c r="G394" s="30">
        <f>(M394*Settings!$B$2)+(N394*Settings!$B$3)+(O394*Settings!$B$4)+(P394*Settings!$B$5)+(Q394*Settings!$B$6)+((T394-U394-V394-O394)*Settings!$B$9)+(U394*Settings!$B$10)+(V394*Settings!$B$11)+(W394*Settings!$B$12)+(X394*Settings!$B$13)+(AA394*Settings!$B$16)</f>
        <v>240.21944444444441</v>
      </c>
      <c r="H394" s="31">
        <f>VLOOKUP(B394,'Standard Deviations'!$A1:$D651,4,FALSE)</f>
        <v>-1.1429347174257929</v>
      </c>
      <c r="I394" s="32">
        <f ca="1">VLOOKUP(B394,OF!A1:I139,IF(Settings!$J$13="points",6,9),FALSE)</f>
        <v>-0.98600100072683183</v>
      </c>
      <c r="J394" s="31"/>
      <c r="K394" s="31">
        <f ca="1">J394-A394</f>
        <v>-393</v>
      </c>
      <c r="L394" s="31"/>
      <c r="M394" s="31">
        <f>VLOOKUP($B394,Hitters!$A1:$R401,4,FALSE)</f>
        <v>382.34444444444443</v>
      </c>
      <c r="N394" s="31">
        <f>VLOOKUP($B394,Hitters!$A1:$R401,5,FALSE)</f>
        <v>48.867777777777775</v>
      </c>
      <c r="O394" s="31">
        <f>VLOOKUP($B394,Hitters!$A1:$R401,6,FALSE)</f>
        <v>20.671666666666667</v>
      </c>
      <c r="P394" s="31">
        <f>VLOOKUP($B394,Hitters!$A1:$R401,7,FALSE)</f>
        <v>58.217777777777776</v>
      </c>
      <c r="Q394" s="31">
        <f>VLOOKUP($B394,Hitters!$A1:$R401,8,FALSE)</f>
        <v>2</v>
      </c>
      <c r="R394" s="33">
        <f>VLOOKUP($B394,Hitters!$A$1:$R$401,14,FALSE)</f>
        <v>0.21744209700386502</v>
      </c>
      <c r="S394" s="33">
        <f>VLOOKUP($B394,Hitters!$A$1:$R$401,15,FALSE)</f>
        <v>0.28223619825193214</v>
      </c>
      <c r="T394" s="31">
        <f>VLOOKUP($B394,Hitters!$A$1:$R$401,9,FALSE)</f>
        <v>83.137777777777771</v>
      </c>
      <c r="U394" s="31">
        <f>VLOOKUP($B394,Hitters!$A$1:$R$401,10,FALSE)</f>
        <v>16.832222222222224</v>
      </c>
      <c r="V394" s="31">
        <f>VLOOKUP($B394,Hitters!$A$1:$R$401,11,FALSE)</f>
        <v>1.3344444444444445</v>
      </c>
      <c r="W394" s="31">
        <f>VLOOKUP($B394,Hitters!$A$1:$R$401,12,FALSE)</f>
        <v>27.963333333333335</v>
      </c>
      <c r="X394" s="31">
        <f>VLOOKUP($B394,Hitters!$A$1:$R$401,13,FALSE)</f>
        <v>126.96666666666665</v>
      </c>
      <c r="Y394" s="33">
        <f>VLOOKUP($B394,Hitters!$A$1:$R$401,16,FALSE)</f>
        <v>0.43064281770364127</v>
      </c>
      <c r="Z394" s="33">
        <f>VLOOKUP($B394,Hitters!$A$1:$R$401,17,FALSE)</f>
        <v>0.71287901595557335</v>
      </c>
      <c r="AA394" s="31">
        <f>VLOOKUP($B394,Hitters!$A1:$R401,18,FALSE)</f>
        <v>0</v>
      </c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</row>
    <row r="395" spans="1:44" ht="18.600000000000001" customHeight="1">
      <c r="A395" s="25">
        <f ca="1">RANK(I395,I$2:I$651)</f>
        <v>394</v>
      </c>
      <c r="B395" s="26" t="s">
        <v>497</v>
      </c>
      <c r="C395" s="27" t="s">
        <v>76</v>
      </c>
      <c r="D395" s="27" t="s">
        <v>69</v>
      </c>
      <c r="E395" s="36" t="s">
        <v>31</v>
      </c>
      <c r="F395" s="37">
        <f ca="1">VLOOKUP(B395,SP!A1:I161,IF(Settings!$J$13="points",4,7),FALSE)</f>
        <v>107</v>
      </c>
      <c r="G395" s="30">
        <f>(AC395*Settings!$F$2)+(AF395*Settings!$F$5)+(AG395*Settings!$F$6)+(AH395*Settings!$F$7)+(AI395*Settings!$F$8)+(AJ395*Settings!$F$9)+(AK395*Settings!$F$10)+(AL395*Settings!$F$11)+(AM395*Settings!$F$12)+(AN395*Settings!$F$13)+(AO395*Settings!$F$14)+(AP395*Settings!$F$15)+(AQ395*Settings!$F$16)+(AR395*Settings!$F$17)</f>
        <v>143.74888888888893</v>
      </c>
      <c r="H395" s="31">
        <f>VLOOKUP(B395,'Standard Deviations'!$A1:$D651,4,FALSE)</f>
        <v>-1.85740159293148</v>
      </c>
      <c r="I395" s="32">
        <f ca="1">IF(Settings!$J$16="no",VLOOKUP(B395,SP!A1:I161,IF(Settings!$J$13="points",6,9),FALSE),VLOOKUP(B395,'SP+RP'!$A1:$I251,IF(Settings!$J$13="points",6,9),FALSE))</f>
        <v>-0.98982172519204359</v>
      </c>
      <c r="J395" s="31"/>
      <c r="K395" s="31">
        <f ca="1">J395-A395</f>
        <v>-394</v>
      </c>
      <c r="L395" s="31"/>
      <c r="M395" s="31"/>
      <c r="N395" s="31"/>
      <c r="O395" s="31"/>
      <c r="P395" s="31"/>
      <c r="Q395" s="31"/>
      <c r="R395" s="33"/>
      <c r="S395" s="33"/>
      <c r="T395" s="31"/>
      <c r="U395" s="31"/>
      <c r="V395" s="31"/>
      <c r="W395" s="31"/>
      <c r="X395" s="31"/>
      <c r="Y395" s="33"/>
      <c r="Z395" s="33"/>
      <c r="AA395" s="31"/>
      <c r="AB395" s="31"/>
      <c r="AC395" s="31">
        <f>VLOOKUP($B395,Pitchers!$A1:$S251,4,FALSE)</f>
        <v>68.016666666666666</v>
      </c>
      <c r="AD395" s="33">
        <f>VLOOKUP($B395,Pitchers!$A1:$S251,5,FALSE)</f>
        <v>3.6976966429796616</v>
      </c>
      <c r="AE395" s="33">
        <f>VLOOKUP($B395,Pitchers!$A1:$S251,6,FALSE)</f>
        <v>1.216295025728988</v>
      </c>
      <c r="AF395" s="31">
        <f>VLOOKUP($B395,Pitchers!$A1:$S251,7,FALSE)</f>
        <v>75.953333333333333</v>
      </c>
      <c r="AG395" s="31">
        <f>VLOOKUP($B395,Pitchers!$A1:$S251,8,FALSE)</f>
        <v>3.9088888888888889</v>
      </c>
      <c r="AH395" s="31">
        <f>VLOOKUP($B395,Pitchers!$A1:$S251,9,FALSE)</f>
        <v>0</v>
      </c>
      <c r="AI395" s="31">
        <f>VLOOKUP($B395,Pitchers!$A1:$S251,10,FALSE)</f>
        <v>27.944999999999997</v>
      </c>
      <c r="AJ395" s="31">
        <f>VLOOKUP($B395,Pitchers!$A1:$S251,11,FALSE)</f>
        <v>57.606666666666662</v>
      </c>
      <c r="AK395" s="31">
        <f>VLOOKUP($B395,Pitchers!$A1:$S251,12,FALSE)</f>
        <v>25.121666666666666</v>
      </c>
      <c r="AL395" s="31">
        <f>VLOOKUP($B395,Pitchers!$A1:$S251,13,FALSE)</f>
        <v>8</v>
      </c>
      <c r="AM395" s="31">
        <f>VLOOKUP($B395,Pitchers!$A1:$S251,14,FALSE)</f>
        <v>43.984444444444442</v>
      </c>
      <c r="AN395" s="31">
        <f>VLOOKUP($B395,Pitchers!$A1:$S251,15,FALSE)</f>
        <v>6.2366666666666672</v>
      </c>
      <c r="AO395" s="31">
        <f>VLOOKUP($B395,Pitchers!$A1:$S251,16,FALSE)</f>
        <v>3.5933333333333333</v>
      </c>
      <c r="AP395" s="31">
        <f>VLOOKUP($B395,Pitchers!$A1:$S251,17,FALSE)</f>
        <v>1</v>
      </c>
      <c r="AQ395" s="31">
        <f>VLOOKUP($B395,Pitchers!$A1:$S251,18,FALSE)</f>
        <v>3</v>
      </c>
      <c r="AR395" s="31">
        <f>VLOOKUP($B395,Pitchers!$A1:$S251,19,FALSE)</f>
        <v>0</v>
      </c>
    </row>
    <row r="396" spans="1:44" ht="18.600000000000001" customHeight="1">
      <c r="A396" s="25">
        <f ca="1">RANK(I396,I$2:I$651)</f>
        <v>395</v>
      </c>
      <c r="B396" s="26" t="s">
        <v>604</v>
      </c>
      <c r="C396" s="27" t="s">
        <v>176</v>
      </c>
      <c r="D396" s="27" t="s">
        <v>74</v>
      </c>
      <c r="E396" s="28" t="s">
        <v>23</v>
      </c>
      <c r="F396" s="29">
        <f ca="1">VLOOKUP(B396,OF!A1:I139,IF(Settings!$J$13="points",4,7),FALSE)</f>
        <v>92</v>
      </c>
      <c r="G396" s="30">
        <f>(M396*Settings!$B$2)+(N396*Settings!$B$3)+(O396*Settings!$B$4)+(P396*Settings!$B$5)+(Q396*Settings!$B$6)+((T396-U396-V396-O396)*Settings!$B$9)+(U396*Settings!$B$10)+(V396*Settings!$B$11)+(W396*Settings!$B$12)+(X396*Settings!$B$13)+(AA396*Settings!$B$16)</f>
        <v>214.79611111111114</v>
      </c>
      <c r="H396" s="31">
        <f>VLOOKUP(B396,'Standard Deviations'!$A1:$D651,4,FALSE)</f>
        <v>-1.1498134921467502</v>
      </c>
      <c r="I396" s="32">
        <f ca="1">VLOOKUP(B396,OF!A1:I139,IF(Settings!$J$13="points",6,9),FALSE)</f>
        <v>-0.99287912825702107</v>
      </c>
      <c r="J396" s="31"/>
      <c r="K396" s="31">
        <f ca="1">J396-A396</f>
        <v>-395</v>
      </c>
      <c r="L396" s="31"/>
      <c r="M396" s="31">
        <f>VLOOKUP($B396,Hitters!$A1:$R401,4,FALSE)</f>
        <v>295.2833333333333</v>
      </c>
      <c r="N396" s="31">
        <f>VLOOKUP($B396,Hitters!$A1:$R401,5,FALSE)</f>
        <v>41.058333333333337</v>
      </c>
      <c r="O396" s="31">
        <f>VLOOKUP($B396,Hitters!$A1:$R401,6,FALSE)</f>
        <v>11.530000000000001</v>
      </c>
      <c r="P396" s="31">
        <f>VLOOKUP($B396,Hitters!$A1:$R401,7,FALSE)</f>
        <v>43.62166666666667</v>
      </c>
      <c r="Q396" s="31">
        <f>VLOOKUP($B396,Hitters!$A1:$R401,8,FALSE)</f>
        <v>2.9466666666666668</v>
      </c>
      <c r="R396" s="33">
        <f>VLOOKUP($B396,Hitters!$A$1:$R$401,14,FALSE)</f>
        <v>0.25632443415928208</v>
      </c>
      <c r="S396" s="33">
        <f>VLOOKUP($B396,Hitters!$A$1:$R$401,15,FALSE)</f>
        <v>0.33614005097428395</v>
      </c>
      <c r="T396" s="31">
        <f>VLOOKUP($B396,Hitters!$A$1:$R$401,9,FALSE)</f>
        <v>75.688333333333333</v>
      </c>
      <c r="U396" s="31">
        <f>VLOOKUP($B396,Hitters!$A$1:$R$401,10,FALSE)</f>
        <v>16.21166666666667</v>
      </c>
      <c r="V396" s="31">
        <f>VLOOKUP($B396,Hitters!$A$1:$R$401,11,FALSE)</f>
        <v>1.1733333333333333</v>
      </c>
      <c r="W396" s="31">
        <f>VLOOKUP($B396,Hitters!$A$1:$R$401,12,FALSE)</f>
        <v>31.109999999999996</v>
      </c>
      <c r="X396" s="31">
        <f>VLOOKUP($B396,Hitters!$A$1:$R$401,13,FALSE)</f>
        <v>71.447777777777773</v>
      </c>
      <c r="Y396" s="33">
        <f>VLOOKUP($B396,Hitters!$A$1:$R$401,16,FALSE)</f>
        <v>0.43631540328498047</v>
      </c>
      <c r="Z396" s="33">
        <f>VLOOKUP($B396,Hitters!$A$1:$R$401,17,FALSE)</f>
        <v>0.77245545425926443</v>
      </c>
      <c r="AA396" s="31">
        <f>VLOOKUP($B396,Hitters!$A1:$R401,18,FALSE)</f>
        <v>0</v>
      </c>
      <c r="AB396" s="31"/>
      <c r="AC396" s="31"/>
      <c r="AD396" s="33"/>
      <c r="AE396" s="33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</row>
    <row r="397" spans="1:44" ht="20.100000000000001" customHeight="1">
      <c r="A397" s="25">
        <f ca="1">RANK(I397,I$2:I$651)</f>
        <v>396</v>
      </c>
      <c r="B397" s="26" t="s">
        <v>574</v>
      </c>
      <c r="C397" s="27" t="s">
        <v>76</v>
      </c>
      <c r="D397" s="27" t="s">
        <v>69</v>
      </c>
      <c r="E397" s="42" t="s">
        <v>34</v>
      </c>
      <c r="F397" s="43">
        <f ca="1">VLOOKUP(B397,RP!A1:I91,IF(Settings!$J$13="points",4,7),FALSE)</f>
        <v>61</v>
      </c>
      <c r="G397" s="30">
        <f>(AC397*Settings!$F$2)+(AF397*Settings!$F$5)+(AG397*Settings!$F$6)+(AH397*Settings!$F$7)+(AI397*Settings!$F$8)+(AJ397*Settings!$F$9)+(AK397*Settings!$F$10)+(AL397*Settings!$F$11)+(AM397*Settings!$F$12)+(AN397*Settings!$F$13)+(AO397*Settings!$F$14)+(AP397*Settings!$F$15)+(AQ397*Settings!$F$16)+(AR397*Settings!$F$17)</f>
        <v>149.2166666666667</v>
      </c>
      <c r="H397" s="31">
        <f>VLOOKUP(B397,'Standard Deviations'!$A1:$D651,4,FALSE)</f>
        <v>-1.870622706752501</v>
      </c>
      <c r="I397" s="32">
        <f ca="1">IF(Settings!$J$16="no",VLOOKUP(B397,RP!A1:I91,IF(Settings!$J$13="points",6,9),FALSE),VLOOKUP(B397,'SP+RP'!$A1:$I251,IF(Settings!$J$13="points",6,9),FALSE))</f>
        <v>-1.0030402679957102</v>
      </c>
      <c r="J397" s="31"/>
      <c r="K397" s="31">
        <f ca="1">J397-A397</f>
        <v>-396</v>
      </c>
      <c r="L397" s="31"/>
      <c r="M397" s="31"/>
      <c r="N397" s="31"/>
      <c r="O397" s="31"/>
      <c r="P397" s="31"/>
      <c r="Q397" s="31"/>
      <c r="R397" s="33"/>
      <c r="S397" s="33"/>
      <c r="T397" s="31"/>
      <c r="U397" s="31"/>
      <c r="V397" s="31"/>
      <c r="W397" s="31"/>
      <c r="X397" s="31"/>
      <c r="Y397" s="33"/>
      <c r="Z397" s="33"/>
      <c r="AA397" s="31"/>
      <c r="AB397" s="31"/>
      <c r="AC397" s="31">
        <f>VLOOKUP($B397,Pitchers!$A1:$S251,4,FALSE)</f>
        <v>63.163333333333334</v>
      </c>
      <c r="AD397" s="33">
        <f>VLOOKUP($B397,Pitchers!$A1:$S251,5,FALSE)</f>
        <v>3.7086389783102005</v>
      </c>
      <c r="AE397" s="33">
        <f>VLOOKUP($B397,Pitchers!$A1:$S251,6,FALSE)</f>
        <v>1.2276109557232571</v>
      </c>
      <c r="AF397" s="31">
        <f>VLOOKUP($B397,Pitchers!$A1:$S251,7,FALSE)</f>
        <v>74.382222222222225</v>
      </c>
      <c r="AG397" s="31">
        <f>VLOOKUP($B397,Pitchers!$A1:$S251,8,FALSE)</f>
        <v>3.3266666666666667</v>
      </c>
      <c r="AH397" s="31">
        <f>VLOOKUP($B397,Pitchers!$A1:$S251,9,FALSE)</f>
        <v>2.5444444444444447</v>
      </c>
      <c r="AI397" s="31">
        <f>VLOOKUP($B397,Pitchers!$A1:$S251,10,FALSE)</f>
        <v>26.027777777777775</v>
      </c>
      <c r="AJ397" s="31">
        <f>VLOOKUP($B397,Pitchers!$A1:$S251,11,FALSE)</f>
        <v>54.44</v>
      </c>
      <c r="AK397" s="31">
        <f>VLOOKUP($B397,Pitchers!$A1:$S251,12,FALSE)</f>
        <v>23.099999999999998</v>
      </c>
      <c r="AL397" s="31">
        <f>VLOOKUP($B397,Pitchers!$A1:$S251,13,FALSE)</f>
        <v>7</v>
      </c>
      <c r="AM397" s="31">
        <f>VLOOKUP($B397,Pitchers!$A1:$S251,14,FALSE)</f>
        <v>59.142222222222223</v>
      </c>
      <c r="AN397" s="31">
        <f>VLOOKUP($B397,Pitchers!$A1:$S251,15,FALSE)</f>
        <v>0.24444444444444444</v>
      </c>
      <c r="AO397" s="31">
        <f>VLOOKUP($B397,Pitchers!$A1:$S251,16,FALSE)</f>
        <v>2.9988888888888887</v>
      </c>
      <c r="AP397" s="31">
        <f>VLOOKUP($B397,Pitchers!$A1:$S251,17,FALSE)</f>
        <v>0</v>
      </c>
      <c r="AQ397" s="31">
        <f>VLOOKUP($B397,Pitchers!$A1:$S251,18,FALSE)</f>
        <v>15.5</v>
      </c>
      <c r="AR397" s="31">
        <f>VLOOKUP($B397,Pitchers!$A1:$S251,19,FALSE)</f>
        <v>0</v>
      </c>
    </row>
    <row r="398" spans="1:44" ht="18.600000000000001" customHeight="1">
      <c r="A398" s="25">
        <f ca="1">RANK(I398,I$2:I$651)</f>
        <v>397</v>
      </c>
      <c r="B398" s="26" t="s">
        <v>467</v>
      </c>
      <c r="C398" s="27" t="s">
        <v>97</v>
      </c>
      <c r="D398" s="27" t="s">
        <v>74</v>
      </c>
      <c r="E398" s="36" t="s">
        <v>31</v>
      </c>
      <c r="F398" s="37">
        <f ca="1">VLOOKUP(B398,SP!A1:I161,IF(Settings!$J$13="points",4,7),FALSE)</f>
        <v>108</v>
      </c>
      <c r="G398" s="30">
        <f>(AC398*Settings!$F$2)+(AF398*Settings!$F$5)+(AG398*Settings!$F$6)+(AH398*Settings!$F$7)+(AI398*Settings!$F$8)+(AJ398*Settings!$F$9)+(AK398*Settings!$F$10)+(AL398*Settings!$F$11)+(AM398*Settings!$F$12)+(AN398*Settings!$F$13)+(AO398*Settings!$F$14)+(AP398*Settings!$F$15)+(AQ398*Settings!$F$16)+(AR398*Settings!$F$17)</f>
        <v>164.16430555555564</v>
      </c>
      <c r="H398" s="31">
        <f>VLOOKUP(B398,'Standard Deviations'!$A1:$D651,4,FALSE)</f>
        <v>-1.8788550656963328</v>
      </c>
      <c r="I398" s="32">
        <f ca="1">IF(Settings!$J$16="no",VLOOKUP(B398,SP!A1:I161,IF(Settings!$J$13="points",6,9),FALSE),VLOOKUP(B398,'SP+RP'!$A1:$I251,IF(Settings!$J$13="points",6,9),FALSE))</f>
        <v>-1.0112716455334223</v>
      </c>
      <c r="J398" s="31"/>
      <c r="K398" s="31">
        <f ca="1">J398-A398</f>
        <v>-397</v>
      </c>
      <c r="L398" s="31"/>
      <c r="M398" s="31"/>
      <c r="N398" s="31"/>
      <c r="O398" s="31"/>
      <c r="P398" s="31"/>
      <c r="Q398" s="31"/>
      <c r="R398" s="33"/>
      <c r="S398" s="33"/>
      <c r="T398" s="31"/>
      <c r="U398" s="31"/>
      <c r="V398" s="31"/>
      <c r="W398" s="31"/>
      <c r="X398" s="31"/>
      <c r="Y398" s="33"/>
      <c r="Z398" s="33"/>
      <c r="AA398" s="31"/>
      <c r="AB398" s="31"/>
      <c r="AC398" s="31">
        <f>VLOOKUP($B398,Pitchers!$A1:$S251,4,FALSE)</f>
        <v>78.888333333333335</v>
      </c>
      <c r="AD398" s="33">
        <f>VLOOKUP($B398,Pitchers!$A1:$S251,5,FALSE)</f>
        <v>3.6180254790526694</v>
      </c>
      <c r="AE398" s="33">
        <f>VLOOKUP($B398,Pitchers!$A1:$S251,6,FALSE)</f>
        <v>1.2660370847682025</v>
      </c>
      <c r="AF398" s="31">
        <f>VLOOKUP($B398,Pitchers!$A1:$S251,7,FALSE)</f>
        <v>89.405833333333348</v>
      </c>
      <c r="AG398" s="31">
        <f>VLOOKUP($B398,Pitchers!$A1:$S251,8,FALSE)</f>
        <v>4.0975000000000001</v>
      </c>
      <c r="AH398" s="31">
        <f>VLOOKUP($B398,Pitchers!$A1:$S251,9,FALSE)</f>
        <v>3.3333333333333333E-2</v>
      </c>
      <c r="AI398" s="31">
        <f>VLOOKUP($B398,Pitchers!$A1:$S251,10,FALSE)</f>
        <v>31.713333333333335</v>
      </c>
      <c r="AJ398" s="31">
        <f>VLOOKUP($B398,Pitchers!$A1:$S251,11,FALSE)</f>
        <v>67.752222222222215</v>
      </c>
      <c r="AK398" s="31">
        <f>VLOOKUP($B398,Pitchers!$A1:$S251,12,FALSE)</f>
        <v>32.123333333333335</v>
      </c>
      <c r="AL398" s="31">
        <f>VLOOKUP($B398,Pitchers!$A1:$S251,13,FALSE)</f>
        <v>7.166666666666667</v>
      </c>
      <c r="AM398" s="31">
        <f>VLOOKUP($B398,Pitchers!$A1:$S251,14,FALSE)</f>
        <v>38.613333333333337</v>
      </c>
      <c r="AN398" s="31">
        <f>VLOOKUP($B398,Pitchers!$A1:$S251,15,FALSE)</f>
        <v>8.8016666666666659</v>
      </c>
      <c r="AO398" s="31">
        <f>VLOOKUP($B398,Pitchers!$A1:$S251,16,FALSE)</f>
        <v>4.1061111111111108</v>
      </c>
      <c r="AP398" s="31">
        <f>VLOOKUP($B398,Pitchers!$A1:$S251,17,FALSE)</f>
        <v>2</v>
      </c>
      <c r="AQ398" s="31">
        <f>VLOOKUP($B398,Pitchers!$A1:$S251,18,FALSE)</f>
        <v>1.5</v>
      </c>
      <c r="AR398" s="31">
        <f>VLOOKUP($B398,Pitchers!$A1:$S251,19,FALSE)</f>
        <v>0</v>
      </c>
    </row>
    <row r="399" spans="1:44" ht="18.600000000000001" customHeight="1">
      <c r="A399" s="25">
        <f ca="1">RANK(I399,I$2:I$651)</f>
        <v>398</v>
      </c>
      <c r="B399" s="26" t="s">
        <v>526</v>
      </c>
      <c r="C399" s="27" t="s">
        <v>78</v>
      </c>
      <c r="D399" s="27" t="s">
        <v>69</v>
      </c>
      <c r="E399" s="42" t="s">
        <v>34</v>
      </c>
      <c r="F399" s="43">
        <f ca="1">VLOOKUP(B399,RP!A1:I91,IF(Settings!$J$13="points",4,7),FALSE)</f>
        <v>62</v>
      </c>
      <c r="G399" s="30">
        <f>(AC399*Settings!$F$2)+(AF399*Settings!$F$5)+(AG399*Settings!$F$6)+(AH399*Settings!$F$7)+(AI399*Settings!$F$8)+(AJ399*Settings!$F$9)+(AK399*Settings!$F$10)+(AL399*Settings!$F$11)+(AM399*Settings!$F$12)+(AN399*Settings!$F$13)+(AO399*Settings!$F$14)+(AP399*Settings!$F$15)+(AQ399*Settings!$F$16)+(AR399*Settings!$F$17)</f>
        <v>163.08000000000001</v>
      </c>
      <c r="H399" s="31">
        <f>VLOOKUP(B399,'Standard Deviations'!$A1:$D651,4,FALSE)</f>
        <v>-1.8949767037603324</v>
      </c>
      <c r="I399" s="32">
        <f ca="1">IF(Settings!$J$16="no",VLOOKUP(B399,RP!A1:I91,IF(Settings!$J$13="points",6,9),FALSE),VLOOKUP(B399,'SP+RP'!$A1:$I251,IF(Settings!$J$13="points",6,9),FALSE))</f>
        <v>-1.0273959272825026</v>
      </c>
      <c r="J399" s="31"/>
      <c r="K399" s="31">
        <f ca="1">J399-A399</f>
        <v>-398</v>
      </c>
      <c r="L399" s="31"/>
      <c r="M399" s="31"/>
      <c r="N399" s="31"/>
      <c r="O399" s="31"/>
      <c r="P399" s="31"/>
      <c r="Q399" s="31"/>
      <c r="R399" s="33"/>
      <c r="S399" s="33"/>
      <c r="T399" s="31"/>
      <c r="U399" s="31"/>
      <c r="V399" s="31"/>
      <c r="W399" s="31"/>
      <c r="X399" s="31"/>
      <c r="Y399" s="33"/>
      <c r="Z399" s="33"/>
      <c r="AA399" s="31"/>
      <c r="AB399" s="31"/>
      <c r="AC399" s="31">
        <f>VLOOKUP($B399,Pitchers!$A1:$S251,4,FALSE)</f>
        <v>61.515555555555558</v>
      </c>
      <c r="AD399" s="33">
        <f>VLOOKUP($B399,Pitchers!$A1:$S251,5,FALSE)</f>
        <v>3.7756303735279246</v>
      </c>
      <c r="AE399" s="33">
        <f>VLOOKUP($B399,Pitchers!$A1:$S251,6,FALSE)</f>
        <v>1.2354056787804348</v>
      </c>
      <c r="AF399" s="31">
        <f>VLOOKUP($B399,Pitchers!$A1:$S251,7,FALSE)</f>
        <v>62.422222222222217</v>
      </c>
      <c r="AG399" s="31">
        <f>VLOOKUP($B399,Pitchers!$A1:$S251,8,FALSE)</f>
        <v>3.5155555555555558</v>
      </c>
      <c r="AH399" s="31">
        <f>VLOOKUP($B399,Pitchers!$A1:$S251,9,FALSE)</f>
        <v>5.6444444444444448</v>
      </c>
      <c r="AI399" s="31">
        <f>VLOOKUP($B399,Pitchers!$A1:$S251,10,FALSE)</f>
        <v>25.806666666666668</v>
      </c>
      <c r="AJ399" s="31">
        <f>VLOOKUP($B399,Pitchers!$A1:$S251,11,FALSE)</f>
        <v>55.53</v>
      </c>
      <c r="AK399" s="31">
        <f>VLOOKUP($B399,Pitchers!$A1:$S251,12,FALSE)</f>
        <v>20.466666666666665</v>
      </c>
      <c r="AL399" s="31">
        <f>VLOOKUP($B399,Pitchers!$A1:$S251,13,FALSE)</f>
        <v>5.7</v>
      </c>
      <c r="AM399" s="31">
        <f>VLOOKUP($B399,Pitchers!$A1:$S251,14,FALSE)</f>
        <v>60.675555555555555</v>
      </c>
      <c r="AN399" s="31">
        <f>VLOOKUP($B399,Pitchers!$A1:$S251,15,FALSE)</f>
        <v>0</v>
      </c>
      <c r="AO399" s="31">
        <f>VLOOKUP($B399,Pitchers!$A1:$S251,16,FALSE)</f>
        <v>2.9988888888888887</v>
      </c>
      <c r="AP399" s="31">
        <f>VLOOKUP($B399,Pitchers!$A1:$S251,17,FALSE)</f>
        <v>0</v>
      </c>
      <c r="AQ399" s="31">
        <f>VLOOKUP($B399,Pitchers!$A1:$S251,18,FALSE)</f>
        <v>16</v>
      </c>
      <c r="AR399" s="31">
        <f>VLOOKUP($B399,Pitchers!$A1:$S251,19,FALSE)</f>
        <v>3</v>
      </c>
    </row>
    <row r="400" spans="1:44" ht="18.600000000000001" customHeight="1">
      <c r="A400" s="25">
        <f ca="1">RANK(I400,I$2:I$651)</f>
        <v>399</v>
      </c>
      <c r="B400" s="26" t="s">
        <v>440</v>
      </c>
      <c r="C400" s="27" t="s">
        <v>258</v>
      </c>
      <c r="D400" s="27" t="s">
        <v>69</v>
      </c>
      <c r="E400" s="36" t="s">
        <v>31</v>
      </c>
      <c r="F400" s="37">
        <f ca="1">VLOOKUP(B400,SP!A1:I161,IF(Settings!$J$13="points",4,7),FALSE)</f>
        <v>109</v>
      </c>
      <c r="G400" s="30">
        <f>(AC400*Settings!$F$2)+(AF400*Settings!$F$5)+(AG400*Settings!$F$6)+(AH400*Settings!$F$7)+(AI400*Settings!$F$8)+(AJ400*Settings!$F$9)+(AK400*Settings!$F$10)+(AL400*Settings!$F$11)+(AM400*Settings!$F$12)+(AN400*Settings!$F$13)+(AO400*Settings!$F$14)+(AP400*Settings!$F$15)+(AQ400*Settings!$F$16)+(AR400*Settings!$F$17)</f>
        <v>260.36539999999985</v>
      </c>
      <c r="H400" s="31">
        <f>VLOOKUP(B400,'Standard Deviations'!$A1:$D651,4,FALSE)</f>
        <v>-1.9061748831931529</v>
      </c>
      <c r="I400" s="32">
        <f ca="1">IF(Settings!$J$16="no",VLOOKUP(B400,SP!A1:I161,IF(Settings!$J$13="points",6,9),FALSE),VLOOKUP(B400,'SP+RP'!$A1:$I251,IF(Settings!$J$13="points",6,9),FALSE))</f>
        <v>-1.0385945778845362</v>
      </c>
      <c r="J400" s="31"/>
      <c r="K400" s="31">
        <f ca="1">J400-A400</f>
        <v>-399</v>
      </c>
      <c r="L400" s="31"/>
      <c r="M400" s="31"/>
      <c r="N400" s="31"/>
      <c r="O400" s="31"/>
      <c r="P400" s="31"/>
      <c r="Q400" s="31"/>
      <c r="R400" s="33"/>
      <c r="S400" s="33"/>
      <c r="T400" s="31"/>
      <c r="U400" s="31"/>
      <c r="V400" s="31"/>
      <c r="W400" s="31"/>
      <c r="X400" s="31"/>
      <c r="Y400" s="33"/>
      <c r="Z400" s="33"/>
      <c r="AA400" s="31"/>
      <c r="AB400" s="31"/>
      <c r="AC400" s="31">
        <f>VLOOKUP($B400,Pitchers!$A1:$S251,4,FALSE)</f>
        <v>129.98166666666665</v>
      </c>
      <c r="AD400" s="33">
        <f>VLOOKUP($B400,Pitchers!$A1:$S251,5,FALSE)</f>
        <v>4.2472443549731373</v>
      </c>
      <c r="AE400" s="33">
        <f>VLOOKUP($B400,Pitchers!$A1:$S251,6,FALSE)</f>
        <v>1.2616522842965034</v>
      </c>
      <c r="AF400" s="31">
        <f>VLOOKUP($B400,Pitchers!$A1:$S251,7,FALSE)</f>
        <v>120.05166666666666</v>
      </c>
      <c r="AG400" s="31">
        <f>VLOOKUP($B400,Pitchers!$A1:$S251,8,FALSE)</f>
        <v>6.53</v>
      </c>
      <c r="AH400" s="31">
        <f>VLOOKUP($B400,Pitchers!$A1:$S251,9,FALSE)</f>
        <v>0</v>
      </c>
      <c r="AI400" s="31">
        <f>VLOOKUP($B400,Pitchers!$A1:$S251,10,FALSE)</f>
        <v>61.34043333333333</v>
      </c>
      <c r="AJ400" s="31">
        <f>VLOOKUP($B400,Pitchers!$A1:$S251,11,FALSE)</f>
        <v>123.63166666666666</v>
      </c>
      <c r="AK400" s="31">
        <f>VLOOKUP($B400,Pitchers!$A1:$S251,12,FALSE)</f>
        <v>40.36</v>
      </c>
      <c r="AL400" s="31">
        <f>VLOOKUP($B400,Pitchers!$A1:$S251,13,FALSE)</f>
        <v>18.666666666666668</v>
      </c>
      <c r="AM400" s="31">
        <f>VLOOKUP($B400,Pitchers!$A1:$S251,14,FALSE)</f>
        <v>24.655000000000001</v>
      </c>
      <c r="AN400" s="31">
        <f>VLOOKUP($B400,Pitchers!$A1:$S251,15,FALSE)</f>
        <v>23.671666666666667</v>
      </c>
      <c r="AO400" s="31">
        <f>VLOOKUP($B400,Pitchers!$A1:$S251,16,FALSE)</f>
        <v>9.7966666666666669</v>
      </c>
      <c r="AP400" s="31">
        <f>VLOOKUP($B400,Pitchers!$A1:$S251,17,FALSE)</f>
        <v>13</v>
      </c>
      <c r="AQ400" s="31">
        <f>VLOOKUP($B400,Pitchers!$A1:$S251,18,FALSE)</f>
        <v>0</v>
      </c>
      <c r="AR400" s="31">
        <f>VLOOKUP($B400,Pitchers!$A1:$S251,19,FALSE)</f>
        <v>0</v>
      </c>
    </row>
    <row r="401" spans="1:44" ht="18.600000000000001" customHeight="1">
      <c r="A401" s="25">
        <f ca="1">RANK(I401,I$2:I$651)</f>
        <v>400</v>
      </c>
      <c r="B401" s="26" t="s">
        <v>512</v>
      </c>
      <c r="C401" s="27" t="s">
        <v>114</v>
      </c>
      <c r="D401" s="27" t="s">
        <v>69</v>
      </c>
      <c r="E401" s="42" t="s">
        <v>34</v>
      </c>
      <c r="F401" s="43">
        <f ca="1">VLOOKUP(B401,RP!A1:I91,IF(Settings!$J$13="points",4,7),FALSE)</f>
        <v>63</v>
      </c>
      <c r="G401" s="30">
        <f>(AC401*Settings!$F$2)+(AF401*Settings!$F$5)+(AG401*Settings!$F$6)+(AH401*Settings!$F$7)+(AI401*Settings!$F$8)+(AJ401*Settings!$F$9)+(AK401*Settings!$F$10)+(AL401*Settings!$F$11)+(AM401*Settings!$F$12)+(AN401*Settings!$F$13)+(AO401*Settings!$F$14)+(AP401*Settings!$F$15)+(AQ401*Settings!$F$16)+(AR401*Settings!$F$17)</f>
        <v>204.34055555555557</v>
      </c>
      <c r="H401" s="31">
        <f>VLOOKUP(B401,'Standard Deviations'!$A1:$D651,4,FALSE)</f>
        <v>-1.9282657225302695</v>
      </c>
      <c r="I401" s="32">
        <f ca="1">IF(Settings!$J$16="no",VLOOKUP(B401,RP!A1:I91,IF(Settings!$J$13="points",6,9),FALSE),VLOOKUP(B401,'SP+RP'!$A1:$I251,IF(Settings!$J$13="points",6,9),FALSE))</f>
        <v>-1.0606852440402461</v>
      </c>
      <c r="J401" s="31"/>
      <c r="K401" s="31">
        <f ca="1">J401-A401</f>
        <v>-400</v>
      </c>
      <c r="L401" s="31"/>
      <c r="M401" s="31"/>
      <c r="N401" s="31"/>
      <c r="O401" s="31"/>
      <c r="P401" s="31"/>
      <c r="Q401" s="31"/>
      <c r="R401" s="33"/>
      <c r="S401" s="33"/>
      <c r="T401" s="31"/>
      <c r="U401" s="31"/>
      <c r="V401" s="31"/>
      <c r="W401" s="31"/>
      <c r="X401" s="31"/>
      <c r="Y401" s="33"/>
      <c r="Z401" s="33"/>
      <c r="AA401" s="31"/>
      <c r="AB401" s="31"/>
      <c r="AC401" s="31">
        <f>VLOOKUP($B401,Pitchers!$A1:$S251,4,FALSE)</f>
        <v>62.73</v>
      </c>
      <c r="AD401" s="33">
        <f>VLOOKUP($B401,Pitchers!$A1:$S251,5,FALSE)</f>
        <v>3.859078590785908</v>
      </c>
      <c r="AE401" s="33">
        <f>VLOOKUP($B401,Pitchers!$A1:$S251,6,FALSE)</f>
        <v>1.2887153054537084</v>
      </c>
      <c r="AF401" s="31">
        <f>VLOOKUP($B401,Pitchers!$A1:$S251,7,FALSE)</f>
        <v>61.776666666666664</v>
      </c>
      <c r="AG401" s="31">
        <f>VLOOKUP($B401,Pitchers!$A1:$S251,8,FALSE)</f>
        <v>3.0144444444444445</v>
      </c>
      <c r="AH401" s="31">
        <f>VLOOKUP($B401,Pitchers!$A1:$S251,9,FALSE)</f>
        <v>12.422222222222222</v>
      </c>
      <c r="AI401" s="31">
        <f>VLOOKUP($B401,Pitchers!$A1:$S251,10,FALSE)</f>
        <v>26.897777777777776</v>
      </c>
      <c r="AJ401" s="31">
        <f>VLOOKUP($B401,Pitchers!$A1:$S251,11,FALSE)</f>
        <v>57.551111111111112</v>
      </c>
      <c r="AK401" s="31">
        <f>VLOOKUP($B401,Pitchers!$A1:$S251,12,FALSE)</f>
        <v>23.290000000000003</v>
      </c>
      <c r="AL401" s="31">
        <f>VLOOKUP($B401,Pitchers!$A1:$S251,13,FALSE)</f>
        <v>6.5666666666666664</v>
      </c>
      <c r="AM401" s="31">
        <f>VLOOKUP($B401,Pitchers!$A1:$S251,14,FALSE)</f>
        <v>61.19777777777778</v>
      </c>
      <c r="AN401" s="31">
        <f>VLOOKUP($B401,Pitchers!$A1:$S251,15,FALSE)</f>
        <v>1.1111111111111112E-2</v>
      </c>
      <c r="AO401" s="31">
        <f>VLOOKUP($B401,Pitchers!$A1:$S251,16,FALSE)</f>
        <v>3.0111111111111111</v>
      </c>
      <c r="AP401" s="31">
        <f>VLOOKUP($B401,Pitchers!$A1:$S251,17,FALSE)</f>
        <v>0</v>
      </c>
      <c r="AQ401" s="31">
        <f>VLOOKUP($B401,Pitchers!$A1:$S251,18,FALSE)</f>
        <v>12.5</v>
      </c>
      <c r="AR401" s="31">
        <f>VLOOKUP($B401,Pitchers!$A1:$S251,19,FALSE)</f>
        <v>3</v>
      </c>
    </row>
    <row r="402" spans="1:44" ht="20.100000000000001" customHeight="1">
      <c r="A402" s="25">
        <f ca="1">RANK(I402,I$2:I$651)</f>
        <v>401</v>
      </c>
      <c r="B402" s="26" t="s">
        <v>599</v>
      </c>
      <c r="C402" s="27" t="s">
        <v>101</v>
      </c>
      <c r="D402" s="27" t="s">
        <v>69</v>
      </c>
      <c r="E402" s="42" t="s">
        <v>34</v>
      </c>
      <c r="F402" s="43">
        <f ca="1">VLOOKUP(B402,RP!A1:I91,IF(Settings!$J$13="points",4,7),FALSE)</f>
        <v>64</v>
      </c>
      <c r="G402" s="30">
        <f>(AC402*Settings!$F$2)+(AF402*Settings!$F$5)+(AG402*Settings!$F$6)+(AH402*Settings!$F$7)+(AI402*Settings!$F$8)+(AJ402*Settings!$F$9)+(AK402*Settings!$F$10)+(AL402*Settings!$F$11)+(AM402*Settings!$F$12)+(AN402*Settings!$F$13)+(AO402*Settings!$F$14)+(AP402*Settings!$F$15)+(AQ402*Settings!$F$16)+(AR402*Settings!$F$17)</f>
        <v>138.14111111111112</v>
      </c>
      <c r="H402" s="31">
        <f>VLOOKUP(B402,'Standard Deviations'!$A1:$D651,4,FALSE)</f>
        <v>-1.9433502696250573</v>
      </c>
      <c r="I402" s="32">
        <f ca="1">IF(Settings!$J$16="no",VLOOKUP(B402,RP!A1:I91,IF(Settings!$J$13="points",6,9),FALSE),VLOOKUP(B402,'SP+RP'!$A1:$I251,IF(Settings!$J$13="points",6,9),FALSE))</f>
        <v>-1.0757693928702989</v>
      </c>
      <c r="J402" s="31"/>
      <c r="K402" s="31">
        <f ca="1">J402-A402</f>
        <v>-401</v>
      </c>
      <c r="L402" s="31"/>
      <c r="M402" s="31"/>
      <c r="N402" s="31"/>
      <c r="O402" s="31"/>
      <c r="P402" s="31"/>
      <c r="Q402" s="31"/>
      <c r="R402" s="33"/>
      <c r="S402" s="33"/>
      <c r="T402" s="31"/>
      <c r="U402" s="31"/>
      <c r="V402" s="31"/>
      <c r="W402" s="31"/>
      <c r="X402" s="31"/>
      <c r="Y402" s="33"/>
      <c r="Z402" s="33"/>
      <c r="AA402" s="31"/>
      <c r="AB402" s="31"/>
      <c r="AC402" s="31">
        <f>VLOOKUP($B402,Pitchers!$A1:$S251,4,FALSE)</f>
        <v>61.862222222222222</v>
      </c>
      <c r="AD402" s="33">
        <f>VLOOKUP($B402,Pitchers!$A1:$S251,5,FALSE)</f>
        <v>3.5192722178317406</v>
      </c>
      <c r="AE402" s="33">
        <f>VLOOKUP($B402,Pitchers!$A1:$S251,6,FALSE)</f>
        <v>1.2453121632301172</v>
      </c>
      <c r="AF402" s="31">
        <f>VLOOKUP($B402,Pitchers!$A1:$S251,7,FALSE)</f>
        <v>67.477777777777774</v>
      </c>
      <c r="AG402" s="31">
        <f>VLOOKUP($B402,Pitchers!$A1:$S251,8,FALSE)</f>
        <v>3.03</v>
      </c>
      <c r="AH402" s="31">
        <f>VLOOKUP($B402,Pitchers!$A1:$S251,9,FALSE)</f>
        <v>1.9777777777777779</v>
      </c>
      <c r="AI402" s="31">
        <f>VLOOKUP($B402,Pitchers!$A1:$S251,10,FALSE)</f>
        <v>24.189999999999998</v>
      </c>
      <c r="AJ402" s="31">
        <f>VLOOKUP($B402,Pitchers!$A1:$S251,11,FALSE)</f>
        <v>54.44</v>
      </c>
      <c r="AK402" s="31">
        <f>VLOOKUP($B402,Pitchers!$A1:$S251,12,FALSE)</f>
        <v>22.597777777777779</v>
      </c>
      <c r="AL402" s="31">
        <f>VLOOKUP($B402,Pitchers!$A1:$S251,13,FALSE)</f>
        <v>6.8500000000000005</v>
      </c>
      <c r="AM402" s="31">
        <f>VLOOKUP($B402,Pitchers!$A1:$S251,14,FALSE)</f>
        <v>55.131111111111117</v>
      </c>
      <c r="AN402" s="31">
        <f>VLOOKUP($B402,Pitchers!$A1:$S251,15,FALSE)</f>
        <v>1.9222222222222223</v>
      </c>
      <c r="AO402" s="31">
        <f>VLOOKUP($B402,Pitchers!$A1:$S251,16,FALSE)</f>
        <v>3.0022222222222226</v>
      </c>
      <c r="AP402" s="31">
        <f>VLOOKUP($B402,Pitchers!$A1:$S251,17,FALSE)</f>
        <v>0</v>
      </c>
      <c r="AQ402" s="31">
        <f>VLOOKUP($B402,Pitchers!$A1:$S251,18,FALSE)</f>
        <v>8</v>
      </c>
      <c r="AR402" s="31">
        <f>VLOOKUP($B402,Pitchers!$A1:$S251,19,FALSE)</f>
        <v>0</v>
      </c>
    </row>
    <row r="403" spans="1:44" ht="18.600000000000001" customHeight="1">
      <c r="A403" s="25">
        <f ca="1">RANK(I403,I$2:I$651)</f>
        <v>402</v>
      </c>
      <c r="B403" s="26" t="s">
        <v>457</v>
      </c>
      <c r="C403" s="27" t="s">
        <v>306</v>
      </c>
      <c r="D403" s="27" t="s">
        <v>74</v>
      </c>
      <c r="E403" s="28" t="s">
        <v>23</v>
      </c>
      <c r="F403" s="29">
        <f ca="1">VLOOKUP(B403,OF!A1:I139,IF(Settings!$J$13="points",4,7),FALSE)</f>
        <v>93</v>
      </c>
      <c r="G403" s="30">
        <f>(M403*Settings!$B$2)+(N403*Settings!$B$3)+(O403*Settings!$B$4)+(P403*Settings!$B$5)+(Q403*Settings!$B$6)+((T403-U403-V403-O403)*Settings!$B$9)+(U403*Settings!$B$10)+(V403*Settings!$B$11)+(W403*Settings!$B$12)+(X403*Settings!$B$13)+(AA403*Settings!$B$16)</f>
        <v>227.16777777777781</v>
      </c>
      <c r="H403" s="31">
        <f>VLOOKUP(B403,'Standard Deviations'!$A1:$D651,4,FALSE)</f>
        <v>-1.248149705396598</v>
      </c>
      <c r="I403" s="32">
        <f ca="1">VLOOKUP(B403,OF!A1:I139,IF(Settings!$J$13="points",6,9),FALSE)</f>
        <v>-1.0912188136684307</v>
      </c>
      <c r="J403" s="31"/>
      <c r="K403" s="31">
        <f ca="1">J403-A403</f>
        <v>-402</v>
      </c>
      <c r="L403" s="31"/>
      <c r="M403" s="31">
        <f>VLOOKUP($B403,Hitters!$A1:$R401,4,FALSE)</f>
        <v>401.13333333333327</v>
      </c>
      <c r="N403" s="31">
        <f>VLOOKUP($B403,Hitters!$A1:$R401,5,FALSE)</f>
        <v>47.656666666666666</v>
      </c>
      <c r="O403" s="31">
        <f>VLOOKUP($B403,Hitters!$A1:$R401,6,FALSE)</f>
        <v>8.0666666666666664</v>
      </c>
      <c r="P403" s="31">
        <f>VLOOKUP($B403,Hitters!$A1:$R401,7,FALSE)</f>
        <v>37.03</v>
      </c>
      <c r="Q403" s="31">
        <f>VLOOKUP($B403,Hitters!$A1:$R401,8,FALSE)</f>
        <v>16.243333333333336</v>
      </c>
      <c r="R403" s="33">
        <f>VLOOKUP($B403,Hitters!$A$1:$R$401,14,FALSE)</f>
        <v>0.22646252285191965</v>
      </c>
      <c r="S403" s="33">
        <f>VLOOKUP($B403,Hitters!$A$1:$R$401,15,FALSE)</f>
        <v>0.28689990538725152</v>
      </c>
      <c r="T403" s="31">
        <f>VLOOKUP($B403,Hitters!$A$1:$R$401,9,FALSE)</f>
        <v>90.841666666666683</v>
      </c>
      <c r="U403" s="31">
        <f>VLOOKUP($B403,Hitters!$A$1:$R$401,10,FALSE)</f>
        <v>19.206666666666667</v>
      </c>
      <c r="V403" s="31">
        <f>VLOOKUP($B403,Hitters!$A$1:$R$401,11,FALSE)</f>
        <v>1.9988888888888889</v>
      </c>
      <c r="W403" s="31">
        <f>VLOOKUP($B403,Hitters!$A$1:$R$401,12,FALSE)</f>
        <v>27.196666666666669</v>
      </c>
      <c r="X403" s="31">
        <f>VLOOKUP($B403,Hitters!$A$1:$R$401,13,FALSE)</f>
        <v>110.89666666666666</v>
      </c>
      <c r="Y403" s="33">
        <f>VLOOKUP($B403,Hitters!$A$1:$R$401,16,FALSE)</f>
        <v>0.34463880117445028</v>
      </c>
      <c r="Z403" s="33">
        <f>VLOOKUP($B403,Hitters!$A$1:$R$401,17,FALSE)</f>
        <v>0.63153870656170175</v>
      </c>
      <c r="AA403" s="31">
        <f>VLOOKUP($B403,Hitters!$A1:$R401,18,FALSE)</f>
        <v>0</v>
      </c>
      <c r="AB403" s="31"/>
      <c r="AC403" s="31"/>
      <c r="AD403" s="33"/>
      <c r="AE403" s="33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</row>
    <row r="404" spans="1:44" ht="20.100000000000001" customHeight="1">
      <c r="A404" s="25">
        <f ca="1">RANK(I404,I$2:I$651)</f>
        <v>403</v>
      </c>
      <c r="B404" s="26" t="s">
        <v>444</v>
      </c>
      <c r="C404" s="27" t="s">
        <v>86</v>
      </c>
      <c r="D404" s="27" t="s">
        <v>69</v>
      </c>
      <c r="E404" s="46" t="s">
        <v>19</v>
      </c>
      <c r="F404" s="47">
        <f ca="1">VLOOKUP(B404,'C'!A1:I54,IF(Settings!$J$13="points",4,7),FALSE)</f>
        <v>17</v>
      </c>
      <c r="G404" s="30">
        <f>(M404*Settings!$B$2)+(N404*Settings!$B$3)+(O404*Settings!$B$4)+(P404*Settings!$B$5)+(Q404*Settings!$B$6)+((T404-U404-V404-O404)*Settings!$B$9)+(U404*Settings!$B$10)+(V404*Settings!$B$11)+(W404*Settings!$B$12)+(X404*Settings!$B$13)+(AA404*Settings!$B$16)</f>
        <v>236.78777777777779</v>
      </c>
      <c r="H404" s="31">
        <f>VLOOKUP(B404,'Standard Deviations'!$A1:$D651,4,FALSE)</f>
        <v>-1.8813306704607216</v>
      </c>
      <c r="I404" s="32">
        <f ca="1">VLOOKUP(B404,'C'!A1:I54,IF(Settings!$J$13="points",6,9),FALSE)</f>
        <v>-1.0948106824995971</v>
      </c>
      <c r="J404" s="31"/>
      <c r="K404" s="31">
        <f ca="1">J404-A404</f>
        <v>-403</v>
      </c>
      <c r="L404" s="31"/>
      <c r="M404" s="31">
        <f>VLOOKUP($B404,Hitters!$A1:$R401,4,FALSE)</f>
        <v>370.26666666666665</v>
      </c>
      <c r="N404" s="31">
        <f>VLOOKUP($B404,Hitters!$A1:$R401,5,FALSE)</f>
        <v>43.384999999999998</v>
      </c>
      <c r="O404" s="31">
        <f>VLOOKUP($B404,Hitters!$A1:$R401,6,FALSE)</f>
        <v>13.995555555555555</v>
      </c>
      <c r="P404" s="31">
        <f>VLOOKUP($B404,Hitters!$A1:$R401,7,FALSE)</f>
        <v>47.298333333333339</v>
      </c>
      <c r="Q404" s="31">
        <f>VLOOKUP($B404,Hitters!$A1:$R401,8,FALSE)</f>
        <v>2.5811111111111109</v>
      </c>
      <c r="R404" s="33">
        <f>VLOOKUP($B404,Hitters!$A$1:$R$401,14,FALSE)</f>
        <v>0.23212399471852121</v>
      </c>
      <c r="S404" s="33">
        <f>VLOOKUP($B404,Hitters!$A$1:$R$401,15,FALSE)</f>
        <v>0.30445303308587346</v>
      </c>
      <c r="T404" s="31">
        <f>VLOOKUP($B404,Hitters!$A$1:$R$401,9,FALSE)</f>
        <v>85.947777777777787</v>
      </c>
      <c r="U404" s="31">
        <f>VLOOKUP($B404,Hitters!$A$1:$R$401,10,FALSE)</f>
        <v>18.046666666666667</v>
      </c>
      <c r="V404" s="31">
        <f>VLOOKUP($B404,Hitters!$A$1:$R$401,11,FALSE)</f>
        <v>0.99888888888888883</v>
      </c>
      <c r="W404" s="31">
        <f>VLOOKUP($B404,Hitters!$A$1:$R$401,12,FALSE)</f>
        <v>32.48833333333333</v>
      </c>
      <c r="X404" s="31">
        <f>VLOOKUP($B404,Hitters!$A$1:$R$401,13,FALSE)</f>
        <v>79.05</v>
      </c>
      <c r="Y404" s="33">
        <f>VLOOKUP($B404,Hitters!$A$1:$R$401,16,FALSE)</f>
        <v>0.39965490337294446</v>
      </c>
      <c r="Z404" s="33">
        <f>VLOOKUP($B404,Hitters!$A$1:$R$401,17,FALSE)</f>
        <v>0.70410793645881786</v>
      </c>
      <c r="AA404" s="31">
        <f>VLOOKUP($B404,Hitters!$A1:$R401,18,FALSE)</f>
        <v>0</v>
      </c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</row>
    <row r="405" spans="1:44" ht="18.600000000000001" customHeight="1">
      <c r="A405" s="25">
        <f ca="1">RANK(I405,I$2:I$651)</f>
        <v>404</v>
      </c>
      <c r="B405" s="26" t="s">
        <v>475</v>
      </c>
      <c r="C405" s="27" t="s">
        <v>103</v>
      </c>
      <c r="D405" s="27" t="s">
        <v>69</v>
      </c>
      <c r="E405" s="36" t="s">
        <v>31</v>
      </c>
      <c r="F405" s="37">
        <f ca="1">VLOOKUP(B405,SP!A1:I161,IF(Settings!$J$13="points",4,7),FALSE)</f>
        <v>110</v>
      </c>
      <c r="G405" s="30">
        <f>(AC405*Settings!$F$2)+(AF405*Settings!$F$5)+(AG405*Settings!$F$6)+(AH405*Settings!$F$7)+(AI405*Settings!$F$8)+(AJ405*Settings!$F$9)+(AK405*Settings!$F$10)+(AL405*Settings!$F$11)+(AM405*Settings!$F$12)+(AN405*Settings!$F$13)+(AO405*Settings!$F$14)+(AP405*Settings!$F$15)+(AQ405*Settings!$F$16)+(AR405*Settings!$F$17)</f>
        <v>326.96888888888878</v>
      </c>
      <c r="H405" s="31">
        <f>VLOOKUP(B405,'Standard Deviations'!$A1:$D651,4,FALSE)</f>
        <v>-1.9659840492078622</v>
      </c>
      <c r="I405" s="32">
        <f ca="1">IF(Settings!$J$16="no",VLOOKUP(B405,SP!A1:I161,IF(Settings!$J$13="points",6,9),FALSE),VLOOKUP(B405,'SP+RP'!$A1:$I251,IF(Settings!$J$13="points",6,9),FALSE))</f>
        <v>-1.0984019083220908</v>
      </c>
      <c r="J405" s="31"/>
      <c r="K405" s="31">
        <f ca="1">J405-A405</f>
        <v>-404</v>
      </c>
      <c r="L405" s="31"/>
      <c r="M405" s="31"/>
      <c r="N405" s="31"/>
      <c r="O405" s="31"/>
      <c r="P405" s="31"/>
      <c r="Q405" s="31"/>
      <c r="R405" s="33"/>
      <c r="S405" s="33"/>
      <c r="T405" s="31"/>
      <c r="U405" s="31"/>
      <c r="V405" s="31"/>
      <c r="W405" s="31"/>
      <c r="X405" s="31"/>
      <c r="Y405" s="33"/>
      <c r="Z405" s="33"/>
      <c r="AA405" s="31"/>
      <c r="AB405" s="31"/>
      <c r="AC405" s="31">
        <f>VLOOKUP($B405,Pitchers!$A1:$S251,4,FALSE)</f>
        <v>169.13888888888889</v>
      </c>
      <c r="AD405" s="33">
        <f>VLOOKUP($B405,Pitchers!$A1:$S251,5,FALSE)</f>
        <v>4.5972869108227945</v>
      </c>
      <c r="AE405" s="33">
        <f>VLOOKUP($B405,Pitchers!$A1:$S251,6,FALSE)</f>
        <v>1.3678305140417146</v>
      </c>
      <c r="AF405" s="31">
        <f>VLOOKUP($B405,Pitchers!$A1:$S251,7,FALSE)</f>
        <v>162.30444444444444</v>
      </c>
      <c r="AG405" s="31">
        <f>VLOOKUP($B405,Pitchers!$A1:$S251,8,FALSE)</f>
        <v>9.9922222222222228</v>
      </c>
      <c r="AH405" s="31">
        <f>VLOOKUP($B405,Pitchers!$A1:$S251,9,FALSE)</f>
        <v>0</v>
      </c>
      <c r="AI405" s="31">
        <f>VLOOKUP($B405,Pitchers!$A1:$S251,10,FALSE)</f>
        <v>86.397777777777776</v>
      </c>
      <c r="AJ405" s="31">
        <f>VLOOKUP($B405,Pitchers!$A1:$S251,11,FALSE)</f>
        <v>164.9088888888889</v>
      </c>
      <c r="AK405" s="31">
        <f>VLOOKUP($B405,Pitchers!$A1:$S251,12,FALSE)</f>
        <v>66.444444444444443</v>
      </c>
      <c r="AL405" s="31">
        <f>VLOOKUP($B405,Pitchers!$A1:$S251,13,FALSE)</f>
        <v>25.599999999999998</v>
      </c>
      <c r="AM405" s="31">
        <f>VLOOKUP($B405,Pitchers!$A1:$S251,14,FALSE)</f>
        <v>31.442222222222224</v>
      </c>
      <c r="AN405" s="31">
        <f>VLOOKUP($B405,Pitchers!$A1:$S251,15,FALSE)</f>
        <v>29.753333333333334</v>
      </c>
      <c r="AO405" s="31">
        <f>VLOOKUP($B405,Pitchers!$A1:$S251,16,FALSE)</f>
        <v>10.558888888888889</v>
      </c>
      <c r="AP405" s="31">
        <f>VLOOKUP($B405,Pitchers!$A1:$S251,17,FALSE)</f>
        <v>13</v>
      </c>
      <c r="AQ405" s="31">
        <f>VLOOKUP($B405,Pitchers!$A1:$S251,18,FALSE)</f>
        <v>0</v>
      </c>
      <c r="AR405" s="31">
        <f>VLOOKUP($B405,Pitchers!$A1:$S251,19,FALSE)</f>
        <v>0</v>
      </c>
    </row>
    <row r="406" spans="1:44" ht="18.600000000000001" customHeight="1">
      <c r="A406" s="25">
        <f ca="1">RANK(I406,I$2:I$651)</f>
        <v>405</v>
      </c>
      <c r="B406" s="26" t="s">
        <v>435</v>
      </c>
      <c r="C406" s="27" t="s">
        <v>176</v>
      </c>
      <c r="D406" s="27" t="s">
        <v>74</v>
      </c>
      <c r="E406" s="36" t="s">
        <v>31</v>
      </c>
      <c r="F406" s="37">
        <f ca="1">VLOOKUP(B406,SP!A1:I161,IF(Settings!$J$13="points",4,7),FALSE)</f>
        <v>111</v>
      </c>
      <c r="G406" s="30">
        <f>(AC406*Settings!$F$2)+(AF406*Settings!$F$5)+(AG406*Settings!$F$6)+(AH406*Settings!$F$7)+(AI406*Settings!$F$8)+(AJ406*Settings!$F$9)+(AK406*Settings!$F$10)+(AL406*Settings!$F$11)+(AM406*Settings!$F$12)+(AN406*Settings!$F$13)+(AO406*Settings!$F$14)+(AP406*Settings!$F$15)+(AQ406*Settings!$F$16)+(AR406*Settings!$F$17)</f>
        <v>341.05308888888885</v>
      </c>
      <c r="H406" s="31">
        <f>VLOOKUP(B406,'Standard Deviations'!$A1:$D651,4,FALSE)</f>
        <v>-1.9746990548405459</v>
      </c>
      <c r="I406" s="32">
        <f ca="1">IF(Settings!$J$16="no",VLOOKUP(B406,SP!A1:I161,IF(Settings!$J$13="points",6,9),FALSE),VLOOKUP(B406,'SP+RP'!$A1:$I251,IF(Settings!$J$13="points",6,9),FALSE))</f>
        <v>-1.107115183761707</v>
      </c>
      <c r="J406" s="31"/>
      <c r="K406" s="31">
        <f ca="1">J406-A406</f>
        <v>-405</v>
      </c>
      <c r="L406" s="31"/>
      <c r="M406" s="31"/>
      <c r="N406" s="31"/>
      <c r="O406" s="31"/>
      <c r="P406" s="31"/>
      <c r="Q406" s="31"/>
      <c r="R406" s="33"/>
      <c r="S406" s="33"/>
      <c r="T406" s="31"/>
      <c r="U406" s="31"/>
      <c r="V406" s="31"/>
      <c r="W406" s="31"/>
      <c r="X406" s="31"/>
      <c r="Y406" s="33"/>
      <c r="Z406" s="33"/>
      <c r="AA406" s="31"/>
      <c r="AB406" s="31"/>
      <c r="AC406" s="31">
        <f>VLOOKUP($B406,Pitchers!$A1:$S251,4,FALSE)</f>
        <v>185.57333333333335</v>
      </c>
      <c r="AD406" s="33">
        <f>VLOOKUP($B406,Pitchers!$A1:$S251,5,FALSE)</f>
        <v>4.608675096996695</v>
      </c>
      <c r="AE406" s="33">
        <f>VLOOKUP($B406,Pitchers!$A1:$S251,6,FALSE)</f>
        <v>1.3618874838338839</v>
      </c>
      <c r="AF406" s="31">
        <f>VLOOKUP($B406,Pitchers!$A1:$S251,7,FALSE)</f>
        <v>159.62777777777777</v>
      </c>
      <c r="AG406" s="31">
        <f>VLOOKUP($B406,Pitchers!$A1:$S251,8,FALSE)</f>
        <v>10.021666666666667</v>
      </c>
      <c r="AH406" s="31">
        <f>VLOOKUP($B406,Pitchers!$A1:$S251,9,FALSE)</f>
        <v>0</v>
      </c>
      <c r="AI406" s="31">
        <f>VLOOKUP($B406,Pitchers!$A1:$S251,10,FALSE)</f>
        <v>95.027466666666669</v>
      </c>
      <c r="AJ406" s="31">
        <f>VLOOKUP($B406,Pitchers!$A1:$S251,11,FALSE)</f>
        <v>191.46666666666667</v>
      </c>
      <c r="AK406" s="31">
        <f>VLOOKUP($B406,Pitchers!$A1:$S251,12,FALSE)</f>
        <v>61.263333333333328</v>
      </c>
      <c r="AL406" s="31">
        <f>VLOOKUP($B406,Pitchers!$A1:$S251,13,FALSE)</f>
        <v>25.633333333333336</v>
      </c>
      <c r="AM406" s="31">
        <f>VLOOKUP($B406,Pitchers!$A1:$S251,14,FALSE)</f>
        <v>30.863333333333333</v>
      </c>
      <c r="AN406" s="31">
        <f>VLOOKUP($B406,Pitchers!$A1:$S251,15,FALSE)</f>
        <v>31.013333333333335</v>
      </c>
      <c r="AO406" s="31">
        <f>VLOOKUP($B406,Pitchers!$A1:$S251,16,FALSE)</f>
        <v>11.975</v>
      </c>
      <c r="AP406" s="31">
        <f>VLOOKUP($B406,Pitchers!$A1:$S251,17,FALSE)</f>
        <v>14</v>
      </c>
      <c r="AQ406" s="31">
        <f>VLOOKUP($B406,Pitchers!$A1:$S251,18,FALSE)</f>
        <v>0</v>
      </c>
      <c r="AR406" s="31">
        <f>VLOOKUP($B406,Pitchers!$A1:$S251,19,FALSE)</f>
        <v>0</v>
      </c>
    </row>
    <row r="407" spans="1:44" ht="18.600000000000001" customHeight="1">
      <c r="A407" s="25">
        <f ca="1">RANK(I407,I$2:I$651)</f>
        <v>406</v>
      </c>
      <c r="B407" s="26" t="s">
        <v>573</v>
      </c>
      <c r="C407" s="27" t="s">
        <v>101</v>
      </c>
      <c r="D407" s="27" t="s">
        <v>69</v>
      </c>
      <c r="E407" s="42" t="s">
        <v>34</v>
      </c>
      <c r="F407" s="43">
        <f ca="1">VLOOKUP(B407,RP!A1:I91,IF(Settings!$J$13="points",4,7),FALSE)</f>
        <v>65</v>
      </c>
      <c r="G407" s="30">
        <f>(AC407*Settings!$F$2)+(AF407*Settings!$F$5)+(AG407*Settings!$F$6)+(AH407*Settings!$F$7)+(AI407*Settings!$F$8)+(AJ407*Settings!$F$9)+(AK407*Settings!$F$10)+(AL407*Settings!$F$11)+(AM407*Settings!$F$12)+(AN407*Settings!$F$13)+(AO407*Settings!$F$14)+(AP407*Settings!$F$15)+(AQ407*Settings!$F$16)+(AR407*Settings!$F$17)</f>
        <v>138.79611111111112</v>
      </c>
      <c r="H407" s="31">
        <f>VLOOKUP(B407,'Standard Deviations'!$A1:$D651,4,FALSE)</f>
        <v>-1.9883687130620129</v>
      </c>
      <c r="I407" s="32">
        <f ca="1">IF(Settings!$J$16="no",VLOOKUP(B407,RP!A1:I91,IF(Settings!$J$13="points",6,9),FALSE),VLOOKUP(B407,'SP+RP'!$A1:$I251,IF(Settings!$J$13="points",6,9),FALSE))</f>
        <v>-1.1207837670526324</v>
      </c>
      <c r="J407" s="31"/>
      <c r="K407" s="31">
        <f ca="1">J407-A407</f>
        <v>-406</v>
      </c>
      <c r="L407" s="31"/>
      <c r="M407" s="31"/>
      <c r="N407" s="31"/>
      <c r="O407" s="31"/>
      <c r="P407" s="31"/>
      <c r="Q407" s="31"/>
      <c r="R407" s="33"/>
      <c r="S407" s="33"/>
      <c r="T407" s="31"/>
      <c r="U407" s="31"/>
      <c r="V407" s="31"/>
      <c r="W407" s="31"/>
      <c r="X407" s="31"/>
      <c r="Y407" s="33"/>
      <c r="Z407" s="33"/>
      <c r="AA407" s="31"/>
      <c r="AB407" s="31"/>
      <c r="AC407" s="31">
        <f>VLOOKUP($B407,Pitchers!$A1:$S251,4,FALSE)</f>
        <v>55.683333333333337</v>
      </c>
      <c r="AD407" s="33">
        <f>VLOOKUP($B407,Pitchers!$A1:$S251,5,FALSE)</f>
        <v>3.8040107752170012</v>
      </c>
      <c r="AE407" s="33">
        <f>VLOOKUP($B407,Pitchers!$A1:$S251,6,FALSE)</f>
        <v>1.1980245435498351</v>
      </c>
      <c r="AF407" s="31">
        <f>VLOOKUP($B407,Pitchers!$A1:$S251,7,FALSE)</f>
        <v>63.173333333333339</v>
      </c>
      <c r="AG407" s="31">
        <f>VLOOKUP($B407,Pitchers!$A1:$S251,8,FALSE)</f>
        <v>3.0483333333333333</v>
      </c>
      <c r="AH407" s="31">
        <f>VLOOKUP($B407,Pitchers!$A1:$S251,9,FALSE)</f>
        <v>3.2333333333333338</v>
      </c>
      <c r="AI407" s="31">
        <f>VLOOKUP($B407,Pitchers!$A1:$S251,10,FALSE)</f>
        <v>23.535555555555558</v>
      </c>
      <c r="AJ407" s="31">
        <f>VLOOKUP($B407,Pitchers!$A1:$S251,11,FALSE)</f>
        <v>45.364444444444445</v>
      </c>
      <c r="AK407" s="31">
        <f>VLOOKUP($B407,Pitchers!$A1:$S251,12,FALSE)</f>
        <v>21.345555555555553</v>
      </c>
      <c r="AL407" s="31">
        <f>VLOOKUP($B407,Pitchers!$A1:$S251,13,FALSE)</f>
        <v>8</v>
      </c>
      <c r="AM407" s="31">
        <f>VLOOKUP($B407,Pitchers!$A1:$S251,14,FALSE)</f>
        <v>59.046666666666674</v>
      </c>
      <c r="AN407" s="31">
        <f>VLOOKUP($B407,Pitchers!$A1:$S251,15,FALSE)</f>
        <v>0</v>
      </c>
      <c r="AO407" s="31">
        <f>VLOOKUP($B407,Pitchers!$A1:$S251,16,FALSE)</f>
        <v>2.7133333333333334</v>
      </c>
      <c r="AP407" s="31">
        <f>VLOOKUP($B407,Pitchers!$A1:$S251,17,FALSE)</f>
        <v>0</v>
      </c>
      <c r="AQ407" s="31">
        <f>VLOOKUP($B407,Pitchers!$A1:$S251,18,FALSE)</f>
        <v>21.5</v>
      </c>
      <c r="AR407" s="31">
        <f>VLOOKUP($B407,Pitchers!$A1:$S251,19,FALSE)</f>
        <v>2</v>
      </c>
    </row>
    <row r="408" spans="1:44" ht="18.600000000000001" customHeight="1">
      <c r="A408" s="25">
        <f ca="1">RANK(I408,I$2:I$651)</f>
        <v>407</v>
      </c>
      <c r="B408" s="26" t="s">
        <v>428</v>
      </c>
      <c r="C408" s="27" t="s">
        <v>156</v>
      </c>
      <c r="D408" s="27" t="s">
        <v>69</v>
      </c>
      <c r="E408" s="28" t="s">
        <v>23</v>
      </c>
      <c r="F408" s="29">
        <f ca="1">VLOOKUP(B408,OF!A1:I139,IF(Settings!$J$13="points",4,7),FALSE)</f>
        <v>94</v>
      </c>
      <c r="G408" s="30">
        <f>(M408*Settings!$B$2)+(N408*Settings!$B$3)+(O408*Settings!$B$4)+(P408*Settings!$B$5)+(Q408*Settings!$B$6)+((T408-U408-V408-O408)*Settings!$B$9)+(U408*Settings!$B$10)+(V408*Settings!$B$11)+(W408*Settings!$B$12)+(X408*Settings!$B$13)+(AA408*Settings!$B$16)</f>
        <v>275.52111111111105</v>
      </c>
      <c r="H408" s="31">
        <f>VLOOKUP(B408,'Standard Deviations'!$A1:$D651,4,FALSE)</f>
        <v>-1.2777639516633408</v>
      </c>
      <c r="I408" s="32">
        <f ca="1">VLOOKUP(B408,OF!A1:I139,IF(Settings!$J$13="points",6,9),FALSE)</f>
        <v>-1.1208285989573623</v>
      </c>
      <c r="J408" s="31"/>
      <c r="K408" s="31">
        <f ca="1">J408-A408</f>
        <v>-407</v>
      </c>
      <c r="L408" s="31"/>
      <c r="M408" s="31">
        <f>VLOOKUP($B408,Hitters!$A1:$R401,4,FALSE)</f>
        <v>404.66666666666669</v>
      </c>
      <c r="N408" s="31">
        <f>VLOOKUP($B408,Hitters!$A1:$R401,5,FALSE)</f>
        <v>59.66</v>
      </c>
      <c r="O408" s="31">
        <f>VLOOKUP($B408,Hitters!$A1:$R401,6,FALSE)</f>
        <v>23.481666666666666</v>
      </c>
      <c r="P408" s="31">
        <f>VLOOKUP($B408,Hitters!$A1:$R401,7,FALSE)</f>
        <v>59.728333333333332</v>
      </c>
      <c r="Q408" s="31">
        <f>VLOOKUP($B408,Hitters!$A1:$R401,8,FALSE)</f>
        <v>4.003333333333333</v>
      </c>
      <c r="R408" s="33">
        <f>VLOOKUP($B408,Hitters!$A$1:$R$401,14,FALSE)</f>
        <v>0.19187534321801208</v>
      </c>
      <c r="S408" s="33">
        <f>VLOOKUP($B408,Hitters!$A$1:$R$401,15,FALSE)</f>
        <v>0.32057394710846943</v>
      </c>
      <c r="T408" s="31">
        <f>VLOOKUP($B408,Hitters!$A$1:$R$401,9,FALSE)</f>
        <v>77.645555555555561</v>
      </c>
      <c r="U408" s="31">
        <f>VLOOKUP($B408,Hitters!$A$1:$R$401,10,FALSE)</f>
        <v>13.796666666666667</v>
      </c>
      <c r="V408" s="31">
        <f>VLOOKUP($B408,Hitters!$A$1:$R$401,11,FALSE)</f>
        <v>1.0283333333333333</v>
      </c>
      <c r="W408" s="31">
        <f>VLOOKUP($B408,Hitters!$A$1:$R$401,12,FALSE)</f>
        <v>70.355000000000004</v>
      </c>
      <c r="X408" s="31">
        <f>VLOOKUP($B408,Hitters!$A$1:$R$401,13,FALSE)</f>
        <v>172.34555555555553</v>
      </c>
      <c r="Y408" s="33">
        <f>VLOOKUP($B408,Hitters!$A$1:$R$401,16,FALSE)</f>
        <v>0.40513316858868748</v>
      </c>
      <c r="Z408" s="33">
        <f>VLOOKUP($B408,Hitters!$A$1:$R$401,17,FALSE)</f>
        <v>0.72570711569715685</v>
      </c>
      <c r="AA408" s="31">
        <f>VLOOKUP($B408,Hitters!$A1:$R401,18,FALSE)</f>
        <v>0</v>
      </c>
      <c r="AB408" s="31"/>
      <c r="AC408" s="31"/>
      <c r="AD408" s="33"/>
      <c r="AE408" s="33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</row>
    <row r="409" spans="1:44" ht="20.100000000000001" customHeight="1">
      <c r="A409" s="25">
        <f ca="1">RANK(I409,I$2:I$651)</f>
        <v>408</v>
      </c>
      <c r="B409" s="26" t="s">
        <v>660</v>
      </c>
      <c r="C409" s="27" t="s">
        <v>223</v>
      </c>
      <c r="D409" s="27" t="s">
        <v>74</v>
      </c>
      <c r="E409" s="38" t="s">
        <v>27</v>
      </c>
      <c r="F409" s="39">
        <f ca="1">VLOOKUP(B409,SS!A1:I45,IF(Settings!$J$13="points",4,7),FALSE)</f>
        <v>29</v>
      </c>
      <c r="G409" s="30">
        <f>(M409*Settings!$B$2)+(N409*Settings!$B$3)+(O409*Settings!$B$4)+(P409*Settings!$B$5)+(Q409*Settings!$B$6)+((T409-U409-V409-O409)*Settings!$B$9)+(U409*Settings!$B$10)+(V409*Settings!$B$11)+(W409*Settings!$B$12)+(X409*Settings!$B$13)+(AA409*Settings!$B$16)</f>
        <v>234.64555555555557</v>
      </c>
      <c r="H409" s="31">
        <f>VLOOKUP(B409,'Standard Deviations'!$A1:$D651,4,FALSE)</f>
        <v>-1.1193260400076466</v>
      </c>
      <c r="I409" s="32">
        <f ca="1">IF(Settings!$J$16="no",VLOOKUP(B409,SS!A1:I45,IF(Settings!$J$13="points",6,9),FALSE),VLOOKUP(B409,'2B+SS'!$A1:$I94,IF(Settings!$J$13="points",6,9),FALSE))</f>
        <v>-1.1253719457505957</v>
      </c>
      <c r="J409" s="31"/>
      <c r="K409" s="31">
        <f ca="1">J409-A409</f>
        <v>-408</v>
      </c>
      <c r="L409" s="31"/>
      <c r="M409" s="31">
        <f>VLOOKUP($B409,Hitters!$A1:$R401,4,FALSE)</f>
        <v>391.23333333333335</v>
      </c>
      <c r="N409" s="31">
        <f>VLOOKUP($B409,Hitters!$A1:$R401,5,FALSE)</f>
        <v>42.721666666666664</v>
      </c>
      <c r="O409" s="31">
        <f>VLOOKUP($B409,Hitters!$A1:$R401,6,FALSE)</f>
        <v>5.335</v>
      </c>
      <c r="P409" s="31">
        <f>VLOOKUP($B409,Hitters!$A1:$R401,7,FALSE)</f>
        <v>37.856666666666669</v>
      </c>
      <c r="Q409" s="31">
        <f>VLOOKUP($B409,Hitters!$A1:$R401,8,FALSE)</f>
        <v>7.4911111111111106</v>
      </c>
      <c r="R409" s="33">
        <f>VLOOKUP($B409,Hitters!$A$1:$R$401,14,FALSE)</f>
        <v>0.26298457868279801</v>
      </c>
      <c r="S409" s="33">
        <f>VLOOKUP($B409,Hitters!$A$1:$R$401,15,FALSE)</f>
        <v>0.31311640606971664</v>
      </c>
      <c r="T409" s="31">
        <f>VLOOKUP($B409,Hitters!$A$1:$R$401,9,FALSE)</f>
        <v>102.88833333333334</v>
      </c>
      <c r="U409" s="31">
        <f>VLOOKUP($B409,Hitters!$A$1:$R$401,10,FALSE)</f>
        <v>20.611111111111111</v>
      </c>
      <c r="V409" s="31">
        <f>VLOOKUP($B409,Hitters!$A$1:$R$401,11,FALSE)</f>
        <v>1.9888888888888889</v>
      </c>
      <c r="W409" s="31">
        <f>VLOOKUP($B409,Hitters!$A$1:$R$401,12,FALSE)</f>
        <v>22.34</v>
      </c>
      <c r="X409" s="31">
        <f>VLOOKUP($B409,Hitters!$A$1:$R$401,13,FALSE)</f>
        <v>53.474444444444451</v>
      </c>
      <c r="Y409" s="33">
        <f>VLOOKUP($B409,Hitters!$A$1:$R$401,16,FALSE)</f>
        <v>0.36674334724943908</v>
      </c>
      <c r="Z409" s="33">
        <f>VLOOKUP($B409,Hitters!$A$1:$R$401,17,FALSE)</f>
        <v>0.67985975331915571</v>
      </c>
      <c r="AA409" s="31">
        <f>VLOOKUP($B409,Hitters!$A1:$R401,18,FALSE)</f>
        <v>0</v>
      </c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</row>
    <row r="410" spans="1:44" ht="18.600000000000001" customHeight="1">
      <c r="A410" s="25">
        <f ca="1">RANK(I410,I$2:I$651)</f>
        <v>409</v>
      </c>
      <c r="B410" s="26" t="s">
        <v>471</v>
      </c>
      <c r="C410" s="27" t="s">
        <v>71</v>
      </c>
      <c r="D410" s="27" t="s">
        <v>69</v>
      </c>
      <c r="E410" s="28" t="s">
        <v>23</v>
      </c>
      <c r="F410" s="29">
        <f ca="1">VLOOKUP(B410,OF!A1:I139,IF(Settings!$J$13="points",4,7),FALSE)</f>
        <v>95</v>
      </c>
      <c r="G410" s="30">
        <f>(M410*Settings!$B$2)+(N410*Settings!$B$3)+(O410*Settings!$B$4)+(P410*Settings!$B$5)+(Q410*Settings!$B$6)+((T410-U410-V410-O410)*Settings!$B$9)+(U410*Settings!$B$10)+(V410*Settings!$B$11)+(W410*Settings!$B$12)+(X410*Settings!$B$13)+(AA410*Settings!$B$16)</f>
        <v>226.31125</v>
      </c>
      <c r="H410" s="31">
        <f>VLOOKUP(B410,'Standard Deviations'!$A1:$D651,4,FALSE)</f>
        <v>-1.2842389850991152</v>
      </c>
      <c r="I410" s="32">
        <f ca="1">VLOOKUP(B410,OF!A1:I139,IF(Settings!$J$13="points",6,9),FALSE)</f>
        <v>-1.1273120324719499</v>
      </c>
      <c r="J410" s="31"/>
      <c r="K410" s="31">
        <f ca="1">J410-A410</f>
        <v>-409</v>
      </c>
      <c r="L410" s="31"/>
      <c r="M410" s="31">
        <f>VLOOKUP($B410,Hitters!$A1:$R401,4,FALSE)</f>
        <v>353.7833333333333</v>
      </c>
      <c r="N410" s="31">
        <f>VLOOKUP($B410,Hitters!$A1:$R401,5,FALSE)</f>
        <v>43.04</v>
      </c>
      <c r="O410" s="31">
        <f>VLOOKUP($B410,Hitters!$A1:$R401,6,FALSE)</f>
        <v>12.876666666666665</v>
      </c>
      <c r="P410" s="31">
        <f>VLOOKUP($B410,Hitters!$A1:$R401,7,FALSE)</f>
        <v>44.945</v>
      </c>
      <c r="Q410" s="31">
        <f>VLOOKUP($B410,Hitters!$A1:$R401,8,FALSE)</f>
        <v>3.9683333333333333</v>
      </c>
      <c r="R410" s="33">
        <f>VLOOKUP($B410,Hitters!$A$1:$R$401,14,FALSE)</f>
        <v>0.24482969802609889</v>
      </c>
      <c r="S410" s="33">
        <f>VLOOKUP($B410,Hitters!$A$1:$R$401,15,FALSE)</f>
        <v>0.3048449080631162</v>
      </c>
      <c r="T410" s="31">
        <f>VLOOKUP($B410,Hitters!$A$1:$R$401,9,FALSE)</f>
        <v>86.616666666666674</v>
      </c>
      <c r="U410" s="31">
        <f>VLOOKUP($B410,Hitters!$A$1:$R$401,10,FALSE)</f>
        <v>18.478333333333335</v>
      </c>
      <c r="V410" s="31">
        <f>VLOOKUP($B410,Hitters!$A$1:$R$401,11,FALSE)</f>
        <v>0.9916666666666667</v>
      </c>
      <c r="W410" s="31">
        <f>VLOOKUP($B410,Hitters!$A$1:$R$401,12,FALSE)</f>
        <v>24.801666666666666</v>
      </c>
      <c r="X410" s="31">
        <f>VLOOKUP($B410,Hitters!$A$1:$R$401,13,FALSE)</f>
        <v>80.240833333333327</v>
      </c>
      <c r="Y410" s="33">
        <f>VLOOKUP($B410,Hitters!$A$1:$R$401,16,FALSE)</f>
        <v>0.41185753992556656</v>
      </c>
      <c r="Z410" s="33">
        <f>VLOOKUP($B410,Hitters!$A$1:$R$401,17,FALSE)</f>
        <v>0.71670244798868277</v>
      </c>
      <c r="AA410" s="31">
        <f>VLOOKUP($B410,Hitters!$A1:$R401,18,FALSE)</f>
        <v>0</v>
      </c>
      <c r="AB410" s="31"/>
      <c r="AC410" s="31"/>
      <c r="AD410" s="33"/>
      <c r="AE410" s="33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</row>
    <row r="411" spans="1:44" ht="20.100000000000001" customHeight="1">
      <c r="A411" s="25">
        <f ca="1">RANK(I411,I$2:I$651)</f>
        <v>410</v>
      </c>
      <c r="B411" s="26" t="s">
        <v>600</v>
      </c>
      <c r="C411" s="27" t="s">
        <v>97</v>
      </c>
      <c r="D411" s="27" t="s">
        <v>74</v>
      </c>
      <c r="E411" s="42" t="s">
        <v>34</v>
      </c>
      <c r="F411" s="43">
        <f ca="1">VLOOKUP(B411,RP!A1:I91,IF(Settings!$J$13="points",4,7),FALSE)</f>
        <v>66</v>
      </c>
      <c r="G411" s="30">
        <f>(AC411*Settings!$F$2)+(AF411*Settings!$F$5)+(AG411*Settings!$F$6)+(AH411*Settings!$F$7)+(AI411*Settings!$F$8)+(AJ411*Settings!$F$9)+(AK411*Settings!$F$10)+(AL411*Settings!$F$11)+(AM411*Settings!$F$12)+(AN411*Settings!$F$13)+(AO411*Settings!$F$14)+(AP411*Settings!$F$15)+(AQ411*Settings!$F$16)+(AR411*Settings!$F$17)</f>
        <v>136.48277777777778</v>
      </c>
      <c r="H411" s="31">
        <f>VLOOKUP(B411,'Standard Deviations'!$A1:$D651,4,FALSE)</f>
        <v>-1.9968460183040351</v>
      </c>
      <c r="I411" s="32">
        <f ca="1">IF(Settings!$J$16="no",VLOOKUP(B411,RP!A1:I91,IF(Settings!$J$13="points",6,9),FALSE),VLOOKUP(B411,'SP+RP'!$A1:$I251,IF(Settings!$J$13="points",6,9),FALSE))</f>
        <v>-1.1292641383422428</v>
      </c>
      <c r="J411" s="31"/>
      <c r="K411" s="31">
        <f ca="1">J411-A411</f>
        <v>-410</v>
      </c>
      <c r="L411" s="31"/>
      <c r="M411" s="31"/>
      <c r="N411" s="31"/>
      <c r="O411" s="31"/>
      <c r="P411" s="31"/>
      <c r="Q411" s="31"/>
      <c r="R411" s="33"/>
      <c r="S411" s="33"/>
      <c r="T411" s="31"/>
      <c r="U411" s="31"/>
      <c r="V411" s="31"/>
      <c r="W411" s="31"/>
      <c r="X411" s="31"/>
      <c r="Y411" s="33"/>
      <c r="Z411" s="33"/>
      <c r="AA411" s="31"/>
      <c r="AB411" s="31"/>
      <c r="AC411" s="31">
        <f>VLOOKUP($B411,Pitchers!$A1:$S251,4,FALSE)</f>
        <v>57.385555555555555</v>
      </c>
      <c r="AD411" s="33">
        <f>VLOOKUP($B411,Pitchers!$A1:$S251,5,FALSE)</f>
        <v>3.8567196545781948</v>
      </c>
      <c r="AE411" s="33">
        <f>VLOOKUP($B411,Pitchers!$A1:$S251,6,FALSE)</f>
        <v>1.1830890467984589</v>
      </c>
      <c r="AF411" s="31">
        <f>VLOOKUP($B411,Pitchers!$A1:$S251,7,FALSE)</f>
        <v>67.718888888888884</v>
      </c>
      <c r="AG411" s="31">
        <f>VLOOKUP($B411,Pitchers!$A1:$S251,8,FALSE)</f>
        <v>2.8333333333333335</v>
      </c>
      <c r="AH411" s="31">
        <f>VLOOKUP($B411,Pitchers!$A1:$S251,9,FALSE)</f>
        <v>2.5777777777777779</v>
      </c>
      <c r="AI411" s="31">
        <f>VLOOKUP($B411,Pitchers!$A1:$S251,10,FALSE)</f>
        <v>24.591111111111115</v>
      </c>
      <c r="AJ411" s="31">
        <f>VLOOKUP($B411,Pitchers!$A1:$S251,11,FALSE)</f>
        <v>47.390000000000008</v>
      </c>
      <c r="AK411" s="31">
        <f>VLOOKUP($B411,Pitchers!$A1:$S251,12,FALSE)</f>
        <v>20.502222222222223</v>
      </c>
      <c r="AL411" s="31">
        <f>VLOOKUP($B411,Pitchers!$A1:$S251,13,FALSE)</f>
        <v>8.7666666666666675</v>
      </c>
      <c r="AM411" s="31">
        <f>VLOOKUP($B411,Pitchers!$A1:$S251,14,FALSE)</f>
        <v>61.231111111111112</v>
      </c>
      <c r="AN411" s="31">
        <f>VLOOKUP($B411,Pitchers!$A1:$S251,15,FALSE)</f>
        <v>0.3666666666666667</v>
      </c>
      <c r="AO411" s="31">
        <f>VLOOKUP($B411,Pitchers!$A1:$S251,16,FALSE)</f>
        <v>2.9855555555555555</v>
      </c>
      <c r="AP411" s="31">
        <f>VLOOKUP($B411,Pitchers!$A1:$S251,17,FALSE)</f>
        <v>0</v>
      </c>
      <c r="AQ411" s="31">
        <f>VLOOKUP($B411,Pitchers!$A1:$S251,18,FALSE)</f>
        <v>15</v>
      </c>
      <c r="AR411" s="31">
        <f>VLOOKUP($B411,Pitchers!$A1:$S251,19,FALSE)</f>
        <v>0</v>
      </c>
    </row>
    <row r="412" spans="1:44" ht="18.600000000000001" customHeight="1">
      <c r="A412" s="25">
        <f ca="1">RANK(I412,I$2:I$651)</f>
        <v>411</v>
      </c>
      <c r="B412" s="26" t="s">
        <v>452</v>
      </c>
      <c r="C412" s="27" t="s">
        <v>176</v>
      </c>
      <c r="D412" s="27" t="s">
        <v>74</v>
      </c>
      <c r="E412" s="46" t="s">
        <v>19</v>
      </c>
      <c r="F412" s="47">
        <f ca="1">VLOOKUP(B412,'C'!A1:I54,IF(Settings!$J$13="points",4,7),FALSE)</f>
        <v>18</v>
      </c>
      <c r="G412" s="30">
        <f>(M412*Settings!$B$2)+(N412*Settings!$B$3)+(O412*Settings!$B$4)+(P412*Settings!$B$5)+(Q412*Settings!$B$6)+((T412-U412-V412-O412)*Settings!$B$9)+(U412*Settings!$B$10)+(V412*Settings!$B$11)+(W412*Settings!$B$12)+(X412*Settings!$B$13)+(AA412*Settings!$B$16)</f>
        <v>207.14166666666665</v>
      </c>
      <c r="H412" s="31">
        <f>VLOOKUP(B412,'Standard Deviations'!$A1:$D651,4,FALSE)</f>
        <v>-1.9323480131909516</v>
      </c>
      <c r="I412" s="32">
        <f ca="1">VLOOKUP(B412,'C'!A1:I54,IF(Settings!$J$13="points",6,9),FALSE)</f>
        <v>-1.145825391511796</v>
      </c>
      <c r="J412" s="31"/>
      <c r="K412" s="31">
        <f ca="1">J412-A412</f>
        <v>-411</v>
      </c>
      <c r="L412" s="31"/>
      <c r="M412" s="31">
        <f>VLOOKUP($B412,Hitters!$A1:$R401,4,FALSE)</f>
        <v>327.8</v>
      </c>
      <c r="N412" s="31">
        <f>VLOOKUP($B412,Hitters!$A1:$R401,5,FALSE)</f>
        <v>39.455555555555556</v>
      </c>
      <c r="O412" s="31">
        <f>VLOOKUP($B412,Hitters!$A1:$R401,6,FALSE)</f>
        <v>11.023333333333333</v>
      </c>
      <c r="P412" s="31">
        <f>VLOOKUP($B412,Hitters!$A1:$R401,7,FALSE)</f>
        <v>42.94444444444445</v>
      </c>
      <c r="Q412" s="31">
        <f>VLOOKUP($B412,Hitters!$A1:$R401,8,FALSE)</f>
        <v>0.64777777777777779</v>
      </c>
      <c r="R412" s="33">
        <f>VLOOKUP($B412,Hitters!$A$1:$R$401,14,FALSE)</f>
        <v>0.25082367297132396</v>
      </c>
      <c r="S412" s="33">
        <f>VLOOKUP($B412,Hitters!$A$1:$R$401,15,FALSE)</f>
        <v>0.31398388489852408</v>
      </c>
      <c r="T412" s="31">
        <f>VLOOKUP($B412,Hitters!$A$1:$R$401,9,FALSE)</f>
        <v>82.22</v>
      </c>
      <c r="U412" s="31">
        <f>VLOOKUP($B412,Hitters!$A$1:$R$401,10,FALSE)</f>
        <v>16.141666666666666</v>
      </c>
      <c r="V412" s="31">
        <f>VLOOKUP($B412,Hitters!$A$1:$R$401,11,FALSE)</f>
        <v>1.0249999999999999</v>
      </c>
      <c r="W412" s="31">
        <f>VLOOKUP($B412,Hitters!$A$1:$R$401,12,FALSE)</f>
        <v>24.985555555555553</v>
      </c>
      <c r="X412" s="31">
        <f>VLOOKUP($B412,Hitters!$A$1:$R$401,13,FALSE)</f>
        <v>70.042222222222222</v>
      </c>
      <c r="Y412" s="33">
        <f>VLOOKUP($B412,Hitters!$A$1:$R$401,16,FALSE)</f>
        <v>0.40720459629855604</v>
      </c>
      <c r="Z412" s="33">
        <f>VLOOKUP($B412,Hitters!$A$1:$R$401,17,FALSE)</f>
        <v>0.72118848119708012</v>
      </c>
      <c r="AA412" s="31">
        <f>VLOOKUP($B412,Hitters!$A1:$R401,18,FALSE)</f>
        <v>0</v>
      </c>
      <c r="AB412" s="31"/>
      <c r="AC412" s="31"/>
      <c r="AD412" s="33"/>
      <c r="AE412" s="33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</row>
    <row r="413" spans="1:44" ht="18.600000000000001" customHeight="1">
      <c r="A413" s="25">
        <f ca="1">RANK(I413,I$2:I$651)</f>
        <v>412</v>
      </c>
      <c r="B413" s="26" t="s">
        <v>494</v>
      </c>
      <c r="C413" s="27" t="s">
        <v>103</v>
      </c>
      <c r="D413" s="27" t="s">
        <v>69</v>
      </c>
      <c r="E413" s="36" t="s">
        <v>31</v>
      </c>
      <c r="F413" s="37">
        <f ca="1">VLOOKUP(B413,SP!A1:I161,IF(Settings!$J$13="points",4,7),FALSE)</f>
        <v>112</v>
      </c>
      <c r="G413" s="30">
        <f>(AC413*Settings!$F$2)+(AF413*Settings!$F$5)+(AG413*Settings!$F$6)+(AH413*Settings!$F$7)+(AI413*Settings!$F$8)+(AJ413*Settings!$F$9)+(AK413*Settings!$F$10)+(AL413*Settings!$F$11)+(AM413*Settings!$F$12)+(AN413*Settings!$F$13)+(AO413*Settings!$F$14)+(AP413*Settings!$F$15)+(AQ413*Settings!$F$16)+(AR413*Settings!$F$17)</f>
        <v>297.66462222222208</v>
      </c>
      <c r="H413" s="31">
        <f>VLOOKUP(B413,'Standard Deviations'!$A1:$D651,4,FALSE)</f>
        <v>-2.0215956098440904</v>
      </c>
      <c r="I413" s="32">
        <f ca="1">IF(Settings!$J$16="no",VLOOKUP(B413,SP!A1:I161,IF(Settings!$J$13="points",6,9),FALSE),VLOOKUP(B413,'SP+RP'!$A1:$I251,IF(Settings!$J$13="points",6,9),FALSE))</f>
        <v>-1.1540194651725728</v>
      </c>
      <c r="J413" s="31"/>
      <c r="K413" s="31">
        <f ca="1">J413-A413</f>
        <v>-412</v>
      </c>
      <c r="L413" s="31"/>
      <c r="M413" s="31"/>
      <c r="N413" s="31"/>
      <c r="O413" s="31"/>
      <c r="P413" s="31"/>
      <c r="Q413" s="31"/>
      <c r="R413" s="33"/>
      <c r="S413" s="33"/>
      <c r="T413" s="31"/>
      <c r="U413" s="31"/>
      <c r="V413" s="31"/>
      <c r="W413" s="31"/>
      <c r="X413" s="31"/>
      <c r="Y413" s="33"/>
      <c r="Z413" s="33"/>
      <c r="AA413" s="31"/>
      <c r="AB413" s="31"/>
      <c r="AC413" s="31">
        <f>VLOOKUP($B413,Pitchers!$A1:$S251,4,FALSE)</f>
        <v>150.48833333333332</v>
      </c>
      <c r="AD413" s="33">
        <f>VLOOKUP($B413,Pitchers!$A1:$S251,5,FALSE)</f>
        <v>4.4769809398292235</v>
      </c>
      <c r="AE413" s="33">
        <f>VLOOKUP($B413,Pitchers!$A1:$S251,6,FALSE)</f>
        <v>1.2984173745473071</v>
      </c>
      <c r="AF413" s="31">
        <f>VLOOKUP($B413,Pitchers!$A1:$S251,7,FALSE)</f>
        <v>124.72222222222223</v>
      </c>
      <c r="AG413" s="31">
        <f>VLOOKUP($B413,Pitchers!$A1:$S251,8,FALSE)</f>
        <v>8.9777777777777779</v>
      </c>
      <c r="AH413" s="31">
        <f>VLOOKUP($B413,Pitchers!$A1:$S251,9,FALSE)</f>
        <v>0</v>
      </c>
      <c r="AI413" s="31">
        <f>VLOOKUP($B413,Pitchers!$A1:$S251,10,FALSE)</f>
        <v>74.85926666666667</v>
      </c>
      <c r="AJ413" s="31">
        <f>VLOOKUP($B413,Pitchers!$A1:$S251,11,FALSE)</f>
        <v>158.99777777777777</v>
      </c>
      <c r="AK413" s="31">
        <f>VLOOKUP($B413,Pitchers!$A1:$S251,12,FALSE)</f>
        <v>36.398888888888891</v>
      </c>
      <c r="AL413" s="31">
        <f>VLOOKUP($B413,Pitchers!$A1:$S251,13,FALSE)</f>
        <v>21.266666666666666</v>
      </c>
      <c r="AM413" s="31">
        <f>VLOOKUP($B413,Pitchers!$A1:$S251,14,FALSE)</f>
        <v>28.069999999999997</v>
      </c>
      <c r="AN413" s="31">
        <f>VLOOKUP($B413,Pitchers!$A1:$S251,15,FALSE)</f>
        <v>28.053333333333331</v>
      </c>
      <c r="AO413" s="31">
        <f>VLOOKUP($B413,Pitchers!$A1:$S251,16,FALSE)</f>
        <v>8.9499999999999993</v>
      </c>
      <c r="AP413" s="31">
        <f>VLOOKUP($B413,Pitchers!$A1:$S251,17,FALSE)</f>
        <v>12</v>
      </c>
      <c r="AQ413" s="31">
        <f>VLOOKUP($B413,Pitchers!$A1:$S251,18,FALSE)</f>
        <v>0</v>
      </c>
      <c r="AR413" s="31">
        <f>VLOOKUP($B413,Pitchers!$A1:$S251,19,FALSE)</f>
        <v>0</v>
      </c>
    </row>
    <row r="414" spans="1:44" ht="20.100000000000001" customHeight="1">
      <c r="A414" s="25">
        <f ca="1">RANK(I414,I$2:I$651)</f>
        <v>413</v>
      </c>
      <c r="B414" s="26" t="s">
        <v>402</v>
      </c>
      <c r="C414" s="27" t="s">
        <v>95</v>
      </c>
      <c r="D414" s="27" t="s">
        <v>74</v>
      </c>
      <c r="E414" s="34" t="s">
        <v>15</v>
      </c>
      <c r="F414" s="35">
        <f ca="1">VLOOKUP(B414,'3B'!A1:I55,IF(Settings!$J$13="points",4,7),FALSE)</f>
        <v>27</v>
      </c>
      <c r="G414" s="30">
        <f>(M414*Settings!$B$2)+(N414*Settings!$B$3)+(O414*Settings!$B$4)+(P414*Settings!$B$5)+(Q414*Settings!$B$6)+((T414-U414-V414-O414)*Settings!$B$9)+(U414*Settings!$B$10)+(V414*Settings!$B$11)+(W414*Settings!$B$12)+(X414*Settings!$B$13)+(AA414*Settings!$B$16)</f>
        <v>261.65500000000003</v>
      </c>
      <c r="H414" s="31">
        <f>VLOOKUP(B414,'Standard Deviations'!$A1:$D651,4,FALSE)</f>
        <v>-0.95146531178257943</v>
      </c>
      <c r="I414" s="32">
        <f ca="1">IF(Settings!$J$15="no",VLOOKUP(B414,'3B'!A1:I55,IF(Settings!$J$13="points",6,9),FALSE),VLOOKUP(B414,'1B+3B'!$A1:$I104,IF(Settings!$J$13="points",6,9),FALSE))</f>
        <v>-1.1769472722425216</v>
      </c>
      <c r="J414" s="31"/>
      <c r="K414" s="31">
        <f ca="1">J414-A414</f>
        <v>-413</v>
      </c>
      <c r="L414" s="31"/>
      <c r="M414" s="31">
        <f>VLOOKUP($B414,Hitters!$A1:$R401,4,FALSE)</f>
        <v>413.39999999999992</v>
      </c>
      <c r="N414" s="31">
        <f>VLOOKUP($B414,Hitters!$A1:$R401,5,FALSE)</f>
        <v>50.648333333333333</v>
      </c>
      <c r="O414" s="31">
        <f>VLOOKUP($B414,Hitters!$A1:$R401,6,FALSE)</f>
        <v>15.721666666666666</v>
      </c>
      <c r="P414" s="31">
        <f>VLOOKUP($B414,Hitters!$A1:$R401,7,FALSE)</f>
        <v>56.684999999999995</v>
      </c>
      <c r="Q414" s="31">
        <f>VLOOKUP($B414,Hitters!$A1:$R401,8,FALSE)</f>
        <v>1.0066666666666666</v>
      </c>
      <c r="R414" s="33">
        <f>VLOOKUP($B414,Hitters!$A$1:$R$401,14,FALSE)</f>
        <v>0.23550233833252707</v>
      </c>
      <c r="S414" s="33">
        <f>VLOOKUP($B414,Hitters!$A$1:$R$401,15,FALSE)</f>
        <v>0.30309531194151629</v>
      </c>
      <c r="T414" s="31">
        <f>VLOOKUP($B414,Hitters!$A$1:$R$401,9,FALSE)</f>
        <v>97.356666666666669</v>
      </c>
      <c r="U414" s="31">
        <f>VLOOKUP($B414,Hitters!$A$1:$R$401,10,FALSE)</f>
        <v>19.216666666666665</v>
      </c>
      <c r="V414" s="31">
        <f>VLOOKUP($B414,Hitters!$A$1:$R$401,11,FALSE)</f>
        <v>3.0249999999999999</v>
      </c>
      <c r="W414" s="31">
        <f>VLOOKUP($B414,Hitters!$A$1:$R$401,12,FALSE)</f>
        <v>33.356666666666662</v>
      </c>
      <c r="X414" s="31">
        <f>VLOOKUP($B414,Hitters!$A$1:$R$401,13,FALSE)</f>
        <v>101.67333333333333</v>
      </c>
      <c r="Y414" s="33">
        <f>VLOOKUP($B414,Hitters!$A$1:$R$401,16,FALSE)</f>
        <v>0.41071198193839709</v>
      </c>
      <c r="Z414" s="33">
        <f>VLOOKUP($B414,Hitters!$A$1:$R$401,17,FALSE)</f>
        <v>0.71380729387991337</v>
      </c>
      <c r="AA414" s="31">
        <f>VLOOKUP($B414,Hitters!$A1:$R401,18,FALSE)</f>
        <v>0</v>
      </c>
      <c r="AB414" s="31"/>
      <c r="AC414" s="31"/>
      <c r="AD414" s="33"/>
      <c r="AE414" s="33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</row>
    <row r="415" spans="1:44" ht="20.100000000000001" customHeight="1">
      <c r="A415" s="25">
        <f ca="1">RANK(I415,I$2:I$651)</f>
        <v>414</v>
      </c>
      <c r="B415" s="26" t="s">
        <v>449</v>
      </c>
      <c r="C415" s="27" t="s">
        <v>99</v>
      </c>
      <c r="D415" s="27" t="s">
        <v>69</v>
      </c>
      <c r="E415" s="36" t="s">
        <v>31</v>
      </c>
      <c r="F415" s="37">
        <f ca="1">VLOOKUP(B415,SP!A1:I161,IF(Settings!$J$13="points",4,7),FALSE)</f>
        <v>113</v>
      </c>
      <c r="G415" s="30">
        <f>(AC415*Settings!$F$2)+(AF415*Settings!$F$5)+(AG415*Settings!$F$6)+(AH415*Settings!$F$7)+(AI415*Settings!$F$8)+(AJ415*Settings!$F$9)+(AK415*Settings!$F$10)+(AL415*Settings!$F$11)+(AM415*Settings!$F$12)+(AN415*Settings!$F$13)+(AO415*Settings!$F$14)+(AP415*Settings!$F$15)+(AQ415*Settings!$F$16)+(AR415*Settings!$F$17)</f>
        <v>312.74002222222208</v>
      </c>
      <c r="H415" s="31">
        <f>VLOOKUP(B415,'Standard Deviations'!$A1:$D651,4,FALSE)</f>
        <v>-2.0535980670000709</v>
      </c>
      <c r="I415" s="32">
        <f ca="1">IF(Settings!$J$16="no",VLOOKUP(B415,SP!A1:I161,IF(Settings!$J$13="points",6,9),FALSE),VLOOKUP(B415,'SP+RP'!$A1:$I251,IF(Settings!$J$13="points",6,9),FALSE))</f>
        <v>-1.1860189502591147</v>
      </c>
      <c r="J415" s="31"/>
      <c r="K415" s="31">
        <f ca="1">J415-A415</f>
        <v>-414</v>
      </c>
      <c r="L415" s="31"/>
      <c r="M415" s="31"/>
      <c r="N415" s="31"/>
      <c r="O415" s="31"/>
      <c r="P415" s="31"/>
      <c r="Q415" s="31"/>
      <c r="R415" s="33"/>
      <c r="S415" s="33"/>
      <c r="T415" s="31"/>
      <c r="U415" s="31"/>
      <c r="V415" s="31"/>
      <c r="W415" s="31"/>
      <c r="X415" s="31"/>
      <c r="Y415" s="33"/>
      <c r="Z415" s="33"/>
      <c r="AA415" s="31"/>
      <c r="AB415" s="31"/>
      <c r="AC415" s="31">
        <f>VLOOKUP($B415,Pitchers!$A1:$S251,4,FALSE)</f>
        <v>169.92333333333332</v>
      </c>
      <c r="AD415" s="33">
        <f>VLOOKUP($B415,Pitchers!$A1:$S251,5,FALSE)</f>
        <v>4.4774003962571367</v>
      </c>
      <c r="AE415" s="33">
        <f>VLOOKUP($B415,Pitchers!$A1:$S251,6,FALSE)</f>
        <v>1.2953227272430052</v>
      </c>
      <c r="AF415" s="31">
        <f>VLOOKUP($B415,Pitchers!$A1:$S251,7,FALSE)</f>
        <v>121.48333333333333</v>
      </c>
      <c r="AG415" s="31">
        <f>VLOOKUP($B415,Pitchers!$A1:$S251,8,FALSE)</f>
        <v>8.99</v>
      </c>
      <c r="AH415" s="31">
        <f>VLOOKUP($B415,Pitchers!$A1:$S251,9,FALSE)</f>
        <v>0</v>
      </c>
      <c r="AI415" s="31">
        <f>VLOOKUP($B415,Pitchers!$A1:$S251,10,FALSE)</f>
        <v>84.534977777777783</v>
      </c>
      <c r="AJ415" s="31">
        <f>VLOOKUP($B415,Pitchers!$A1:$S251,11,FALSE)</f>
        <v>181.5</v>
      </c>
      <c r="AK415" s="31">
        <f>VLOOKUP($B415,Pitchers!$A1:$S251,12,FALSE)</f>
        <v>38.605555555555554</v>
      </c>
      <c r="AL415" s="31">
        <f>VLOOKUP($B415,Pitchers!$A1:$S251,13,FALSE)</f>
        <v>25.833333333333332</v>
      </c>
      <c r="AM415" s="31">
        <f>VLOOKUP($B415,Pitchers!$A1:$S251,14,FALSE)</f>
        <v>30.942222222222224</v>
      </c>
      <c r="AN415" s="31">
        <f>VLOOKUP($B415,Pitchers!$A1:$S251,15,FALSE)</f>
        <v>28.986666666666668</v>
      </c>
      <c r="AO415" s="31">
        <f>VLOOKUP($B415,Pitchers!$A1:$S251,16,FALSE)</f>
        <v>11.012222222222222</v>
      </c>
      <c r="AP415" s="31">
        <f>VLOOKUP($B415,Pitchers!$A1:$S251,17,FALSE)</f>
        <v>13</v>
      </c>
      <c r="AQ415" s="31">
        <f>VLOOKUP($B415,Pitchers!$A1:$S251,18,FALSE)</f>
        <v>0</v>
      </c>
      <c r="AR415" s="31">
        <f>VLOOKUP($B415,Pitchers!$A1:$S251,19,FALSE)</f>
        <v>0</v>
      </c>
    </row>
    <row r="416" spans="1:44" ht="20.100000000000001" customHeight="1">
      <c r="A416" s="25">
        <f ca="1">RANK(I416,I$2:I$651)</f>
        <v>415</v>
      </c>
      <c r="B416" s="26" t="s">
        <v>394</v>
      </c>
      <c r="C416" s="27" t="s">
        <v>140</v>
      </c>
      <c r="D416" s="27" t="s">
        <v>69</v>
      </c>
      <c r="E416" s="46" t="s">
        <v>19</v>
      </c>
      <c r="F416" s="47">
        <f ca="1">VLOOKUP(B416,'C'!A1:I54,IF(Settings!$J$13="points",4,7),FALSE)</f>
        <v>19</v>
      </c>
      <c r="G416" s="30">
        <f>(M416*Settings!$B$2)+(N416*Settings!$B$3)+(O416*Settings!$B$4)+(P416*Settings!$B$5)+(Q416*Settings!$B$6)+((T416-U416-V416-O416)*Settings!$B$9)+(U416*Settings!$B$10)+(V416*Settings!$B$11)+(W416*Settings!$B$12)+(X416*Settings!$B$13)+(AA416*Settings!$B$16)</f>
        <v>232.45999999999995</v>
      </c>
      <c r="H416" s="31">
        <f>VLOOKUP(B416,'Standard Deviations'!$A1:$D651,4,FALSE)</f>
        <v>-1.9734303921247727</v>
      </c>
      <c r="I416" s="32">
        <f ca="1">VLOOKUP(B416,'C'!A1:I54,IF(Settings!$J$13="points",6,9),FALSE)</f>
        <v>-1.1869039080507129</v>
      </c>
      <c r="J416" s="31"/>
      <c r="K416" s="31">
        <f ca="1">J416-A416</f>
        <v>-415</v>
      </c>
      <c r="L416" s="31"/>
      <c r="M416" s="31">
        <f>VLOOKUP($B416,Hitters!$A1:$R401,4,FALSE)</f>
        <v>416.0333333333333</v>
      </c>
      <c r="N416" s="31">
        <f>VLOOKUP($B416,Hitters!$A1:$R401,5,FALSE)</f>
        <v>45.536666666666669</v>
      </c>
      <c r="O416" s="31">
        <f>VLOOKUP($B416,Hitters!$A1:$R401,6,FALSE)</f>
        <v>15.167499999999999</v>
      </c>
      <c r="P416" s="31">
        <f>VLOOKUP($B416,Hitters!$A1:$R401,7,FALSE)</f>
        <v>51.083333333333336</v>
      </c>
      <c r="Q416" s="31">
        <f>VLOOKUP($B416,Hitters!$A1:$R401,8,FALSE)</f>
        <v>2.0350000000000001</v>
      </c>
      <c r="R416" s="33">
        <f>VLOOKUP($B416,Hitters!$A$1:$R$401,14,FALSE)</f>
        <v>0.22383222498197261</v>
      </c>
      <c r="S416" s="33">
        <f>VLOOKUP($B416,Hitters!$A$1:$R$401,15,FALSE)</f>
        <v>0.29200134375515446</v>
      </c>
      <c r="T416" s="31">
        <f>VLOOKUP($B416,Hitters!$A$1:$R$401,9,FALSE)</f>
        <v>93.12166666666667</v>
      </c>
      <c r="U416" s="31">
        <f>VLOOKUP($B416,Hitters!$A$1:$R$401,10,FALSE)</f>
        <v>20.04</v>
      </c>
      <c r="V416" s="31">
        <f>VLOOKUP($B416,Hitters!$A$1:$R$401,11,FALSE)</f>
        <v>1.655</v>
      </c>
      <c r="W416" s="31">
        <f>VLOOKUP($B416,Hitters!$A$1:$R$401,12,FALSE)</f>
        <v>33.088333333333338</v>
      </c>
      <c r="X416" s="31">
        <f>VLOOKUP($B416,Hitters!$A$1:$R$401,13,FALSE)</f>
        <v>126.58499999999999</v>
      </c>
      <c r="Y416" s="33">
        <f>VLOOKUP($B416,Hitters!$A$1:$R$401,16,FALSE)</f>
        <v>0.38932978126752665</v>
      </c>
      <c r="Z416" s="33">
        <f>VLOOKUP($B416,Hitters!$A$1:$R$401,17,FALSE)</f>
        <v>0.68133112502268112</v>
      </c>
      <c r="AA416" s="31">
        <f>VLOOKUP($B416,Hitters!$A1:$R401,18,FALSE)</f>
        <v>0</v>
      </c>
      <c r="AB416" s="31"/>
      <c r="AC416" s="31"/>
      <c r="AD416" s="33"/>
      <c r="AE416" s="33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</row>
    <row r="417" spans="1:44" ht="18.600000000000001" customHeight="1">
      <c r="A417" s="25">
        <f ca="1">RANK(I417,I$2:I$651)</f>
        <v>416</v>
      </c>
      <c r="B417" s="26" t="s">
        <v>472</v>
      </c>
      <c r="C417" s="27" t="s">
        <v>63</v>
      </c>
      <c r="D417" s="27" t="s">
        <v>74</v>
      </c>
      <c r="E417" s="36" t="s">
        <v>31</v>
      </c>
      <c r="F417" s="37">
        <f ca="1">VLOOKUP(B417,SP!A1:I161,IF(Settings!$J$13="points",4,7),FALSE)</f>
        <v>114</v>
      </c>
      <c r="G417" s="30">
        <f>(AC417*Settings!$F$2)+(AF417*Settings!$F$5)+(AG417*Settings!$F$6)+(AH417*Settings!$F$7)+(AI417*Settings!$F$8)+(AJ417*Settings!$F$9)+(AK417*Settings!$F$10)+(AL417*Settings!$F$11)+(AM417*Settings!$F$12)+(AN417*Settings!$F$13)+(AO417*Settings!$F$14)+(AP417*Settings!$F$15)+(AQ417*Settings!$F$16)+(AR417*Settings!$F$17)</f>
        <v>277.44297777777768</v>
      </c>
      <c r="H417" s="31">
        <f>VLOOKUP(B417,'Standard Deviations'!$A1:$D651,4,FALSE)</f>
        <v>-2.0548400834071101</v>
      </c>
      <c r="I417" s="32">
        <f ca="1">IF(Settings!$J$16="no",VLOOKUP(B417,SP!A1:I161,IF(Settings!$J$13="points",6,9),FALSE),VLOOKUP(B417,'SP+RP'!$A1:$I251,IF(Settings!$J$13="points",6,9),FALSE))</f>
        <v>-1.1872623644703832</v>
      </c>
      <c r="J417" s="31"/>
      <c r="K417" s="31">
        <f ca="1">J417-A417</f>
        <v>-416</v>
      </c>
      <c r="L417" s="31"/>
      <c r="M417" s="31"/>
      <c r="N417" s="31"/>
      <c r="O417" s="31"/>
      <c r="P417" s="31"/>
      <c r="Q417" s="31"/>
      <c r="R417" s="33"/>
      <c r="S417" s="33"/>
      <c r="T417" s="31"/>
      <c r="U417" s="31"/>
      <c r="V417" s="31"/>
      <c r="W417" s="31"/>
      <c r="X417" s="31"/>
      <c r="Y417" s="33"/>
      <c r="Z417" s="33"/>
      <c r="AA417" s="31"/>
      <c r="AB417" s="31"/>
      <c r="AC417" s="31">
        <f>VLOOKUP($B417,Pitchers!$A1:$S251,4,FALSE)</f>
        <v>134.59333333333333</v>
      </c>
      <c r="AD417" s="33">
        <f>VLOOKUP($B417,Pitchers!$A1:$S251,5,FALSE)</f>
        <v>4.3344137896874546</v>
      </c>
      <c r="AE417" s="33">
        <f>VLOOKUP($B417,Pitchers!$A1:$S251,6,FALSE)</f>
        <v>1.286732048805455</v>
      </c>
      <c r="AF417" s="31">
        <f>VLOOKUP($B417,Pitchers!$A1:$S251,7,FALSE)</f>
        <v>115.30444444444443</v>
      </c>
      <c r="AG417" s="31">
        <f>VLOOKUP($B417,Pitchers!$A1:$S251,8,FALSE)</f>
        <v>7.9944444444444445</v>
      </c>
      <c r="AH417" s="31">
        <f>VLOOKUP($B417,Pitchers!$A1:$S251,9,FALSE)</f>
        <v>0</v>
      </c>
      <c r="AI417" s="31">
        <f>VLOOKUP($B417,Pitchers!$A1:$S251,10,FALSE)</f>
        <v>64.820355555555565</v>
      </c>
      <c r="AJ417" s="31">
        <f>VLOOKUP($B417,Pitchers!$A1:$S251,11,FALSE)</f>
        <v>135.01222222222222</v>
      </c>
      <c r="AK417" s="31">
        <f>VLOOKUP($B417,Pitchers!$A1:$S251,12,FALSE)</f>
        <v>38.173333333333332</v>
      </c>
      <c r="AL417" s="31">
        <f>VLOOKUP($B417,Pitchers!$A1:$S251,13,FALSE)</f>
        <v>21.366666666666664</v>
      </c>
      <c r="AM417" s="31">
        <f>VLOOKUP($B417,Pitchers!$A1:$S251,14,FALSE)</f>
        <v>27.196666666666669</v>
      </c>
      <c r="AN417" s="31">
        <f>VLOOKUP($B417,Pitchers!$A1:$S251,15,FALSE)</f>
        <v>25.296666666666667</v>
      </c>
      <c r="AO417" s="31">
        <f>VLOOKUP($B417,Pitchers!$A1:$S251,16,FALSE)</f>
        <v>6.9888888888888898</v>
      </c>
      <c r="AP417" s="31">
        <f>VLOOKUP($B417,Pitchers!$A1:$S251,17,FALSE)</f>
        <v>11</v>
      </c>
      <c r="AQ417" s="31">
        <f>VLOOKUP($B417,Pitchers!$A1:$S251,18,FALSE)</f>
        <v>0.5</v>
      </c>
      <c r="AR417" s="31">
        <f>VLOOKUP($B417,Pitchers!$A1:$S251,19,FALSE)</f>
        <v>0</v>
      </c>
    </row>
    <row r="418" spans="1:44" ht="18.600000000000001" customHeight="1">
      <c r="A418" s="25">
        <f ca="1">RANK(I418,I$2:I$651)</f>
        <v>417</v>
      </c>
      <c r="B418" s="26" t="s">
        <v>466</v>
      </c>
      <c r="C418" s="27" t="s">
        <v>117</v>
      </c>
      <c r="D418" s="27" t="s">
        <v>69</v>
      </c>
      <c r="E418" s="48" t="s">
        <v>11</v>
      </c>
      <c r="F418" s="49">
        <f ca="1">VLOOKUP(B418,'2B'!A1:I50,IF(Settings!$J$13="points",4,7),FALSE)</f>
        <v>31</v>
      </c>
      <c r="G418" s="30">
        <f>(M418*Settings!$B$2)+(N418*Settings!$B$3)+(O418*Settings!$B$4)+(P418*Settings!$B$5)+(Q418*Settings!$B$6)+((T418-U418-V418-O418)*Settings!$B$9)+(U418*Settings!$B$10)+(V418*Settings!$B$11)+(W418*Settings!$B$12)+(X418*Settings!$B$13)+(AA418*Settings!$B$16)</f>
        <v>222.43555555555551</v>
      </c>
      <c r="H418" s="31">
        <f>VLOOKUP(B418,'Standard Deviations'!$A1:$D651,4,FALSE)</f>
        <v>-1.1845978688709327</v>
      </c>
      <c r="I418" s="32">
        <f ca="1">IF(Settings!$J$16="no",VLOOKUP(B418,'2B'!A1:I50,IF(Settings!$J$13="points",6,9),FALSE),VLOOKUP(B418,'2B+SS'!$A1:$I94,IF(Settings!$J$13="points",6,9),FALSE))</f>
        <v>-1.1906430707341027</v>
      </c>
      <c r="J418" s="31"/>
      <c r="K418" s="31">
        <f ca="1">J418-A418</f>
        <v>-417</v>
      </c>
      <c r="L418" s="31"/>
      <c r="M418" s="31">
        <f>VLOOKUP($B418,Hitters!$A1:$R401,4,FALSE)</f>
        <v>373.76666666666665</v>
      </c>
      <c r="N418" s="31">
        <f>VLOOKUP($B418,Hitters!$A1:$R401,5,FALSE)</f>
        <v>43.25333333333333</v>
      </c>
      <c r="O418" s="31">
        <f>VLOOKUP($B418,Hitters!$A1:$R401,6,FALSE)</f>
        <v>10.15</v>
      </c>
      <c r="P418" s="31">
        <f>VLOOKUP($B418,Hitters!$A1:$R401,7,FALSE)</f>
        <v>44.033333333333331</v>
      </c>
      <c r="Q418" s="31">
        <f>VLOOKUP($B418,Hitters!$A1:$R401,8,FALSE)</f>
        <v>6.2511111111111113</v>
      </c>
      <c r="R418" s="33">
        <f>VLOOKUP($B418,Hitters!$A$1:$R$401,14,FALSE)</f>
        <v>0.24766788549005617</v>
      </c>
      <c r="S418" s="33">
        <f>VLOOKUP($B418,Hitters!$A$1:$R$401,15,FALSE)</f>
        <v>0.30184688720964403</v>
      </c>
      <c r="T418" s="31">
        <f>VLOOKUP($B418,Hitters!$A$1:$R$401,9,FALSE)</f>
        <v>92.57</v>
      </c>
      <c r="U418" s="31">
        <f>VLOOKUP($B418,Hitters!$A$1:$R$401,10,FALSE)</f>
        <v>21.12</v>
      </c>
      <c r="V418" s="31">
        <f>VLOOKUP($B418,Hitters!$A$1:$R$401,11,FALSE)</f>
        <v>1.0333333333333334</v>
      </c>
      <c r="W418" s="31">
        <f>VLOOKUP($B418,Hitters!$A$1:$R$401,12,FALSE)</f>
        <v>22.893333333333334</v>
      </c>
      <c r="X418" s="31">
        <f>VLOOKUP($B418,Hitters!$A$1:$R$401,13,FALSE)</f>
        <v>92.90666666666668</v>
      </c>
      <c r="Y418" s="33">
        <f>VLOOKUP($B418,Hitters!$A$1:$R$401,16,FALSE)</f>
        <v>0.39117096227592968</v>
      </c>
      <c r="Z418" s="33">
        <f>VLOOKUP($B418,Hitters!$A$1:$R$401,17,FALSE)</f>
        <v>0.69301784948557366</v>
      </c>
      <c r="AA418" s="31">
        <f>VLOOKUP($B418,Hitters!$A1:$R401,18,FALSE)</f>
        <v>0</v>
      </c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</row>
    <row r="419" spans="1:44" ht="18.600000000000001" customHeight="1">
      <c r="A419" s="25">
        <f ca="1">RANK(I419,I$2:I$651)</f>
        <v>418</v>
      </c>
      <c r="B419" s="26" t="s">
        <v>415</v>
      </c>
      <c r="C419" s="27" t="s">
        <v>156</v>
      </c>
      <c r="D419" s="27" t="s">
        <v>69</v>
      </c>
      <c r="E419" s="46" t="s">
        <v>19</v>
      </c>
      <c r="F419" s="47">
        <f ca="1">VLOOKUP(B419,'C'!A1:I54,IF(Settings!$J$13="points",4,7),FALSE)</f>
        <v>20</v>
      </c>
      <c r="G419" s="30">
        <f>(M419*Settings!$B$2)+(N419*Settings!$B$3)+(O419*Settings!$B$4)+(P419*Settings!$B$5)+(Q419*Settings!$B$6)+((T419-U419-V419-O419)*Settings!$B$9)+(U419*Settings!$B$10)+(V419*Settings!$B$11)+(W419*Settings!$B$12)+(X419*Settings!$B$13)+(AA419*Settings!$B$16)</f>
        <v>206.36722222222218</v>
      </c>
      <c r="H419" s="31">
        <f>VLOOKUP(B419,'Standard Deviations'!$A1:$D651,4,FALSE)</f>
        <v>-1.9903216541973758</v>
      </c>
      <c r="I419" s="32">
        <f ca="1">VLOOKUP(B419,'C'!A1:I54,IF(Settings!$J$13="points",6,9),FALSE)</f>
        <v>-1.203799328462906</v>
      </c>
      <c r="J419" s="31"/>
      <c r="K419" s="31">
        <f ca="1">J419-A419</f>
        <v>-418</v>
      </c>
      <c r="L419" s="31"/>
      <c r="M419" s="31">
        <f>VLOOKUP($B419,Hitters!$A1:$R401,4,FALSE)</f>
        <v>350.5888888888889</v>
      </c>
      <c r="N419" s="31">
        <f>VLOOKUP($B419,Hitters!$A1:$R401,5,FALSE)</f>
        <v>38.834444444444443</v>
      </c>
      <c r="O419" s="31">
        <f>VLOOKUP($B419,Hitters!$A1:$R401,6,FALSE)</f>
        <v>7.4577777777777783</v>
      </c>
      <c r="P419" s="31">
        <f>VLOOKUP($B419,Hitters!$A1:$R401,7,FALSE)</f>
        <v>38.242222222222217</v>
      </c>
      <c r="Q419" s="31">
        <f>VLOOKUP($B419,Hitters!$A1:$R401,8,FALSE)</f>
        <v>4.485555555555556</v>
      </c>
      <c r="R419" s="33">
        <f>VLOOKUP($B419,Hitters!$A$1:$R$401,14,FALSE)</f>
        <v>0.25246727727949791</v>
      </c>
      <c r="S419" s="33">
        <f>VLOOKUP($B419,Hitters!$A$1:$R$401,15,FALSE)</f>
        <v>0.30904309671772101</v>
      </c>
      <c r="T419" s="31">
        <f>VLOOKUP($B419,Hitters!$A$1:$R$401,9,FALSE)</f>
        <v>88.512222222222206</v>
      </c>
      <c r="U419" s="31">
        <f>VLOOKUP($B419,Hitters!$A$1:$R$401,10,FALSE)</f>
        <v>16.968888888888888</v>
      </c>
      <c r="V419" s="31">
        <f>VLOOKUP($B419,Hitters!$A$1:$R$401,11,FALSE)</f>
        <v>0.98333333333333339</v>
      </c>
      <c r="W419" s="31">
        <f>VLOOKUP($B419,Hitters!$A$1:$R$401,12,FALSE)</f>
        <v>23.077777777777779</v>
      </c>
      <c r="X419" s="31">
        <f>VLOOKUP($B419,Hitters!$A$1:$R$401,13,FALSE)</f>
        <v>65.158888888888882</v>
      </c>
      <c r="Y419" s="33">
        <f>VLOOKUP($B419,Hitters!$A$1:$R$401,16,FALSE)</f>
        <v>0.37029442525274936</v>
      </c>
      <c r="Z419" s="33">
        <f>VLOOKUP($B419,Hitters!$A$1:$R$401,17,FALSE)</f>
        <v>0.67933752197047037</v>
      </c>
      <c r="AA419" s="31">
        <f>VLOOKUP($B419,Hitters!$A1:$R401,18,FALSE)</f>
        <v>0</v>
      </c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</row>
    <row r="420" spans="1:44" ht="18.600000000000001" customHeight="1">
      <c r="A420" s="25">
        <f ca="1">RANK(I420,I$2:I$651)</f>
        <v>419</v>
      </c>
      <c r="B420" s="26" t="s">
        <v>623</v>
      </c>
      <c r="C420" s="27" t="s">
        <v>306</v>
      </c>
      <c r="D420" s="27" t="s">
        <v>74</v>
      </c>
      <c r="E420" s="40" t="s">
        <v>7</v>
      </c>
      <c r="F420" s="41">
        <f ca="1">VLOOKUP(B420,'1B'!A1:I63,IF(Settings!$J$13="points",4,7),FALSE)</f>
        <v>37</v>
      </c>
      <c r="G420" s="30">
        <f>(M420*Settings!$B$2)+(N420*Settings!$B$3)+(O420*Settings!$B$4)+(P420*Settings!$B$5)+(Q420*Settings!$B$6)+((T420-U420-V420-O420)*Settings!$B$9)+(U420*Settings!$B$10)+(V420*Settings!$B$11)+(W420*Settings!$B$12)+(X420*Settings!$B$13)+(AA420*Settings!$B$16)</f>
        <v>253.55866666666662</v>
      </c>
      <c r="H420" s="31">
        <f>VLOOKUP(B420,'Standard Deviations'!$A1:$D651,4,FALSE)</f>
        <v>-0.98742521494539726</v>
      </c>
      <c r="I420" s="32">
        <f ca="1">IF(Settings!$J$15="no",VLOOKUP(B420,'1B'!A1:I63,IF(Settings!$J$13="points",6,9),FALSE),VLOOKUP(B420,'1B+3B'!$A1:$I104,IF(Settings!$J$13="points",6,9),FALSE))</f>
        <v>-1.2129064846635877</v>
      </c>
      <c r="J420" s="31"/>
      <c r="K420" s="31">
        <f ca="1">J420-A420</f>
        <v>-419</v>
      </c>
      <c r="L420" s="31"/>
      <c r="M420" s="31">
        <f>VLOOKUP($B420,Hitters!$A1:$R401,4,FALSE)</f>
        <v>413.77333333333337</v>
      </c>
      <c r="N420" s="31">
        <f>VLOOKUP($B420,Hitters!$A1:$R401,5,FALSE)</f>
        <v>47.812666666666665</v>
      </c>
      <c r="O420" s="31">
        <f>VLOOKUP($B420,Hitters!$A1:$R401,6,FALSE)</f>
        <v>12.233333333333334</v>
      </c>
      <c r="P420" s="31">
        <f>VLOOKUP($B420,Hitters!$A1:$R401,7,FALSE)</f>
        <v>52.134666666666668</v>
      </c>
      <c r="Q420" s="31">
        <f>VLOOKUP($B420,Hitters!$A1:$R401,8,FALSE)</f>
        <v>2.0880000000000001</v>
      </c>
      <c r="R420" s="33">
        <f>VLOOKUP($B420,Hitters!$A$1:$R$401,14,FALSE)</f>
        <v>0.24671317629620079</v>
      </c>
      <c r="S420" s="33">
        <f>VLOOKUP($B420,Hitters!$A$1:$R$401,15,FALSE)</f>
        <v>0.31211001923863285</v>
      </c>
      <c r="T420" s="31">
        <f>VLOOKUP($B420,Hitters!$A$1:$R$401,9,FALSE)</f>
        <v>102.08333333333333</v>
      </c>
      <c r="U420" s="31">
        <f>VLOOKUP($B420,Hitters!$A$1:$R$401,10,FALSE)</f>
        <v>24.943999999999999</v>
      </c>
      <c r="V420" s="31">
        <f>VLOOKUP($B420,Hitters!$A$1:$R$401,11,FALSE)</f>
        <v>1.042</v>
      </c>
      <c r="W420" s="31">
        <f>VLOOKUP($B420,Hitters!$A$1:$R$401,12,FALSE)</f>
        <v>32.747333333333337</v>
      </c>
      <c r="X420" s="31">
        <f>VLOOKUP($B420,Hitters!$A$1:$R$401,13,FALSE)</f>
        <v>98.24666666666667</v>
      </c>
      <c r="Y420" s="33">
        <f>VLOOKUP($B420,Hitters!$A$1:$R$401,16,FALSE)</f>
        <v>0.40072986820481415</v>
      </c>
      <c r="Z420" s="33">
        <f>VLOOKUP($B420,Hitters!$A$1:$R$401,17,FALSE)</f>
        <v>0.71283988744344695</v>
      </c>
      <c r="AA420" s="31">
        <f>VLOOKUP($B420,Hitters!$A1:$R401,18,FALSE)</f>
        <v>0</v>
      </c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</row>
    <row r="421" spans="1:44" ht="20.100000000000001" customHeight="1">
      <c r="A421" s="25">
        <f ca="1">RANK(I421,I$2:I$651)</f>
        <v>420</v>
      </c>
      <c r="B421" s="26" t="s">
        <v>404</v>
      </c>
      <c r="C421" s="27" t="s">
        <v>223</v>
      </c>
      <c r="D421" s="27" t="s">
        <v>74</v>
      </c>
      <c r="E421" s="34" t="s">
        <v>15</v>
      </c>
      <c r="F421" s="35">
        <f ca="1">VLOOKUP(B421,'3B'!A1:I55,IF(Settings!$J$13="points",4,7),FALSE)</f>
        <v>28</v>
      </c>
      <c r="G421" s="30">
        <f>(M421*Settings!$B$2)+(N421*Settings!$B$3)+(O421*Settings!$B$4)+(P421*Settings!$B$5)+(Q421*Settings!$B$6)+((T421-U421-V421-O421)*Settings!$B$9)+(U421*Settings!$B$10)+(V421*Settings!$B$11)+(W421*Settings!$B$12)+(X421*Settings!$B$13)+(AA421*Settings!$B$16)</f>
        <v>253.7172222222222</v>
      </c>
      <c r="H421" s="31">
        <f>VLOOKUP(B421,'Standard Deviations'!$A1:$D651,4,FALSE)</f>
        <v>-0.98953848820792345</v>
      </c>
      <c r="I421" s="32">
        <f ca="1">IF(Settings!$J$15="no",VLOOKUP(B421,'3B'!A1:I55,IF(Settings!$J$13="points",6,9),FALSE),VLOOKUP(B421,'1B+3B'!$A1:$I104,IF(Settings!$J$13="points",6,9),FALSE))</f>
        <v>-1.2150215747187572</v>
      </c>
      <c r="J421" s="31"/>
      <c r="K421" s="31">
        <f ca="1">J421-A421</f>
        <v>-420</v>
      </c>
      <c r="L421" s="31"/>
      <c r="M421" s="31">
        <f>VLOOKUP($B421,Hitters!$A1:$R401,4,FALSE)</f>
        <v>394.26666666666665</v>
      </c>
      <c r="N421" s="31">
        <f>VLOOKUP($B421,Hitters!$A1:$R401,5,FALSE)</f>
        <v>50.063333333333333</v>
      </c>
      <c r="O421" s="31">
        <f>VLOOKUP($B421,Hitters!$A1:$R401,6,FALSE)</f>
        <v>13.878333333333332</v>
      </c>
      <c r="P421" s="31">
        <f>VLOOKUP($B421,Hitters!$A1:$R401,7,FALSE)</f>
        <v>51.026666666666671</v>
      </c>
      <c r="Q421" s="31">
        <f>VLOOKUP($B421,Hitters!$A1:$R401,8,FALSE)</f>
        <v>3.8488888888888888</v>
      </c>
      <c r="R421" s="33">
        <f>VLOOKUP($B421,Hitters!$A$1:$R$401,14,FALSE)</f>
        <v>0.23691663848495101</v>
      </c>
      <c r="S421" s="33">
        <f>VLOOKUP($B421,Hitters!$A$1:$R$401,15,FALSE)</f>
        <v>0.3111967314545443</v>
      </c>
      <c r="T421" s="31">
        <f>VLOOKUP($B421,Hitters!$A$1:$R$401,9,FALSE)</f>
        <v>93.408333333333346</v>
      </c>
      <c r="U421" s="31">
        <f>VLOOKUP($B421,Hitters!$A$1:$R$401,10,FALSE)</f>
        <v>21.040000000000003</v>
      </c>
      <c r="V421" s="31">
        <f>VLOOKUP($B421,Hitters!$A$1:$R$401,11,FALSE)</f>
        <v>1.0049999999999999</v>
      </c>
      <c r="W421" s="31">
        <f>VLOOKUP($B421,Hitters!$A$1:$R$401,12,FALSE)</f>
        <v>36.223333333333329</v>
      </c>
      <c r="X421" s="31">
        <f>VLOOKUP($B421,Hitters!$A$1:$R$401,13,FALSE)</f>
        <v>98.774444444444441</v>
      </c>
      <c r="Y421" s="33">
        <f>VLOOKUP($B421,Hitters!$A$1:$R$401,16,FALSE)</f>
        <v>0.40098072370645932</v>
      </c>
      <c r="Z421" s="33">
        <f>VLOOKUP($B421,Hitters!$A$1:$R$401,17,FALSE)</f>
        <v>0.71217745516100361</v>
      </c>
      <c r="AA421" s="31">
        <f>VLOOKUP($B421,Hitters!$A1:$R401,18,FALSE)</f>
        <v>0</v>
      </c>
      <c r="AB421" s="31"/>
      <c r="AC421" s="31"/>
      <c r="AD421" s="33"/>
      <c r="AE421" s="33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</row>
    <row r="422" spans="1:44" ht="20.100000000000001" customHeight="1">
      <c r="A422" s="25">
        <f ca="1">RANK(I422,I$2:I$651)</f>
        <v>421</v>
      </c>
      <c r="B422" s="26" t="s">
        <v>575</v>
      </c>
      <c r="C422" s="27" t="s">
        <v>158</v>
      </c>
      <c r="D422" s="27" t="s">
        <v>74</v>
      </c>
      <c r="E422" s="42" t="s">
        <v>34</v>
      </c>
      <c r="F422" s="43">
        <f ca="1">VLOOKUP(B422,RP!A1:I91,IF(Settings!$J$13="points",4,7),FALSE)</f>
        <v>67</v>
      </c>
      <c r="G422" s="30">
        <f>(AC422*Settings!$F$2)+(AF422*Settings!$F$5)+(AG422*Settings!$F$6)+(AH422*Settings!$F$7)+(AI422*Settings!$F$8)+(AJ422*Settings!$F$9)+(AK422*Settings!$F$10)+(AL422*Settings!$F$11)+(AM422*Settings!$F$12)+(AN422*Settings!$F$13)+(AO422*Settings!$F$14)+(AP422*Settings!$F$15)+(AQ422*Settings!$F$16)+(AR422*Settings!$F$17)</f>
        <v>157.59194444444449</v>
      </c>
      <c r="H422" s="31">
        <f>VLOOKUP(B422,'Standard Deviations'!$A1:$D651,4,FALSE)</f>
        <v>-2.0838036221547269</v>
      </c>
      <c r="I422" s="32">
        <f ca="1">IF(Settings!$J$16="no",VLOOKUP(B422,RP!A1:I91,IF(Settings!$J$13="points",6,9),FALSE),VLOOKUP(B422,'SP+RP'!$A1:$I251,IF(Settings!$J$13="points",6,9),FALSE))</f>
        <v>-1.2162264253926258</v>
      </c>
      <c r="J422" s="31"/>
      <c r="K422" s="31">
        <f ca="1">J422-A422</f>
        <v>-421</v>
      </c>
      <c r="L422" s="31"/>
      <c r="M422" s="31"/>
      <c r="N422" s="31"/>
      <c r="O422" s="31"/>
      <c r="P422" s="31"/>
      <c r="Q422" s="31"/>
      <c r="R422" s="33"/>
      <c r="S422" s="33"/>
      <c r="T422" s="31"/>
      <c r="U422" s="31"/>
      <c r="V422" s="31"/>
      <c r="W422" s="31"/>
      <c r="X422" s="31"/>
      <c r="Y422" s="33"/>
      <c r="Z422" s="33"/>
      <c r="AA422" s="31"/>
      <c r="AB422" s="31"/>
      <c r="AC422" s="31">
        <f>VLOOKUP($B422,Pitchers!$A1:$S251,4,FALSE)</f>
        <v>62.31</v>
      </c>
      <c r="AD422" s="33">
        <f>VLOOKUP($B422,Pitchers!$A1:$S251,5,FALSE)</f>
        <v>3.9174289841116994</v>
      </c>
      <c r="AE422" s="33">
        <f>VLOOKUP($B422,Pitchers!$A1:$S251,6,FALSE)</f>
        <v>1.2103906988355713</v>
      </c>
      <c r="AF422" s="31">
        <f>VLOOKUP($B422,Pitchers!$A1:$S251,7,FALSE)</f>
        <v>66.731666666666669</v>
      </c>
      <c r="AG422" s="31">
        <f>VLOOKUP($B422,Pitchers!$A1:$S251,8,FALSE)</f>
        <v>3.0116666666666667</v>
      </c>
      <c r="AH422" s="31">
        <f>VLOOKUP($B422,Pitchers!$A1:$S251,9,FALSE)</f>
        <v>4.9833333333333334</v>
      </c>
      <c r="AI422" s="31">
        <f>VLOOKUP($B422,Pitchers!$A1:$S251,10,FALSE)</f>
        <v>27.121666666666666</v>
      </c>
      <c r="AJ422" s="31">
        <f>VLOOKUP($B422,Pitchers!$A1:$S251,11,FALSE)</f>
        <v>55.427777777777777</v>
      </c>
      <c r="AK422" s="31">
        <f>VLOOKUP($B422,Pitchers!$A1:$S251,12,FALSE)</f>
        <v>19.991666666666667</v>
      </c>
      <c r="AL422" s="31">
        <f>VLOOKUP($B422,Pitchers!$A1:$S251,13,FALSE)</f>
        <v>8.4666666666666668</v>
      </c>
      <c r="AM422" s="31">
        <f>VLOOKUP($B422,Pitchers!$A1:$S251,14,FALSE)</f>
        <v>52.675555555555555</v>
      </c>
      <c r="AN422" s="31">
        <f>VLOOKUP($B422,Pitchers!$A1:$S251,15,FALSE)</f>
        <v>1.1166666666666667</v>
      </c>
      <c r="AO422" s="31">
        <f>VLOOKUP($B422,Pitchers!$A1:$S251,16,FALSE)</f>
        <v>3.2255555555555553</v>
      </c>
      <c r="AP422" s="31">
        <f>VLOOKUP($B422,Pitchers!$A1:$S251,17,FALSE)</f>
        <v>0</v>
      </c>
      <c r="AQ422" s="31">
        <f>VLOOKUP($B422,Pitchers!$A1:$S251,18,FALSE)</f>
        <v>10</v>
      </c>
      <c r="AR422" s="31">
        <f>VLOOKUP($B422,Pitchers!$A1:$S251,19,FALSE)</f>
        <v>1</v>
      </c>
    </row>
    <row r="423" spans="1:44" ht="18.600000000000001" customHeight="1">
      <c r="A423" s="25">
        <f ca="1">RANK(I423,I$2:I$651)</f>
        <v>422</v>
      </c>
      <c r="B423" s="26" t="s">
        <v>434</v>
      </c>
      <c r="C423" s="27" t="s">
        <v>68</v>
      </c>
      <c r="D423" s="27" t="s">
        <v>69</v>
      </c>
      <c r="E423" s="28" t="s">
        <v>23</v>
      </c>
      <c r="F423" s="29">
        <f ca="1">VLOOKUP(B423,OF!A1:I139,IF(Settings!$J$13="points",4,7),FALSE)</f>
        <v>96</v>
      </c>
      <c r="G423" s="30">
        <f>(M423*Settings!$B$2)+(N423*Settings!$B$3)+(O423*Settings!$B$4)+(P423*Settings!$B$5)+(Q423*Settings!$B$6)+((T423-U423-V423-O423)*Settings!$B$9)+(U423*Settings!$B$10)+(V423*Settings!$B$11)+(W423*Settings!$B$12)+(X423*Settings!$B$13)+(AA423*Settings!$B$16)</f>
        <v>219.9505555555555</v>
      </c>
      <c r="H423" s="31">
        <f>VLOOKUP(B423,'Standard Deviations'!$A1:$D651,4,FALSE)</f>
        <v>-1.3850300304924807</v>
      </c>
      <c r="I423" s="32">
        <f ca="1">VLOOKUP(B423,OF!A1:I139,IF(Settings!$J$13="points",6,9),FALSE)</f>
        <v>-1.228100617609809</v>
      </c>
      <c r="J423" s="31"/>
      <c r="K423" s="31">
        <f ca="1">J423-A423</f>
        <v>-422</v>
      </c>
      <c r="L423" s="31"/>
      <c r="M423" s="31">
        <f>VLOOKUP($B423,Hitters!$A1:$R401,4,FALSE)</f>
        <v>340.21111111111111</v>
      </c>
      <c r="N423" s="31">
        <f>VLOOKUP($B423,Hitters!$A1:$R401,5,FALSE)</f>
        <v>41.771111111111111</v>
      </c>
      <c r="O423" s="31">
        <f>VLOOKUP($B423,Hitters!$A1:$R401,6,FALSE)</f>
        <v>12.302222222222222</v>
      </c>
      <c r="P423" s="31">
        <f>VLOOKUP($B423,Hitters!$A1:$R401,7,FALSE)</f>
        <v>43.098888888888894</v>
      </c>
      <c r="Q423" s="31">
        <f>VLOOKUP($B423,Hitters!$A1:$R401,8,FALSE)</f>
        <v>8.8122222222222231</v>
      </c>
      <c r="R423" s="33">
        <f>VLOOKUP($B423,Hitters!$A$1:$R$401,14,FALSE)</f>
        <v>0.23377967928410465</v>
      </c>
      <c r="S423" s="33">
        <f>VLOOKUP($B423,Hitters!$A$1:$R$401,15,FALSE)</f>
        <v>0.30123445788682557</v>
      </c>
      <c r="T423" s="31">
        <f>VLOOKUP($B423,Hitters!$A$1:$R$401,9,FALSE)</f>
        <v>79.534444444444446</v>
      </c>
      <c r="U423" s="31">
        <f>VLOOKUP($B423,Hitters!$A$1:$R$401,10,FALSE)</f>
        <v>17.446666666666669</v>
      </c>
      <c r="V423" s="31">
        <f>VLOOKUP($B423,Hitters!$A$1:$R$401,11,FALSE)</f>
        <v>1.7866666666666664</v>
      </c>
      <c r="W423" s="31">
        <f>VLOOKUP($B423,Hitters!$A$1:$R$401,12,FALSE)</f>
        <v>27.27</v>
      </c>
      <c r="X423" s="31">
        <f>VLOOKUP($B423,Hitters!$A$1:$R$401,13,FALSE)</f>
        <v>94.55</v>
      </c>
      <c r="Y423" s="33">
        <f>VLOOKUP($B423,Hitters!$A$1:$R$401,16,FALSE)</f>
        <v>0.40404650707077305</v>
      </c>
      <c r="Z423" s="33">
        <f>VLOOKUP($B423,Hitters!$A$1:$R$401,17,FALSE)</f>
        <v>0.70528096495759862</v>
      </c>
      <c r="AA423" s="31">
        <f>VLOOKUP($B423,Hitters!$A1:$R401,18,FALSE)</f>
        <v>0</v>
      </c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</row>
    <row r="424" spans="1:44" ht="20.100000000000001" customHeight="1">
      <c r="A424" s="25">
        <f ca="1">RANK(I424,I$2:I$651)</f>
        <v>423</v>
      </c>
      <c r="B424" s="26" t="s">
        <v>587</v>
      </c>
      <c r="C424" s="27" t="s">
        <v>137</v>
      </c>
      <c r="D424" s="27" t="s">
        <v>74</v>
      </c>
      <c r="E424" s="40" t="s">
        <v>7</v>
      </c>
      <c r="F424" s="41">
        <f ca="1">VLOOKUP(B424,'1B'!A1:I63,IF(Settings!$J$13="points",4,7),FALSE)</f>
        <v>38</v>
      </c>
      <c r="G424" s="30">
        <f>(M424*Settings!$B$2)+(N424*Settings!$B$3)+(O424*Settings!$B$4)+(P424*Settings!$B$5)+(Q424*Settings!$B$6)+((T424-U424-V424-O424)*Settings!$B$9)+(U424*Settings!$B$10)+(V424*Settings!$B$11)+(W424*Settings!$B$12)+(X424*Settings!$B$13)+(AA424*Settings!$B$16)</f>
        <v>307.706111111111</v>
      </c>
      <c r="H424" s="31">
        <f>VLOOKUP(B424,'Standard Deviations'!$A1:$D651,4,FALSE)</f>
        <v>-1.0137764853730371</v>
      </c>
      <c r="I424" s="32">
        <f ca="1">IF(Settings!$J$15="no",VLOOKUP(B424,'1B'!A1:I63,IF(Settings!$J$13="points",6,9),FALSE),VLOOKUP(B424,'1B+3B'!$A1:$I104,IF(Settings!$J$13="points",6,9),FALSE))</f>
        <v>-1.2392597536189709</v>
      </c>
      <c r="J424" s="31"/>
      <c r="K424" s="31">
        <f ca="1">J424-A424</f>
        <v>-423</v>
      </c>
      <c r="L424" s="31"/>
      <c r="M424" s="31">
        <f>VLOOKUP($B424,Hitters!$A1:$R401,4,FALSE)</f>
        <v>430.58333333333331</v>
      </c>
      <c r="N424" s="31">
        <f>VLOOKUP($B424,Hitters!$A1:$R401,5,FALSE)</f>
        <v>56.339999999999996</v>
      </c>
      <c r="O424" s="31">
        <f>VLOOKUP($B424,Hitters!$A1:$R401,6,FALSE)</f>
        <v>16.231666666666666</v>
      </c>
      <c r="P424" s="31">
        <f>VLOOKUP($B424,Hitters!$A1:$R401,7,FALSE)</f>
        <v>57.603333333333325</v>
      </c>
      <c r="Q424" s="31">
        <f>VLOOKUP($B424,Hitters!$A1:$R401,8,FALSE)</f>
        <v>1.0016666666666667</v>
      </c>
      <c r="R424" s="33">
        <f>VLOOKUP($B424,Hitters!$A$1:$R$401,14,FALSE)</f>
        <v>0.22731436681504422</v>
      </c>
      <c r="S424" s="33">
        <f>VLOOKUP($B424,Hitters!$A$1:$R$401,15,FALSE)</f>
        <v>0.34128513894752366</v>
      </c>
      <c r="T424" s="31">
        <f>VLOOKUP($B424,Hitters!$A$1:$R$401,9,FALSE)</f>
        <v>97.87777777777778</v>
      </c>
      <c r="U424" s="31">
        <f>VLOOKUP($B424,Hitters!$A$1:$R$401,10,FALSE)</f>
        <v>17.826666666666668</v>
      </c>
      <c r="V424" s="31">
        <f>VLOOKUP($B424,Hitters!$A$1:$R$401,11,FALSE)</f>
        <v>0.81666666666666676</v>
      </c>
      <c r="W424" s="31">
        <f>VLOOKUP($B424,Hitters!$A$1:$R$401,12,FALSE)</f>
        <v>68.196666666666673</v>
      </c>
      <c r="X424" s="31">
        <f>VLOOKUP($B424,Hitters!$A$1:$R$401,13,FALSE)</f>
        <v>84.94</v>
      </c>
      <c r="Y424" s="33">
        <f>VLOOKUP($B424,Hitters!$A$1:$R$401,16,FALSE)</f>
        <v>0.38559963873298497</v>
      </c>
      <c r="Z424" s="33">
        <f>VLOOKUP($B424,Hitters!$A$1:$R$401,17,FALSE)</f>
        <v>0.72688477768050863</v>
      </c>
      <c r="AA424" s="31">
        <f>VLOOKUP($B424,Hitters!$A1:$R401,18,FALSE)</f>
        <v>0</v>
      </c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</row>
    <row r="425" spans="1:44" ht="18.600000000000001" customHeight="1">
      <c r="A425" s="25">
        <f ca="1">RANK(I425,I$2:I$651)</f>
        <v>424</v>
      </c>
      <c r="B425" s="26" t="s">
        <v>689</v>
      </c>
      <c r="C425" s="27" t="s">
        <v>68</v>
      </c>
      <c r="D425" s="27" t="s">
        <v>69</v>
      </c>
      <c r="E425" s="38" t="s">
        <v>27</v>
      </c>
      <c r="F425" s="39">
        <f ca="1">VLOOKUP(B425,SS!A1:I45,IF(Settings!$J$13="points",4,7),FALSE)</f>
        <v>30</v>
      </c>
      <c r="G425" s="30">
        <f>(M425*Settings!$B$2)+(N425*Settings!$B$3)+(O425*Settings!$B$4)+(P425*Settings!$B$5)+(Q425*Settings!$B$6)+((T425-U425-V425-O425)*Settings!$B$9)+(U425*Settings!$B$10)+(V425*Settings!$B$11)+(W425*Settings!$B$12)+(X425*Settings!$B$13)+(AA425*Settings!$B$16)</f>
        <v>227.82916666666665</v>
      </c>
      <c r="H425" s="31">
        <f>VLOOKUP(B425,'Standard Deviations'!$A1:$D651,4,FALSE)</f>
        <v>-1.2355491390276696</v>
      </c>
      <c r="I425" s="32">
        <f ca="1">IF(Settings!$J$16="no",VLOOKUP(B425,SS!A1:I45,IF(Settings!$J$13="points",6,9),FALSE),VLOOKUP(B425,'2B+SS'!$A1:$I94,IF(Settings!$J$13="points",6,9),FALSE))</f>
        <v>-1.2415948205714269</v>
      </c>
      <c r="J425" s="31"/>
      <c r="K425" s="31">
        <f ca="1">J425-A425</f>
        <v>-424</v>
      </c>
      <c r="L425" s="31"/>
      <c r="M425" s="31">
        <f>VLOOKUP($B425,Hitters!$A1:$R401,4,FALSE)</f>
        <v>326.97500000000002</v>
      </c>
      <c r="N425" s="31">
        <f>VLOOKUP($B425,Hitters!$A1:$R401,5,FALSE)</f>
        <v>43.510416666666664</v>
      </c>
      <c r="O425" s="31">
        <f>VLOOKUP($B425,Hitters!$A1:$R401,6,FALSE)</f>
        <v>9.8958333333333339</v>
      </c>
      <c r="P425" s="31">
        <f>VLOOKUP($B425,Hitters!$A1:$R401,7,FALSE)</f>
        <v>39.210416666666667</v>
      </c>
      <c r="Q425" s="31">
        <f>VLOOKUP($B425,Hitters!$A1:$R401,8,FALSE)</f>
        <v>13.643749999999999</v>
      </c>
      <c r="R425" s="33">
        <f>VLOOKUP($B425,Hitters!$A$1:$R$401,14,FALSE)</f>
        <v>0.23112113566276724</v>
      </c>
      <c r="S425" s="33">
        <f>VLOOKUP($B425,Hitters!$A$1:$R$401,15,FALSE)</f>
        <v>0.30648132350290425</v>
      </c>
      <c r="T425" s="31">
        <f>VLOOKUP($B425,Hitters!$A$1:$R$401,9,FALSE)</f>
        <v>75.570833333333326</v>
      </c>
      <c r="U425" s="31">
        <f>VLOOKUP($B425,Hitters!$A$1:$R$401,10,FALSE)</f>
        <v>18.008333333333336</v>
      </c>
      <c r="V425" s="31">
        <f>VLOOKUP($B425,Hitters!$A$1:$R$401,11,FALSE)</f>
        <v>1.9291666666666665</v>
      </c>
      <c r="W425" s="31">
        <f>VLOOKUP($B425,Hitters!$A$1:$R$401,12,FALSE)</f>
        <v>30.245833333333337</v>
      </c>
      <c r="X425" s="31">
        <f>VLOOKUP($B425,Hitters!$A$1:$R$401,13,FALSE)</f>
        <v>79.100000000000009</v>
      </c>
      <c r="Y425" s="33">
        <f>VLOOKUP($B425,Hitters!$A$1:$R$401,16,FALSE)</f>
        <v>0.38879119198715495</v>
      </c>
      <c r="Z425" s="33">
        <f>VLOOKUP($B425,Hitters!$A$1:$R$401,17,FALSE)</f>
        <v>0.6952725154900592</v>
      </c>
      <c r="AA425" s="31">
        <f>VLOOKUP($B425,Hitters!$A1:$R401,18,FALSE)</f>
        <v>0</v>
      </c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</row>
    <row r="426" spans="1:44" ht="20.100000000000001" customHeight="1">
      <c r="A426" s="25">
        <f ca="1">RANK(I426,I$2:I$651)</f>
        <v>425</v>
      </c>
      <c r="B426" s="26" t="s">
        <v>463</v>
      </c>
      <c r="C426" s="27" t="s">
        <v>137</v>
      </c>
      <c r="D426" s="27" t="s">
        <v>74</v>
      </c>
      <c r="E426" s="36" t="s">
        <v>31</v>
      </c>
      <c r="F426" s="37">
        <f ca="1">VLOOKUP(B426,SP!A1:I161,IF(Settings!$J$13="points",4,7),FALSE)</f>
        <v>115</v>
      </c>
      <c r="G426" s="30">
        <f>(AC426*Settings!$F$2)+(AF426*Settings!$F$5)+(AG426*Settings!$F$6)+(AH426*Settings!$F$7)+(AI426*Settings!$F$8)+(AJ426*Settings!$F$9)+(AK426*Settings!$F$10)+(AL426*Settings!$F$11)+(AM426*Settings!$F$12)+(AN426*Settings!$F$13)+(AO426*Settings!$F$14)+(AP426*Settings!$F$15)+(AQ426*Settings!$F$16)+(AR426*Settings!$F$17)</f>
        <v>293.34069999999997</v>
      </c>
      <c r="H426" s="31">
        <f>VLOOKUP(B426,'Standard Deviations'!$A1:$D651,4,FALSE)</f>
        <v>-2.1357551637217354</v>
      </c>
      <c r="I426" s="32">
        <f ca="1">IF(Settings!$J$16="no",VLOOKUP(B426,SP!A1:I161,IF(Settings!$J$13="points",6,9),FALSE),VLOOKUP(B426,'SP+RP'!$A1:$I251,IF(Settings!$J$13="points",6,9),FALSE))</f>
        <v>-1.2681743987373317</v>
      </c>
      <c r="J426" s="31"/>
      <c r="K426" s="31">
        <f ca="1">J426-A426</f>
        <v>-425</v>
      </c>
      <c r="L426" s="31"/>
      <c r="M426" s="31"/>
      <c r="N426" s="31"/>
      <c r="O426" s="31"/>
      <c r="P426" s="31"/>
      <c r="Q426" s="31"/>
      <c r="R426" s="33"/>
      <c r="S426" s="33"/>
      <c r="T426" s="31"/>
      <c r="U426" s="31"/>
      <c r="V426" s="31"/>
      <c r="W426" s="31"/>
      <c r="X426" s="31"/>
      <c r="Y426" s="33"/>
      <c r="Z426" s="33"/>
      <c r="AA426" s="31"/>
      <c r="AB426" s="31"/>
      <c r="AC426" s="31">
        <f>VLOOKUP($B426,Pitchers!$A1:$S251,4,FALSE)</f>
        <v>154.78333333333333</v>
      </c>
      <c r="AD426" s="33">
        <f>VLOOKUP($B426,Pitchers!$A1:$S251,5,FALSE)</f>
        <v>4.352995800581458</v>
      </c>
      <c r="AE426" s="33">
        <f>VLOOKUP($B426,Pitchers!$A1:$S251,6,FALSE)</f>
        <v>1.3382900829115969</v>
      </c>
      <c r="AF426" s="31">
        <f>VLOOKUP($B426,Pitchers!$A1:$S251,7,FALSE)</f>
        <v>146.14833333333334</v>
      </c>
      <c r="AG426" s="31">
        <f>VLOOKUP($B426,Pitchers!$A1:$S251,8,FALSE)</f>
        <v>7.5583333333333336</v>
      </c>
      <c r="AH426" s="31">
        <f>VLOOKUP($B426,Pitchers!$A1:$S251,9,FALSE)</f>
        <v>0</v>
      </c>
      <c r="AI426" s="31">
        <f>VLOOKUP($B426,Pitchers!$A1:$S251,10,FALSE)</f>
        <v>74.863466666666667</v>
      </c>
      <c r="AJ426" s="31">
        <f>VLOOKUP($B426,Pitchers!$A1:$S251,11,FALSE)</f>
        <v>154.39833333333334</v>
      </c>
      <c r="AK426" s="31">
        <f>VLOOKUP($B426,Pitchers!$A1:$S251,12,FALSE)</f>
        <v>52.74666666666667</v>
      </c>
      <c r="AL426" s="31">
        <f>VLOOKUP($B426,Pitchers!$A1:$S251,13,FALSE)</f>
        <v>21.266666666666666</v>
      </c>
      <c r="AM426" s="31">
        <f>VLOOKUP($B426,Pitchers!$A1:$S251,14,FALSE)</f>
        <v>28.67</v>
      </c>
      <c r="AN426" s="31">
        <f>VLOOKUP($B426,Pitchers!$A1:$S251,15,FALSE)</f>
        <v>28.67</v>
      </c>
      <c r="AO426" s="31">
        <f>VLOOKUP($B426,Pitchers!$A1:$S251,16,FALSE)</f>
        <v>10.796666666666667</v>
      </c>
      <c r="AP426" s="31">
        <f>VLOOKUP($B426,Pitchers!$A1:$S251,17,FALSE)</f>
        <v>13</v>
      </c>
      <c r="AQ426" s="31">
        <f>VLOOKUP($B426,Pitchers!$A1:$S251,18,FALSE)</f>
        <v>0</v>
      </c>
      <c r="AR426" s="31">
        <f>VLOOKUP($B426,Pitchers!$A1:$S251,19,FALSE)</f>
        <v>0</v>
      </c>
    </row>
    <row r="427" spans="1:44" ht="18.600000000000001" customHeight="1">
      <c r="A427" s="25">
        <f ca="1">RANK(I427,I$2:I$651)</f>
        <v>426</v>
      </c>
      <c r="B427" s="26" t="s">
        <v>559</v>
      </c>
      <c r="C427" s="27" t="s">
        <v>94</v>
      </c>
      <c r="D427" s="27" t="s">
        <v>69</v>
      </c>
      <c r="E427" s="42" t="s">
        <v>34</v>
      </c>
      <c r="F427" s="43">
        <f ca="1">VLOOKUP(B427,RP!A1:I91,IF(Settings!$J$13="points",4,7),FALSE)</f>
        <v>68</v>
      </c>
      <c r="G427" s="30">
        <f>(AC427*Settings!$F$2)+(AF427*Settings!$F$5)+(AG427*Settings!$F$6)+(AH427*Settings!$F$7)+(AI427*Settings!$F$8)+(AJ427*Settings!$F$9)+(AK427*Settings!$F$10)+(AL427*Settings!$F$11)+(AM427*Settings!$F$12)+(AN427*Settings!$F$13)+(AO427*Settings!$F$14)+(AP427*Settings!$F$15)+(AQ427*Settings!$F$16)+(AR427*Settings!$F$17)</f>
        <v>139.47077777777778</v>
      </c>
      <c r="H427" s="31">
        <f>VLOOKUP(B427,'Standard Deviations'!$A1:$D651,4,FALSE)</f>
        <v>-2.1438814030788107</v>
      </c>
      <c r="I427" s="32">
        <f ca="1">IF(Settings!$J$16="no",VLOOKUP(B427,RP!A1:I91,IF(Settings!$J$13="points",6,9),FALSE),VLOOKUP(B427,'SP+RP'!$A1:$I251,IF(Settings!$J$13="points",6,9),FALSE))</f>
        <v>-1.2763005401053285</v>
      </c>
      <c r="J427" s="31"/>
      <c r="K427" s="31">
        <f ca="1">J427-A427</f>
        <v>-426</v>
      </c>
      <c r="L427" s="31"/>
      <c r="M427" s="31"/>
      <c r="N427" s="31"/>
      <c r="O427" s="31"/>
      <c r="P427" s="31"/>
      <c r="Q427" s="31"/>
      <c r="R427" s="33"/>
      <c r="S427" s="33"/>
      <c r="T427" s="31"/>
      <c r="U427" s="31"/>
      <c r="V427" s="31"/>
      <c r="W427" s="31"/>
      <c r="X427" s="31"/>
      <c r="Y427" s="33"/>
      <c r="Z427" s="33"/>
      <c r="AA427" s="31"/>
      <c r="AB427" s="31"/>
      <c r="AC427" s="31">
        <f>VLOOKUP($B427,Pitchers!$A1:$S251,4,FALSE)</f>
        <v>63.377777777777787</v>
      </c>
      <c r="AD427" s="33">
        <f>VLOOKUP($B427,Pitchers!$A1:$S251,5,FALSE)</f>
        <v>3.9612938288920052</v>
      </c>
      <c r="AE427" s="33">
        <f>VLOOKUP($B427,Pitchers!$A1:$S251,6,FALSE)</f>
        <v>1.1814340813464235</v>
      </c>
      <c r="AF427" s="31">
        <f>VLOOKUP($B427,Pitchers!$A1:$S251,7,FALSE)</f>
        <v>61.838888888888881</v>
      </c>
      <c r="AG427" s="31">
        <f>VLOOKUP($B427,Pitchers!$A1:$S251,8,FALSE)</f>
        <v>4.003333333333333</v>
      </c>
      <c r="AH427" s="31">
        <f>VLOOKUP($B427,Pitchers!$A1:$S251,9,FALSE)</f>
        <v>1.5</v>
      </c>
      <c r="AI427" s="31">
        <f>VLOOKUP($B427,Pitchers!$A1:$S251,10,FALSE)</f>
        <v>27.895333333333337</v>
      </c>
      <c r="AJ427" s="31">
        <f>VLOOKUP($B427,Pitchers!$A1:$S251,11,FALSE)</f>
        <v>56.344444444444441</v>
      </c>
      <c r="AK427" s="31">
        <f>VLOOKUP($B427,Pitchers!$A1:$S251,12,FALSE)</f>
        <v>18.53222222222222</v>
      </c>
      <c r="AL427" s="31">
        <f>VLOOKUP($B427,Pitchers!$A1:$S251,13,FALSE)</f>
        <v>9.5333333333333332</v>
      </c>
      <c r="AM427" s="31">
        <f>VLOOKUP($B427,Pitchers!$A1:$S251,14,FALSE)</f>
        <v>64.92</v>
      </c>
      <c r="AN427" s="31">
        <f>VLOOKUP($B427,Pitchers!$A1:$S251,15,FALSE)</f>
        <v>0</v>
      </c>
      <c r="AO427" s="31">
        <f>VLOOKUP($B427,Pitchers!$A1:$S251,16,FALSE)</f>
        <v>3.4666666666666668</v>
      </c>
      <c r="AP427" s="31">
        <f>VLOOKUP($B427,Pitchers!$A1:$S251,17,FALSE)</f>
        <v>0</v>
      </c>
      <c r="AQ427" s="31">
        <f>VLOOKUP($B427,Pitchers!$A1:$S251,18,FALSE)</f>
        <v>17</v>
      </c>
      <c r="AR427" s="31">
        <f>VLOOKUP($B427,Pitchers!$A1:$S251,19,FALSE)</f>
        <v>1</v>
      </c>
    </row>
    <row r="428" spans="1:44" ht="18.600000000000001" customHeight="1">
      <c r="A428" s="25">
        <f ca="1">RANK(I428,I$2:I$651)</f>
        <v>427</v>
      </c>
      <c r="B428" s="26" t="s">
        <v>674</v>
      </c>
      <c r="C428" s="27" t="s">
        <v>84</v>
      </c>
      <c r="D428" s="27" t="s">
        <v>69</v>
      </c>
      <c r="E428" s="42" t="s">
        <v>34</v>
      </c>
      <c r="F428" s="43">
        <f ca="1">VLOOKUP(B428,RP!A1:I91,IF(Settings!$J$13="points",4,7),FALSE)</f>
        <v>69</v>
      </c>
      <c r="G428" s="30">
        <f>(AC428*Settings!$F$2)+(AF428*Settings!$F$5)+(AG428*Settings!$F$6)+(AH428*Settings!$F$7)+(AI428*Settings!$F$8)+(AJ428*Settings!$F$9)+(AK428*Settings!$F$10)+(AL428*Settings!$F$11)+(AM428*Settings!$F$12)+(AN428*Settings!$F$13)+(AO428*Settings!$F$14)+(AP428*Settings!$F$15)+(AQ428*Settings!$F$16)+(AR428*Settings!$F$17)</f>
        <v>211.74166666666665</v>
      </c>
      <c r="H428" s="31">
        <f>VLOOKUP(B428,'Standard Deviations'!$A1:$D651,4,FALSE)</f>
        <v>-2.1565262830230933</v>
      </c>
      <c r="I428" s="32">
        <f ca="1">IF(Settings!$J$16="no",VLOOKUP(B428,RP!A1:I91,IF(Settings!$J$13="points",6,9),FALSE),VLOOKUP(B428,'SP+RP'!$A1:$I251,IF(Settings!$J$13="points",6,9),FALSE))</f>
        <v>-1.2889418638554337</v>
      </c>
      <c r="J428" s="31"/>
      <c r="K428" s="31">
        <f ca="1">J428-A428</f>
        <v>-427</v>
      </c>
      <c r="L428" s="31"/>
      <c r="M428" s="31"/>
      <c r="N428" s="31"/>
      <c r="O428" s="31"/>
      <c r="P428" s="31"/>
      <c r="Q428" s="31"/>
      <c r="R428" s="33"/>
      <c r="S428" s="33"/>
      <c r="T428" s="31"/>
      <c r="U428" s="31"/>
      <c r="V428" s="31"/>
      <c r="W428" s="31"/>
      <c r="X428" s="31"/>
      <c r="Y428" s="33"/>
      <c r="Z428" s="33"/>
      <c r="AA428" s="31"/>
      <c r="AB428" s="31"/>
      <c r="AC428" s="31">
        <f>VLOOKUP($B428,Pitchers!$A1:$S251,4,FALSE)</f>
        <v>60.842222222222226</v>
      </c>
      <c r="AD428" s="33">
        <f>VLOOKUP($B428,Pitchers!$A1:$S251,5,FALSE)</f>
        <v>4.0443953394937724</v>
      </c>
      <c r="AE428" s="33">
        <f>VLOOKUP($B428,Pitchers!$A1:$S251,6,FALSE)</f>
        <v>1.2915007852733846</v>
      </c>
      <c r="AF428" s="31">
        <f>VLOOKUP($B428,Pitchers!$A1:$S251,7,FALSE)</f>
        <v>62.638888888888886</v>
      </c>
      <c r="AG428" s="31">
        <f>VLOOKUP($B428,Pitchers!$A1:$S251,8,FALSE)</f>
        <v>2.9988888888888887</v>
      </c>
      <c r="AH428" s="31">
        <f>VLOOKUP($B428,Pitchers!$A1:$S251,9,FALSE)</f>
        <v>13.988888888888889</v>
      </c>
      <c r="AI428" s="31">
        <f>VLOOKUP($B428,Pitchers!$A1:$S251,10,FALSE)</f>
        <v>27.341111111111115</v>
      </c>
      <c r="AJ428" s="31">
        <f>VLOOKUP($B428,Pitchers!$A1:$S251,11,FALSE)</f>
        <v>56.546666666666674</v>
      </c>
      <c r="AK428" s="31">
        <f>VLOOKUP($B428,Pitchers!$A1:$S251,12,FALSE)</f>
        <v>22.031111111111112</v>
      </c>
      <c r="AL428" s="31">
        <f>VLOOKUP($B428,Pitchers!$A1:$S251,13,FALSE)</f>
        <v>8.0333333333333332</v>
      </c>
      <c r="AM428" s="31">
        <f>VLOOKUP($B428,Pitchers!$A1:$S251,14,FALSE)</f>
        <v>63.213333333333338</v>
      </c>
      <c r="AN428" s="31">
        <f>VLOOKUP($B428,Pitchers!$A1:$S251,15,FALSE)</f>
        <v>0</v>
      </c>
      <c r="AO428" s="31">
        <f>VLOOKUP($B428,Pitchers!$A1:$S251,16,FALSE)</f>
        <v>3.02</v>
      </c>
      <c r="AP428" s="31">
        <f>VLOOKUP($B428,Pitchers!$A1:$S251,17,FALSE)</f>
        <v>0</v>
      </c>
      <c r="AQ428" s="31">
        <f>VLOOKUP($B428,Pitchers!$A1:$S251,18,FALSE)</f>
        <v>16.5</v>
      </c>
      <c r="AR428" s="31">
        <f>VLOOKUP($B428,Pitchers!$A1:$S251,19,FALSE)</f>
        <v>9</v>
      </c>
    </row>
    <row r="429" spans="1:44" ht="18.600000000000001" customHeight="1">
      <c r="A429" s="25">
        <f ca="1">RANK(I429,I$2:I$651)</f>
        <v>428</v>
      </c>
      <c r="B429" s="26" t="s">
        <v>515</v>
      </c>
      <c r="C429" s="27" t="s">
        <v>68</v>
      </c>
      <c r="D429" s="27" t="s">
        <v>69</v>
      </c>
      <c r="E429" s="42" t="s">
        <v>34</v>
      </c>
      <c r="F429" s="43">
        <f ca="1">VLOOKUP(B429,RP!A1:I91,IF(Settings!$J$13="points",4,7),FALSE)</f>
        <v>70</v>
      </c>
      <c r="G429" s="30">
        <f>(AC429*Settings!$F$2)+(AF429*Settings!$F$5)+(AG429*Settings!$F$6)+(AH429*Settings!$F$7)+(AI429*Settings!$F$8)+(AJ429*Settings!$F$9)+(AK429*Settings!$F$10)+(AL429*Settings!$F$11)+(AM429*Settings!$F$12)+(AN429*Settings!$F$13)+(AO429*Settings!$F$14)+(AP429*Settings!$F$15)+(AQ429*Settings!$F$16)+(AR429*Settings!$F$17)</f>
        <v>125.76888888888885</v>
      </c>
      <c r="H429" s="31">
        <f>VLOOKUP(B429,'Standard Deviations'!$A1:$D651,4,FALSE)</f>
        <v>-2.1860044604540811</v>
      </c>
      <c r="I429" s="32">
        <f ca="1">IF(Settings!$J$16="no",VLOOKUP(B429,RP!A1:I91,IF(Settings!$J$13="points",6,9),FALSE),VLOOKUP(B429,'SP+RP'!$A1:$I251,IF(Settings!$J$13="points",6,9),FALSE))</f>
        <v>-1.3184282525229811</v>
      </c>
      <c r="J429" s="31"/>
      <c r="K429" s="31">
        <f ca="1">J429-A429</f>
        <v>-428</v>
      </c>
      <c r="L429" s="31"/>
      <c r="M429" s="31"/>
      <c r="N429" s="31"/>
      <c r="O429" s="31"/>
      <c r="P429" s="31"/>
      <c r="Q429" s="31"/>
      <c r="R429" s="33"/>
      <c r="S429" s="33"/>
      <c r="T429" s="31"/>
      <c r="U429" s="31"/>
      <c r="V429" s="31"/>
      <c r="W429" s="31"/>
      <c r="X429" s="31"/>
      <c r="Y429" s="33"/>
      <c r="Z429" s="33"/>
      <c r="AA429" s="31"/>
      <c r="AB429" s="31"/>
      <c r="AC429" s="31">
        <f>VLOOKUP($B429,Pitchers!$A1:$S251,4,FALSE)</f>
        <v>55.264444444444443</v>
      </c>
      <c r="AD429" s="33">
        <f>VLOOKUP($B429,Pitchers!$A1:$S251,5,FALSE)</f>
        <v>3.6053922554183924</v>
      </c>
      <c r="AE429" s="33">
        <f>VLOOKUP($B429,Pitchers!$A1:$S251,6,FALSE)</f>
        <v>1.220133499537577</v>
      </c>
      <c r="AF429" s="31">
        <f>VLOOKUP($B429,Pitchers!$A1:$S251,7,FALSE)</f>
        <v>67.904444444444451</v>
      </c>
      <c r="AG429" s="31">
        <f>VLOOKUP($B429,Pitchers!$A1:$S251,8,FALSE)</f>
        <v>2.3377777777777777</v>
      </c>
      <c r="AH429" s="31">
        <f>VLOOKUP($B429,Pitchers!$A1:$S251,9,FALSE)</f>
        <v>0.97777777777777775</v>
      </c>
      <c r="AI429" s="31">
        <f>VLOOKUP($B429,Pitchers!$A1:$S251,10,FALSE)</f>
        <v>22.138888888888889</v>
      </c>
      <c r="AJ429" s="31">
        <f>VLOOKUP($B429,Pitchers!$A1:$S251,11,FALSE)</f>
        <v>42.643333333333338</v>
      </c>
      <c r="AK429" s="31">
        <f>VLOOKUP($B429,Pitchers!$A1:$S251,12,FALSE)</f>
        <v>24.786666666666665</v>
      </c>
      <c r="AL429" s="31">
        <f>VLOOKUP($B429,Pitchers!$A1:$S251,13,FALSE)</f>
        <v>6.0333333333333341</v>
      </c>
      <c r="AM429" s="31">
        <f>VLOOKUP($B429,Pitchers!$A1:$S251,14,FALSE)</f>
        <v>52.376666666666665</v>
      </c>
      <c r="AN429" s="31">
        <f>VLOOKUP($B429,Pitchers!$A1:$S251,15,FALSE)</f>
        <v>0</v>
      </c>
      <c r="AO429" s="31">
        <f>VLOOKUP($B429,Pitchers!$A1:$S251,16,FALSE)</f>
        <v>1.5233333333333334</v>
      </c>
      <c r="AP429" s="31">
        <f>VLOOKUP($B429,Pitchers!$A1:$S251,17,FALSE)</f>
        <v>0</v>
      </c>
      <c r="AQ429" s="31">
        <f>VLOOKUP($B429,Pitchers!$A1:$S251,18,FALSE)</f>
        <v>11</v>
      </c>
      <c r="AR429" s="31">
        <f>VLOOKUP($B429,Pitchers!$A1:$S251,19,FALSE)</f>
        <v>1</v>
      </c>
    </row>
    <row r="430" spans="1:44" ht="18.600000000000001" customHeight="1">
      <c r="A430" s="25">
        <f ca="1">RANK(I430,I$2:I$651)</f>
        <v>429</v>
      </c>
      <c r="B430" s="26" t="s">
        <v>464</v>
      </c>
      <c r="C430" s="27" t="s">
        <v>99</v>
      </c>
      <c r="D430" s="27" t="s">
        <v>69</v>
      </c>
      <c r="E430" s="36" t="s">
        <v>31</v>
      </c>
      <c r="F430" s="37">
        <f ca="1">VLOOKUP(B430,SP!A1:I161,IF(Settings!$J$13="points",4,7),FALSE)</f>
        <v>116</v>
      </c>
      <c r="G430" s="30">
        <f>(AC430*Settings!$F$2)+(AF430*Settings!$F$5)+(AG430*Settings!$F$6)+(AH430*Settings!$F$7)+(AI430*Settings!$F$8)+(AJ430*Settings!$F$9)+(AK430*Settings!$F$10)+(AL430*Settings!$F$11)+(AM430*Settings!$F$12)+(AN430*Settings!$F$13)+(AO430*Settings!$F$14)+(AP430*Settings!$F$15)+(AQ430*Settings!$F$16)+(AR430*Settings!$F$17)</f>
        <v>310.79502222222231</v>
      </c>
      <c r="H430" s="31">
        <f>VLOOKUP(B430,'Standard Deviations'!$A1:$D651,4,FALSE)</f>
        <v>-2.2055011337551442</v>
      </c>
      <c r="I430" s="32">
        <f ca="1">IF(Settings!$J$16="no",VLOOKUP(B430,SP!A1:I161,IF(Settings!$J$13="points",6,9),FALSE),VLOOKUP(B430,'SP+RP'!$A1:$I251,IF(Settings!$J$13="points",6,9),FALSE))</f>
        <v>-1.3379189892174606</v>
      </c>
      <c r="J430" s="31"/>
      <c r="K430" s="31">
        <f ca="1">J430-A430</f>
        <v>-429</v>
      </c>
      <c r="L430" s="31"/>
      <c r="M430" s="31"/>
      <c r="N430" s="31"/>
      <c r="O430" s="31"/>
      <c r="P430" s="31"/>
      <c r="Q430" s="31"/>
      <c r="R430" s="33"/>
      <c r="S430" s="33"/>
      <c r="T430" s="31"/>
      <c r="U430" s="31"/>
      <c r="V430" s="31"/>
      <c r="W430" s="31"/>
      <c r="X430" s="31"/>
      <c r="Y430" s="33"/>
      <c r="Z430" s="33"/>
      <c r="AA430" s="31"/>
      <c r="AB430" s="31"/>
      <c r="AC430" s="31">
        <f>VLOOKUP($B430,Pitchers!$A1:$S251,4,FALSE)</f>
        <v>163.16555555555556</v>
      </c>
      <c r="AD430" s="33">
        <f>VLOOKUP($B430,Pitchers!$A1:$S251,5,FALSE)</f>
        <v>4.3820204427677405</v>
      </c>
      <c r="AE430" s="33">
        <f>VLOOKUP($B430,Pitchers!$A1:$S251,6,FALSE)</f>
        <v>1.3517831241615537</v>
      </c>
      <c r="AF430" s="31">
        <f>VLOOKUP($B430,Pitchers!$A1:$S251,7,FALSE)</f>
        <v>133.14666666666668</v>
      </c>
      <c r="AG430" s="31">
        <f>VLOOKUP($B430,Pitchers!$A1:$S251,8,FALSE)</f>
        <v>9.0055555555555546</v>
      </c>
      <c r="AH430" s="31">
        <f>VLOOKUP($B430,Pitchers!$A1:$S251,9,FALSE)</f>
        <v>0</v>
      </c>
      <c r="AI430" s="31">
        <f>VLOOKUP($B430,Pitchers!$A1:$S251,10,FALSE)</f>
        <v>79.443866666666665</v>
      </c>
      <c r="AJ430" s="31">
        <f>VLOOKUP($B430,Pitchers!$A1:$S251,11,FALSE)</f>
        <v>166.79222222222222</v>
      </c>
      <c r="AK430" s="31">
        <f>VLOOKUP($B430,Pitchers!$A1:$S251,12,FALSE)</f>
        <v>53.772222222222219</v>
      </c>
      <c r="AL430" s="31">
        <f>VLOOKUP($B430,Pitchers!$A1:$S251,13,FALSE)</f>
        <v>21.233333333333334</v>
      </c>
      <c r="AM430" s="31">
        <f>VLOOKUP($B430,Pitchers!$A1:$S251,14,FALSE)</f>
        <v>29.042222222222222</v>
      </c>
      <c r="AN430" s="31">
        <f>VLOOKUP($B430,Pitchers!$A1:$S251,15,FALSE)</f>
        <v>29.042222222222222</v>
      </c>
      <c r="AO430" s="31">
        <f>VLOOKUP($B430,Pitchers!$A1:$S251,16,FALSE)</f>
        <v>10.061111111111112</v>
      </c>
      <c r="AP430" s="31">
        <f>VLOOKUP($B430,Pitchers!$A1:$S251,17,FALSE)</f>
        <v>14</v>
      </c>
      <c r="AQ430" s="31">
        <f>VLOOKUP($B430,Pitchers!$A1:$S251,18,FALSE)</f>
        <v>0</v>
      </c>
      <c r="AR430" s="31">
        <f>VLOOKUP($B430,Pitchers!$A1:$S251,19,FALSE)</f>
        <v>0</v>
      </c>
    </row>
    <row r="431" spans="1:44" ht="20.100000000000001" customHeight="1">
      <c r="A431" s="25">
        <f ca="1">RANK(I431,I$2:I$651)</f>
        <v>430</v>
      </c>
      <c r="B431" s="26" t="s">
        <v>605</v>
      </c>
      <c r="C431" s="27" t="s">
        <v>71</v>
      </c>
      <c r="D431" s="27" t="s">
        <v>69</v>
      </c>
      <c r="E431" s="42" t="s">
        <v>34</v>
      </c>
      <c r="F431" s="43">
        <f ca="1">VLOOKUP(B431,RP!A1:I91,IF(Settings!$J$13="points",4,7),FALSE)</f>
        <v>71</v>
      </c>
      <c r="G431" s="30">
        <f>(AC431*Settings!$F$2)+(AF431*Settings!$F$5)+(AG431*Settings!$F$6)+(AH431*Settings!$F$7)+(AI431*Settings!$F$8)+(AJ431*Settings!$F$9)+(AK431*Settings!$F$10)+(AL431*Settings!$F$11)+(AM431*Settings!$F$12)+(AN431*Settings!$F$13)+(AO431*Settings!$F$14)+(AP431*Settings!$F$15)+(AQ431*Settings!$F$16)+(AR431*Settings!$F$17)</f>
        <v>137.005</v>
      </c>
      <c r="H431" s="31">
        <f>VLOOKUP(B431,'Standard Deviations'!$A1:$D651,4,FALSE)</f>
        <v>-2.2066277222338408</v>
      </c>
      <c r="I431" s="32">
        <f ca="1">IF(Settings!$J$16="no",VLOOKUP(B431,RP!A1:I91,IF(Settings!$J$13="points",6,9),FALSE),VLOOKUP(B431,'SP+RP'!$A1:$I251,IF(Settings!$J$13="points",6,9),FALSE))</f>
        <v>-1.3390492564523049</v>
      </c>
      <c r="J431" s="31"/>
      <c r="K431" s="31">
        <f ca="1">J431-A431</f>
        <v>-430</v>
      </c>
      <c r="L431" s="31"/>
      <c r="M431" s="31"/>
      <c r="N431" s="31"/>
      <c r="O431" s="31"/>
      <c r="P431" s="31"/>
      <c r="Q431" s="31"/>
      <c r="R431" s="33"/>
      <c r="S431" s="33"/>
      <c r="T431" s="31"/>
      <c r="U431" s="31"/>
      <c r="V431" s="31"/>
      <c r="W431" s="31"/>
      <c r="X431" s="31"/>
      <c r="Y431" s="33"/>
      <c r="Z431" s="33"/>
      <c r="AA431" s="31"/>
      <c r="AB431" s="31"/>
      <c r="AC431" s="31">
        <f>VLOOKUP($B431,Pitchers!$A1:$S251,4,FALSE)</f>
        <v>60.141111111111115</v>
      </c>
      <c r="AD431" s="33">
        <f>VLOOKUP($B431,Pitchers!$A1:$S251,5,FALSE)</f>
        <v>3.4947807933194155</v>
      </c>
      <c r="AE431" s="33">
        <f>VLOOKUP($B431,Pitchers!$A1:$S251,6,FALSE)</f>
        <v>1.2881002087682671</v>
      </c>
      <c r="AF431" s="31">
        <f>VLOOKUP($B431,Pitchers!$A1:$S251,7,FALSE)</f>
        <v>73.521111111111111</v>
      </c>
      <c r="AG431" s="31">
        <f>VLOOKUP($B431,Pitchers!$A1:$S251,8,FALSE)</f>
        <v>3.0822222222222222</v>
      </c>
      <c r="AH431" s="31">
        <f>VLOOKUP($B431,Pitchers!$A1:$S251,9,FALSE)</f>
        <v>2.0333333333333332</v>
      </c>
      <c r="AI431" s="31">
        <f>VLOOKUP($B431,Pitchers!$A1:$S251,10,FALSE)</f>
        <v>23.353333333333335</v>
      </c>
      <c r="AJ431" s="31">
        <f>VLOOKUP($B431,Pitchers!$A1:$S251,11,FALSE)</f>
        <v>47.956666666666671</v>
      </c>
      <c r="AK431" s="31">
        <f>VLOOKUP($B431,Pitchers!$A1:$S251,12,FALSE)</f>
        <v>29.511111111111109</v>
      </c>
      <c r="AL431" s="31">
        <f>VLOOKUP($B431,Pitchers!$A1:$S251,13,FALSE)</f>
        <v>5.0333333333333332</v>
      </c>
      <c r="AM431" s="31">
        <f>VLOOKUP($B431,Pitchers!$A1:$S251,14,FALSE)</f>
        <v>56.353333333333332</v>
      </c>
      <c r="AN431" s="31">
        <f>VLOOKUP($B431,Pitchers!$A1:$S251,15,FALSE)</f>
        <v>0.6</v>
      </c>
      <c r="AO431" s="31">
        <f>VLOOKUP($B431,Pitchers!$A1:$S251,16,FALSE)</f>
        <v>3.0333333333333332</v>
      </c>
      <c r="AP431" s="31">
        <f>VLOOKUP($B431,Pitchers!$A1:$S251,17,FALSE)</f>
        <v>0</v>
      </c>
      <c r="AQ431" s="31">
        <f>VLOOKUP($B431,Pitchers!$A1:$S251,18,FALSE)</f>
        <v>12</v>
      </c>
      <c r="AR431" s="31">
        <f>VLOOKUP($B431,Pitchers!$A1:$S251,19,FALSE)</f>
        <v>1</v>
      </c>
    </row>
    <row r="432" spans="1:44" ht="18.600000000000001" customHeight="1">
      <c r="A432" s="25">
        <f ca="1">RANK(I432,I$2:I$651)</f>
        <v>431</v>
      </c>
      <c r="B432" s="26" t="s">
        <v>541</v>
      </c>
      <c r="C432" s="27" t="s">
        <v>95</v>
      </c>
      <c r="D432" s="27" t="s">
        <v>74</v>
      </c>
      <c r="E432" s="36" t="s">
        <v>31</v>
      </c>
      <c r="F432" s="37">
        <f ca="1">VLOOKUP(B432,SP!A1:I161,IF(Settings!$J$13="points",4,7),FALSE)</f>
        <v>117</v>
      </c>
      <c r="G432" s="30">
        <f>(AC432*Settings!$F$2)+(AF432*Settings!$F$5)+(AG432*Settings!$F$6)+(AH432*Settings!$F$7)+(AI432*Settings!$F$8)+(AJ432*Settings!$F$9)+(AK432*Settings!$F$10)+(AL432*Settings!$F$11)+(AM432*Settings!$F$12)+(AN432*Settings!$F$13)+(AO432*Settings!$F$14)+(AP432*Settings!$F$15)+(AQ432*Settings!$F$16)+(AR432*Settings!$F$17)</f>
        <v>162.24944444444444</v>
      </c>
      <c r="H432" s="31">
        <f>VLOOKUP(B432,'Standard Deviations'!$A1:$D651,4,FALSE)</f>
        <v>-2.2287641327136596</v>
      </c>
      <c r="I432" s="32">
        <f ca="1">IF(Settings!$J$16="no",VLOOKUP(B432,SP!A1:I161,IF(Settings!$J$13="points",6,9),FALSE),VLOOKUP(B432,'SP+RP'!$A1:$I251,IF(Settings!$J$13="points",6,9),FALSE))</f>
        <v>-1.3611865878965066</v>
      </c>
      <c r="J432" s="31"/>
      <c r="K432" s="31">
        <f ca="1">J432-A432</f>
        <v>-431</v>
      </c>
      <c r="L432" s="31"/>
      <c r="M432" s="31"/>
      <c r="N432" s="31"/>
      <c r="O432" s="31"/>
      <c r="P432" s="31"/>
      <c r="Q432" s="31"/>
      <c r="R432" s="33"/>
      <c r="S432" s="33"/>
      <c r="T432" s="31"/>
      <c r="U432" s="31"/>
      <c r="V432" s="31"/>
      <c r="W432" s="31"/>
      <c r="X432" s="31"/>
      <c r="Y432" s="33"/>
      <c r="Z432" s="33"/>
      <c r="AA432" s="31"/>
      <c r="AB432" s="31"/>
      <c r="AC432" s="31">
        <f>VLOOKUP($B432,Pitchers!$A1:$S251,4,FALSE)</f>
        <v>74.342222222222233</v>
      </c>
      <c r="AD432" s="33">
        <f>VLOOKUP($B432,Pitchers!$A1:$S251,5,FALSE)</f>
        <v>3.9474203383750814</v>
      </c>
      <c r="AE432" s="33">
        <f>VLOOKUP($B432,Pitchers!$A1:$S251,6,FALSE)</f>
        <v>1.215594547737191</v>
      </c>
      <c r="AF432" s="31">
        <f>VLOOKUP($B432,Pitchers!$A1:$S251,7,FALSE)</f>
        <v>78.776666666666657</v>
      </c>
      <c r="AG432" s="31">
        <f>VLOOKUP($B432,Pitchers!$A1:$S251,8,FALSE)</f>
        <v>4.3444444444444441</v>
      </c>
      <c r="AH432" s="31">
        <f>VLOOKUP($B432,Pitchers!$A1:$S251,9,FALSE)</f>
        <v>0</v>
      </c>
      <c r="AI432" s="31">
        <f>VLOOKUP($B432,Pitchers!$A1:$S251,10,FALSE)</f>
        <v>32.606666666666662</v>
      </c>
      <c r="AJ432" s="31">
        <f>VLOOKUP($B432,Pitchers!$A1:$S251,11,FALSE)</f>
        <v>68.50333333333333</v>
      </c>
      <c r="AK432" s="31">
        <f>VLOOKUP($B432,Pitchers!$A1:$S251,12,FALSE)</f>
        <v>21.866666666666664</v>
      </c>
      <c r="AL432" s="31">
        <f>VLOOKUP($B432,Pitchers!$A1:$S251,13,FALSE)</f>
        <v>10.299999999999999</v>
      </c>
      <c r="AM432" s="31">
        <f>VLOOKUP($B432,Pitchers!$A1:$S251,14,FALSE)</f>
        <v>32.737777777777779</v>
      </c>
      <c r="AN432" s="31">
        <f>VLOOKUP($B432,Pitchers!$A1:$S251,15,FALSE)</f>
        <v>10.37</v>
      </c>
      <c r="AO432" s="31">
        <f>VLOOKUP($B432,Pitchers!$A1:$S251,16,FALSE)</f>
        <v>3.92</v>
      </c>
      <c r="AP432" s="31">
        <f>VLOOKUP($B432,Pitchers!$A1:$S251,17,FALSE)</f>
        <v>4</v>
      </c>
      <c r="AQ432" s="31">
        <f>VLOOKUP($B432,Pitchers!$A1:$S251,18,FALSE)</f>
        <v>1</v>
      </c>
      <c r="AR432" s="31">
        <f>VLOOKUP($B432,Pitchers!$A1:$S251,19,FALSE)</f>
        <v>0</v>
      </c>
    </row>
    <row r="433" spans="1:44" ht="18.600000000000001" customHeight="1">
      <c r="A433" s="25">
        <f ca="1">RANK(I433,I$2:I$651)</f>
        <v>432</v>
      </c>
      <c r="B433" s="26" t="s">
        <v>470</v>
      </c>
      <c r="C433" s="27" t="s">
        <v>63</v>
      </c>
      <c r="D433" s="27" t="s">
        <v>74</v>
      </c>
      <c r="E433" s="36" t="s">
        <v>31</v>
      </c>
      <c r="F433" s="37">
        <f ca="1">VLOOKUP(B433,SP!A1:I161,IF(Settings!$J$13="points",4,7),FALSE)</f>
        <v>118</v>
      </c>
      <c r="G433" s="30">
        <f>(AC433*Settings!$F$2)+(AF433*Settings!$F$5)+(AG433*Settings!$F$6)+(AH433*Settings!$F$7)+(AI433*Settings!$F$8)+(AJ433*Settings!$F$9)+(AK433*Settings!$F$10)+(AL433*Settings!$F$11)+(AM433*Settings!$F$12)+(AN433*Settings!$F$13)+(AO433*Settings!$F$14)+(AP433*Settings!$F$15)+(AQ433*Settings!$F$16)+(AR433*Settings!$F$17)</f>
        <v>144.92715000000004</v>
      </c>
      <c r="H433" s="31">
        <f>VLOOKUP(B433,'Standard Deviations'!$A1:$D651,4,FALSE)</f>
        <v>-2.2368705874713344</v>
      </c>
      <c r="I433" s="32">
        <f ca="1">IF(Settings!$J$16="no",VLOOKUP(B433,SP!A1:I161,IF(Settings!$J$13="points",6,9),FALSE),VLOOKUP(B433,'SP+RP'!$A1:$I251,IF(Settings!$J$13="points",6,9),FALSE))</f>
        <v>-1.3692858143572111</v>
      </c>
      <c r="J433" s="31"/>
      <c r="K433" s="31">
        <f ca="1">J433-A433</f>
        <v>-432</v>
      </c>
      <c r="L433" s="31"/>
      <c r="M433" s="31"/>
      <c r="N433" s="31"/>
      <c r="O433" s="31"/>
      <c r="P433" s="31"/>
      <c r="Q433" s="31"/>
      <c r="R433" s="33"/>
      <c r="S433" s="33"/>
      <c r="T433" s="31"/>
      <c r="U433" s="31"/>
      <c r="V433" s="31"/>
      <c r="W433" s="31"/>
      <c r="X433" s="31"/>
      <c r="Y433" s="33"/>
      <c r="Z433" s="33"/>
      <c r="AA433" s="31"/>
      <c r="AB433" s="31"/>
      <c r="AC433" s="31">
        <f>VLOOKUP($B433,Pitchers!$A1:$S251,4,FALSE)</f>
        <v>66.649166666666687</v>
      </c>
      <c r="AD433" s="33">
        <f>VLOOKUP($B433,Pitchers!$A1:$S251,5,FALSE)</f>
        <v>3.9148936595856401</v>
      </c>
      <c r="AE433" s="33">
        <f>VLOOKUP($B433,Pitchers!$A1:$S251,6,FALSE)</f>
        <v>1.1992648070118404</v>
      </c>
      <c r="AF433" s="31">
        <f>VLOOKUP($B433,Pitchers!$A1:$S251,7,FALSE)</f>
        <v>66.035833333333343</v>
      </c>
      <c r="AG433" s="31">
        <f>VLOOKUP($B433,Pitchers!$A1:$S251,8,FALSE)</f>
        <v>4.375</v>
      </c>
      <c r="AH433" s="31">
        <f>VLOOKUP($B433,Pitchers!$A1:$S251,9,FALSE)</f>
        <v>0</v>
      </c>
      <c r="AI433" s="31">
        <f>VLOOKUP($B433,Pitchers!$A1:$S251,10,FALSE)</f>
        <v>28.991600000000002</v>
      </c>
      <c r="AJ433" s="31">
        <f>VLOOKUP($B433,Pitchers!$A1:$S251,11,FALSE)</f>
        <v>59.35</v>
      </c>
      <c r="AK433" s="31">
        <f>VLOOKUP($B433,Pitchers!$A1:$S251,12,FALSE)</f>
        <v>20.580000000000002</v>
      </c>
      <c r="AL433" s="31">
        <f>VLOOKUP($B433,Pitchers!$A1:$S251,13,FALSE)</f>
        <v>9.2333333333333325</v>
      </c>
      <c r="AM433" s="31">
        <f>VLOOKUP($B433,Pitchers!$A1:$S251,14,FALSE)</f>
        <v>43.052500000000002</v>
      </c>
      <c r="AN433" s="31">
        <f>VLOOKUP($B433,Pitchers!$A1:$S251,15,FALSE)</f>
        <v>6.0008333333333335</v>
      </c>
      <c r="AO433" s="31">
        <f>VLOOKUP($B433,Pitchers!$A1:$S251,16,FALSE)</f>
        <v>3.1483333333333334</v>
      </c>
      <c r="AP433" s="31">
        <f>VLOOKUP($B433,Pitchers!$A1:$S251,17,FALSE)</f>
        <v>2</v>
      </c>
      <c r="AQ433" s="31">
        <f>VLOOKUP($B433,Pitchers!$A1:$S251,18,FALSE)</f>
        <v>6</v>
      </c>
      <c r="AR433" s="31">
        <f>VLOOKUP($B433,Pitchers!$A1:$S251,19,FALSE)</f>
        <v>0</v>
      </c>
    </row>
    <row r="434" spans="1:44" ht="18.600000000000001" customHeight="1">
      <c r="A434" s="25">
        <f ca="1">RANK(I434,I$2:I$651)</f>
        <v>433</v>
      </c>
      <c r="B434" s="26" t="s">
        <v>555</v>
      </c>
      <c r="C434" s="27" t="s">
        <v>84</v>
      </c>
      <c r="D434" s="27" t="s">
        <v>69</v>
      </c>
      <c r="E434" s="36" t="s">
        <v>31</v>
      </c>
      <c r="F434" s="37">
        <f ca="1">VLOOKUP(B434,SP!A1:I161,IF(Settings!$J$13="points",4,7),FALSE)</f>
        <v>119</v>
      </c>
      <c r="G434" s="30">
        <f>(AC434*Settings!$F$2)+(AF434*Settings!$F$5)+(AG434*Settings!$F$6)+(AH434*Settings!$F$7)+(AI434*Settings!$F$8)+(AJ434*Settings!$F$9)+(AK434*Settings!$F$10)+(AL434*Settings!$F$11)+(AM434*Settings!$F$12)+(AN434*Settings!$F$13)+(AO434*Settings!$F$14)+(AP434*Settings!$F$15)+(AQ434*Settings!$F$16)+(AR434*Settings!$F$17)</f>
        <v>264.57146666666659</v>
      </c>
      <c r="H434" s="31">
        <f>VLOOKUP(B434,'Standard Deviations'!$A1:$D651,4,FALSE)</f>
        <v>-2.2405462989010663</v>
      </c>
      <c r="I434" s="32">
        <f ca="1">IF(Settings!$J$16="no",VLOOKUP(B434,SP!A1:I161,IF(Settings!$J$13="points",6,9),FALSE),VLOOKUP(B434,'SP+RP'!$A1:$I251,IF(Settings!$J$13="points",6,9),FALSE))</f>
        <v>-1.372963595822311</v>
      </c>
      <c r="J434" s="31"/>
      <c r="K434" s="31">
        <f ca="1">J434-A434</f>
        <v>-433</v>
      </c>
      <c r="L434" s="31"/>
      <c r="M434" s="31"/>
      <c r="N434" s="31"/>
      <c r="O434" s="31"/>
      <c r="P434" s="31"/>
      <c r="Q434" s="31"/>
      <c r="R434" s="33"/>
      <c r="S434" s="33"/>
      <c r="T434" s="31"/>
      <c r="U434" s="31"/>
      <c r="V434" s="31"/>
      <c r="W434" s="31"/>
      <c r="X434" s="31"/>
      <c r="Y434" s="33"/>
      <c r="Z434" s="33"/>
      <c r="AA434" s="31"/>
      <c r="AB434" s="31"/>
      <c r="AC434" s="31">
        <f>VLOOKUP($B434,Pitchers!$A1:$S251,4,FALSE)</f>
        <v>134.60777777777776</v>
      </c>
      <c r="AD434" s="33">
        <f>VLOOKUP($B434,Pitchers!$A1:$S251,5,FALSE)</f>
        <v>4.3621312950382594</v>
      </c>
      <c r="AE434" s="33">
        <f>VLOOKUP($B434,Pitchers!$A1:$S251,6,FALSE)</f>
        <v>1.3128760926807932</v>
      </c>
      <c r="AF434" s="31">
        <f>VLOOKUP($B434,Pitchers!$A1:$S251,7,FALSE)</f>
        <v>118.65777777777778</v>
      </c>
      <c r="AG434" s="31">
        <f>VLOOKUP($B434,Pitchers!$A1:$S251,8,FALSE)</f>
        <v>8.3144444444444456</v>
      </c>
      <c r="AH434" s="31">
        <f>VLOOKUP($B434,Pitchers!$A1:$S251,9,FALSE)</f>
        <v>0</v>
      </c>
      <c r="AI434" s="31">
        <f>VLOOKUP($B434,Pitchers!$A1:$S251,10,FALSE)</f>
        <v>65.241866666666667</v>
      </c>
      <c r="AJ434" s="31">
        <f>VLOOKUP($B434,Pitchers!$A1:$S251,11,FALSE)</f>
        <v>131.57666666666668</v>
      </c>
      <c r="AK434" s="31">
        <f>VLOOKUP($B434,Pitchers!$A1:$S251,12,FALSE)</f>
        <v>45.146666666666668</v>
      </c>
      <c r="AL434" s="31">
        <f>VLOOKUP($B434,Pitchers!$A1:$S251,13,FALSE)</f>
        <v>18.233333333333334</v>
      </c>
      <c r="AM434" s="31">
        <f>VLOOKUP($B434,Pitchers!$A1:$S251,14,FALSE)</f>
        <v>25.838888888888889</v>
      </c>
      <c r="AN434" s="31">
        <f>VLOOKUP($B434,Pitchers!$A1:$S251,15,FALSE)</f>
        <v>25.461111111111109</v>
      </c>
      <c r="AO434" s="31">
        <f>VLOOKUP($B434,Pitchers!$A1:$S251,16,FALSE)</f>
        <v>8.9633333333333329</v>
      </c>
      <c r="AP434" s="31">
        <f>VLOOKUP($B434,Pitchers!$A1:$S251,17,FALSE)</f>
        <v>10</v>
      </c>
      <c r="AQ434" s="31">
        <f>VLOOKUP($B434,Pitchers!$A1:$S251,18,FALSE)</f>
        <v>0</v>
      </c>
      <c r="AR434" s="31">
        <f>VLOOKUP($B434,Pitchers!$A1:$S251,19,FALSE)</f>
        <v>0</v>
      </c>
    </row>
    <row r="435" spans="1:44" ht="20.100000000000001" customHeight="1">
      <c r="A435" s="25">
        <f ca="1">RANK(I435,I$2:I$651)</f>
        <v>434</v>
      </c>
      <c r="B435" s="26" t="s">
        <v>447</v>
      </c>
      <c r="C435" s="27" t="s">
        <v>137</v>
      </c>
      <c r="D435" s="27" t="s">
        <v>74</v>
      </c>
      <c r="E435" s="28" t="s">
        <v>23</v>
      </c>
      <c r="F435" s="29">
        <f ca="1">VLOOKUP(B435,OF!A1:I139,IF(Settings!$J$13="points",4,7),FALSE)</f>
        <v>97</v>
      </c>
      <c r="G435" s="30">
        <f>(M435*Settings!$B$2)+(N435*Settings!$B$3)+(O435*Settings!$B$4)+(P435*Settings!$B$5)+(Q435*Settings!$B$6)+((T435-U435-V435-O435)*Settings!$B$9)+(U435*Settings!$B$10)+(V435*Settings!$B$11)+(W435*Settings!$B$12)+(X435*Settings!$B$13)+(AA435*Settings!$B$16)</f>
        <v>184.42999999999995</v>
      </c>
      <c r="H435" s="31">
        <f>VLOOKUP(B435,'Standard Deviations'!$A1:$D651,4,FALSE)</f>
        <v>-1.5308822950798111</v>
      </c>
      <c r="I435" s="32">
        <f ca="1">VLOOKUP(B435,OF!A1:I139,IF(Settings!$J$13="points",6,9),FALSE)</f>
        <v>-1.3739540930303304</v>
      </c>
      <c r="J435" s="31"/>
      <c r="K435" s="31">
        <f ca="1">J435-A435</f>
        <v>-434</v>
      </c>
      <c r="L435" s="31"/>
      <c r="M435" s="31">
        <f>VLOOKUP($B435,Hitters!$A1:$R401,4,FALSE)</f>
        <v>272.66666666666669</v>
      </c>
      <c r="N435" s="31">
        <f>VLOOKUP($B435,Hitters!$A1:$R401,5,FALSE)</f>
        <v>36.445</v>
      </c>
      <c r="O435" s="31">
        <f>VLOOKUP($B435,Hitters!$A1:$R401,6,FALSE)</f>
        <v>4.0175000000000001</v>
      </c>
      <c r="P435" s="31">
        <f>VLOOKUP($B435,Hitters!$A1:$R401,7,FALSE)</f>
        <v>28.341666666666669</v>
      </c>
      <c r="Q435" s="31">
        <f>VLOOKUP($B435,Hitters!$A1:$R401,8,FALSE)</f>
        <v>12.165000000000001</v>
      </c>
      <c r="R435" s="33">
        <f>VLOOKUP($B435,Hitters!$A$1:$R$401,14,FALSE)</f>
        <v>0.25933985330073345</v>
      </c>
      <c r="S435" s="33">
        <f>VLOOKUP($B435,Hitters!$A$1:$R$401,15,FALSE)</f>
        <v>0.32785291448818216</v>
      </c>
      <c r="T435" s="31">
        <f>VLOOKUP($B435,Hitters!$A$1:$R$401,9,FALSE)</f>
        <v>70.713333333333324</v>
      </c>
      <c r="U435" s="31">
        <f>VLOOKUP($B435,Hitters!$A$1:$R$401,10,FALSE)</f>
        <v>14.6</v>
      </c>
      <c r="V435" s="31">
        <f>VLOOKUP($B435,Hitters!$A$1:$R$401,11,FALSE)</f>
        <v>2.0225</v>
      </c>
      <c r="W435" s="31">
        <f>VLOOKUP($B435,Hitters!$A$1:$R$401,12,FALSE)</f>
        <v>23.636666666666667</v>
      </c>
      <c r="X435" s="31">
        <f>VLOOKUP($B435,Hitters!$A$1:$R$401,13,FALSE)</f>
        <v>59.468333333333334</v>
      </c>
      <c r="Y435" s="33">
        <f>VLOOKUP($B435,Hitters!$A$1:$R$401,16,FALSE)</f>
        <v>0.37192237163814179</v>
      </c>
      <c r="Z435" s="33">
        <f>VLOOKUP($B435,Hitters!$A$1:$R$401,17,FALSE)</f>
        <v>0.699775286126324</v>
      </c>
      <c r="AA435" s="31">
        <f>VLOOKUP($B435,Hitters!$A1:$R401,18,FALSE)</f>
        <v>0</v>
      </c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</row>
    <row r="436" spans="1:44" ht="20.100000000000001" customHeight="1">
      <c r="A436" s="25">
        <f ca="1">RANK(I436,I$2:I$651)</f>
        <v>435</v>
      </c>
      <c r="B436" s="26" t="s">
        <v>454</v>
      </c>
      <c r="C436" s="27" t="s">
        <v>258</v>
      </c>
      <c r="D436" s="27" t="s">
        <v>69</v>
      </c>
      <c r="E436" s="36" t="s">
        <v>31</v>
      </c>
      <c r="F436" s="37">
        <f ca="1">VLOOKUP(B436,SP!A1:I161,IF(Settings!$J$13="points",4,7),FALSE)</f>
        <v>120</v>
      </c>
      <c r="G436" s="30">
        <f>(AC436*Settings!$F$2)+(AF436*Settings!$F$5)+(AG436*Settings!$F$6)+(AH436*Settings!$F$7)+(AI436*Settings!$F$8)+(AJ436*Settings!$F$9)+(AK436*Settings!$F$10)+(AL436*Settings!$F$11)+(AM436*Settings!$F$12)+(AN436*Settings!$F$13)+(AO436*Settings!$F$14)+(AP436*Settings!$F$15)+(AQ436*Settings!$F$16)+(AR436*Settings!$F$17)</f>
        <v>155.10388888888889</v>
      </c>
      <c r="H436" s="31">
        <f>VLOOKUP(B436,'Standard Deviations'!$A1:$D651,4,FALSE)</f>
        <v>-2.2420940366060589</v>
      </c>
      <c r="I436" s="32">
        <f ca="1">IF(Settings!$J$16="no",VLOOKUP(B436,SP!A1:I161,IF(Settings!$J$13="points",6,9),FALSE),VLOOKUP(B436,'SP+RP'!$A1:$I251,IF(Settings!$J$13="points",6,9),FALSE))</f>
        <v>-1.3745136839683667</v>
      </c>
      <c r="J436" s="31"/>
      <c r="K436" s="31">
        <f ca="1">J436-A436</f>
        <v>-435</v>
      </c>
      <c r="L436" s="31"/>
      <c r="M436" s="31"/>
      <c r="N436" s="31"/>
      <c r="O436" s="31"/>
      <c r="P436" s="31"/>
      <c r="Q436" s="31"/>
      <c r="R436" s="33"/>
      <c r="S436" s="33"/>
      <c r="T436" s="31"/>
      <c r="U436" s="31"/>
      <c r="V436" s="31"/>
      <c r="W436" s="31"/>
      <c r="X436" s="31"/>
      <c r="Y436" s="33"/>
      <c r="Z436" s="33"/>
      <c r="AA436" s="31"/>
      <c r="AB436" s="31"/>
      <c r="AC436" s="31">
        <f>VLOOKUP($B436,Pitchers!$A1:$S251,4,FALSE)</f>
        <v>71.914444444444442</v>
      </c>
      <c r="AD436" s="33">
        <f>VLOOKUP($B436,Pitchers!$A1:$S251,5,FALSE)</f>
        <v>3.88920476492128</v>
      </c>
      <c r="AE436" s="33">
        <f>VLOOKUP($B436,Pitchers!$A1:$S251,6,FALSE)</f>
        <v>1.2088901935942402</v>
      </c>
      <c r="AF436" s="31">
        <f>VLOOKUP($B436,Pitchers!$A1:$S251,7,FALSE)</f>
        <v>72.734444444444435</v>
      </c>
      <c r="AG436" s="31">
        <f>VLOOKUP($B436,Pitchers!$A1:$S251,8,FALSE)</f>
        <v>4.0311111111111115</v>
      </c>
      <c r="AH436" s="31">
        <f>VLOOKUP($B436,Pitchers!$A1:$S251,9,FALSE)</f>
        <v>0</v>
      </c>
      <c r="AI436" s="31">
        <f>VLOOKUP($B436,Pitchers!$A1:$S251,10,FALSE)</f>
        <v>31.076666666666668</v>
      </c>
      <c r="AJ436" s="31">
        <f>VLOOKUP($B436,Pitchers!$A1:$S251,11,FALSE)</f>
        <v>65.915555555555557</v>
      </c>
      <c r="AK436" s="31">
        <f>VLOOKUP($B436,Pitchers!$A1:$S251,12,FALSE)</f>
        <v>21.021111111111111</v>
      </c>
      <c r="AL436" s="31">
        <f>VLOOKUP($B436,Pitchers!$A1:$S251,13,FALSE)</f>
        <v>9.7666666666666675</v>
      </c>
      <c r="AM436" s="31">
        <f>VLOOKUP($B436,Pitchers!$A1:$S251,14,FALSE)</f>
        <v>13.847777777777779</v>
      </c>
      <c r="AN436" s="31">
        <f>VLOOKUP($B436,Pitchers!$A1:$S251,15,FALSE)</f>
        <v>13.503333333333332</v>
      </c>
      <c r="AO436" s="31">
        <f>VLOOKUP($B436,Pitchers!$A1:$S251,16,FALSE)</f>
        <v>5.0422222222222226</v>
      </c>
      <c r="AP436" s="31">
        <f>VLOOKUP($B436,Pitchers!$A1:$S251,17,FALSE)</f>
        <v>6</v>
      </c>
      <c r="AQ436" s="31">
        <f>VLOOKUP($B436,Pitchers!$A1:$S251,18,FALSE)</f>
        <v>0</v>
      </c>
      <c r="AR436" s="31">
        <f>VLOOKUP($B436,Pitchers!$A1:$S251,19,FALSE)</f>
        <v>0</v>
      </c>
    </row>
    <row r="437" spans="1:44" ht="18.600000000000001" customHeight="1">
      <c r="A437" s="25">
        <f ca="1">RANK(I437,I$2:I$651)</f>
        <v>436</v>
      </c>
      <c r="B437" s="26" t="s">
        <v>543</v>
      </c>
      <c r="C437" s="27" t="s">
        <v>99</v>
      </c>
      <c r="D437" s="27" t="s">
        <v>69</v>
      </c>
      <c r="E437" s="48" t="s">
        <v>11</v>
      </c>
      <c r="F437" s="49">
        <f ca="1">VLOOKUP(B437,'2B'!A1:I50,IF(Settings!$J$13="points",4,7),FALSE)</f>
        <v>32</v>
      </c>
      <c r="G437" s="30">
        <f>(M437*Settings!$B$2)+(N437*Settings!$B$3)+(O437*Settings!$B$4)+(P437*Settings!$B$5)+(Q437*Settings!$B$6)+((T437-U437-V437-O437)*Settings!$B$9)+(U437*Settings!$B$10)+(V437*Settings!$B$11)+(W437*Settings!$B$12)+(X437*Settings!$B$13)+(AA437*Settings!$B$16)</f>
        <v>227.45277777777778</v>
      </c>
      <c r="H437" s="31">
        <f>VLOOKUP(B437,'Standard Deviations'!$A1:$D651,4,FALSE)</f>
        <v>-1.3818065689853203</v>
      </c>
      <c r="I437" s="32">
        <f ca="1">IF(Settings!$J$16="no",VLOOKUP(B437,'2B'!A1:I50,IF(Settings!$J$13="points",6,9),FALSE),VLOOKUP(B437,'2B+SS'!$A1:$I94,IF(Settings!$J$13="points",6,9),FALSE))</f>
        <v>-1.3878502236529149</v>
      </c>
      <c r="J437" s="31"/>
      <c r="K437" s="31">
        <f ca="1">J437-A437</f>
        <v>-436</v>
      </c>
      <c r="L437" s="31"/>
      <c r="M437" s="31">
        <f>VLOOKUP($B437,Hitters!$A1:$R401,4,FALSE)</f>
        <v>372.36666666666662</v>
      </c>
      <c r="N437" s="31">
        <f>VLOOKUP($B437,Hitters!$A1:$R401,5,FALSE)</f>
        <v>45.558333333333337</v>
      </c>
      <c r="O437" s="31">
        <f>VLOOKUP($B437,Hitters!$A1:$R401,6,FALSE)</f>
        <v>12.001666666666667</v>
      </c>
      <c r="P437" s="31">
        <f>VLOOKUP($B437,Hitters!$A1:$R401,7,FALSE)</f>
        <v>46.856666666666662</v>
      </c>
      <c r="Q437" s="31">
        <f>VLOOKUP($B437,Hitters!$A1:$R401,8,FALSE)</f>
        <v>2</v>
      </c>
      <c r="R437" s="33">
        <f>VLOOKUP($B437,Hitters!$A$1:$R$401,14,FALSE)</f>
        <v>0.24655805209918544</v>
      </c>
      <c r="S437" s="33">
        <f>VLOOKUP($B437,Hitters!$A$1:$R$401,15,FALSE)</f>
        <v>0.31519985543308848</v>
      </c>
      <c r="T437" s="31">
        <f>VLOOKUP($B437,Hitters!$A$1:$R$401,9,FALSE)</f>
        <v>91.81</v>
      </c>
      <c r="U437" s="31">
        <f>VLOOKUP($B437,Hitters!$A$1:$R$401,10,FALSE)</f>
        <v>17.863333333333333</v>
      </c>
      <c r="V437" s="31">
        <f>VLOOKUP($B437,Hitters!$A$1:$R$401,11,FALSE)</f>
        <v>1.0033333333333334</v>
      </c>
      <c r="W437" s="31">
        <f>VLOOKUP($B437,Hitters!$A$1:$R$401,12,FALSE)</f>
        <v>31.443333333333332</v>
      </c>
      <c r="X437" s="31">
        <f>VLOOKUP($B437,Hitters!$A$1:$R$401,13,FALSE)</f>
        <v>96.181111111111122</v>
      </c>
      <c r="Y437" s="33">
        <f>VLOOKUP($B437,Hitters!$A$1:$R$401,16,FALSE)</f>
        <v>0.39661176259958836</v>
      </c>
      <c r="Z437" s="33">
        <f>VLOOKUP($B437,Hitters!$A$1:$R$401,17,FALSE)</f>
        <v>0.71181161803267679</v>
      </c>
      <c r="AA437" s="31">
        <f>VLOOKUP($B437,Hitters!$A1:$R401,18,FALSE)</f>
        <v>0</v>
      </c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</row>
    <row r="438" spans="1:44" ht="20.100000000000001" customHeight="1">
      <c r="A438" s="25">
        <f ca="1">RANK(I438,I$2:I$651)</f>
        <v>437</v>
      </c>
      <c r="B438" s="26" t="s">
        <v>496</v>
      </c>
      <c r="C438" s="27" t="s">
        <v>99</v>
      </c>
      <c r="D438" s="27" t="s">
        <v>69</v>
      </c>
      <c r="E438" s="36" t="s">
        <v>31</v>
      </c>
      <c r="F438" s="37">
        <f ca="1">VLOOKUP(B438,SP!A1:I161,IF(Settings!$J$13="points",4,7),FALSE)</f>
        <v>121</v>
      </c>
      <c r="G438" s="30">
        <f>(AC438*Settings!$F$2)+(AF438*Settings!$F$5)+(AG438*Settings!$F$6)+(AH438*Settings!$F$7)+(AI438*Settings!$F$8)+(AJ438*Settings!$F$9)+(AK438*Settings!$F$10)+(AL438*Settings!$F$11)+(AM438*Settings!$F$12)+(AN438*Settings!$F$13)+(AO438*Settings!$F$14)+(AP438*Settings!$F$15)+(AQ438*Settings!$F$16)+(AR438*Settings!$F$17)</f>
        <v>268.63396666666677</v>
      </c>
      <c r="H438" s="31">
        <f>VLOOKUP(B438,'Standard Deviations'!$A1:$D651,4,FALSE)</f>
        <v>-2.2604642084253701</v>
      </c>
      <c r="I438" s="32">
        <f ca="1">IF(Settings!$J$16="no",VLOOKUP(B438,SP!A1:I161,IF(Settings!$J$13="points",6,9),FALSE),VLOOKUP(B438,'SP+RP'!$A1:$I251,IF(Settings!$J$13="points",6,9),FALSE))</f>
        <v>-1.3928839120566328</v>
      </c>
      <c r="J438" s="31"/>
      <c r="K438" s="31">
        <f ca="1">J438-A438</f>
        <v>-437</v>
      </c>
      <c r="L438" s="31"/>
      <c r="M438" s="31"/>
      <c r="N438" s="31"/>
      <c r="O438" s="31"/>
      <c r="P438" s="31"/>
      <c r="Q438" s="31"/>
      <c r="R438" s="33"/>
      <c r="S438" s="33"/>
      <c r="T438" s="31"/>
      <c r="U438" s="31"/>
      <c r="V438" s="31"/>
      <c r="W438" s="31"/>
      <c r="X438" s="31"/>
      <c r="Y438" s="33"/>
      <c r="Z438" s="33"/>
      <c r="AA438" s="31"/>
      <c r="AB438" s="31"/>
      <c r="AC438" s="31">
        <f>VLOOKUP($B438,Pitchers!$A1:$S251,4,FALSE)</f>
        <v>139.92833333333331</v>
      </c>
      <c r="AD438" s="33">
        <f>VLOOKUP($B438,Pitchers!$A1:$S251,5,FALSE)</f>
        <v>4.2575315935538436</v>
      </c>
      <c r="AE438" s="33">
        <f>VLOOKUP($B438,Pitchers!$A1:$S251,6,FALSE)</f>
        <v>1.3067760877592103</v>
      </c>
      <c r="AF438" s="31">
        <f>VLOOKUP($B438,Pitchers!$A1:$S251,7,FALSE)</f>
        <v>109.50833333333333</v>
      </c>
      <c r="AG438" s="31">
        <f>VLOOKUP($B438,Pitchers!$A1:$S251,8,FALSE)</f>
        <v>7.8658333333333346</v>
      </c>
      <c r="AH438" s="31">
        <f>VLOOKUP($B438,Pitchers!$A1:$S251,9,FALSE)</f>
        <v>0</v>
      </c>
      <c r="AI438" s="31">
        <f>VLOOKUP($B438,Pitchers!$A1:$S251,10,FALSE)</f>
        <v>66.194366666666667</v>
      </c>
      <c r="AJ438" s="31">
        <f>VLOOKUP($B438,Pitchers!$A1:$S251,11,FALSE)</f>
        <v>139.98333333333332</v>
      </c>
      <c r="AK438" s="31">
        <f>VLOOKUP($B438,Pitchers!$A1:$S251,12,FALSE)</f>
        <v>42.87166666666667</v>
      </c>
      <c r="AL438" s="31">
        <f>VLOOKUP($B438,Pitchers!$A1:$S251,13,FALSE)</f>
        <v>18.333333333333332</v>
      </c>
      <c r="AM438" s="31">
        <f>VLOOKUP($B438,Pitchers!$A1:$S251,14,FALSE)</f>
        <v>25.391666666666666</v>
      </c>
      <c r="AN438" s="31">
        <f>VLOOKUP($B438,Pitchers!$A1:$S251,15,FALSE)</f>
        <v>25.087500000000002</v>
      </c>
      <c r="AO438" s="31">
        <f>VLOOKUP($B438,Pitchers!$A1:$S251,16,FALSE)</f>
        <v>8.3833333333333329</v>
      </c>
      <c r="AP438" s="31">
        <f>VLOOKUP($B438,Pitchers!$A1:$S251,17,FALSE)</f>
        <v>10</v>
      </c>
      <c r="AQ438" s="31">
        <f>VLOOKUP($B438,Pitchers!$A1:$S251,18,FALSE)</f>
        <v>0</v>
      </c>
      <c r="AR438" s="31">
        <f>VLOOKUP($B438,Pitchers!$A1:$S251,19,FALSE)</f>
        <v>0</v>
      </c>
    </row>
    <row r="439" spans="1:44" ht="20.100000000000001" customHeight="1">
      <c r="A439" s="25">
        <f ca="1">RANK(I439,I$2:I$651)</f>
        <v>438</v>
      </c>
      <c r="B439" s="26" t="s">
        <v>522</v>
      </c>
      <c r="C439" s="27" t="s">
        <v>103</v>
      </c>
      <c r="D439" s="27" t="s">
        <v>69</v>
      </c>
      <c r="E439" s="42" t="s">
        <v>34</v>
      </c>
      <c r="F439" s="43">
        <f ca="1">VLOOKUP(B439,RP!A1:I91,IF(Settings!$J$13="points",4,7),FALSE)</f>
        <v>72</v>
      </c>
      <c r="G439" s="30">
        <f>(AC439*Settings!$F$2)+(AF439*Settings!$F$5)+(AG439*Settings!$F$6)+(AH439*Settings!$F$7)+(AI439*Settings!$F$8)+(AJ439*Settings!$F$9)+(AK439*Settings!$F$10)+(AL439*Settings!$F$11)+(AM439*Settings!$F$12)+(AN439*Settings!$F$13)+(AO439*Settings!$F$14)+(AP439*Settings!$F$15)+(AQ439*Settings!$F$16)+(AR439*Settings!$F$17)</f>
        <v>161.57944444444445</v>
      </c>
      <c r="H439" s="31">
        <f>VLOOKUP(B439,'Standard Deviations'!$A1:$D651,4,FALSE)</f>
        <v>-2.264184641553733</v>
      </c>
      <c r="I439" s="32">
        <f ca="1">IF(Settings!$J$16="no",VLOOKUP(B439,RP!A1:I91,IF(Settings!$J$13="points",6,9),FALSE),VLOOKUP(B439,'SP+RP'!$A1:$I251,IF(Settings!$J$13="points",6,9),FALSE))</f>
        <v>-1.3966022785743819</v>
      </c>
      <c r="J439" s="31"/>
      <c r="K439" s="31">
        <f ca="1">J439-A439</f>
        <v>-438</v>
      </c>
      <c r="L439" s="31"/>
      <c r="M439" s="31"/>
      <c r="N439" s="31"/>
      <c r="O439" s="31"/>
      <c r="P439" s="31"/>
      <c r="Q439" s="31"/>
      <c r="R439" s="33"/>
      <c r="S439" s="33"/>
      <c r="T439" s="31"/>
      <c r="U439" s="31"/>
      <c r="V439" s="31"/>
      <c r="W439" s="31"/>
      <c r="X439" s="31"/>
      <c r="Y439" s="33"/>
      <c r="Z439" s="33"/>
      <c r="AA439" s="31"/>
      <c r="AB439" s="31"/>
      <c r="AC439" s="31">
        <f>VLOOKUP($B439,Pitchers!$A1:$S251,4,FALSE)</f>
        <v>75.778888888888886</v>
      </c>
      <c r="AD439" s="33">
        <f>VLOOKUP($B439,Pitchers!$A1:$S251,5,FALSE)</f>
        <v>3.7693875456371608</v>
      </c>
      <c r="AE439" s="33">
        <f>VLOOKUP($B439,Pitchers!$A1:$S251,6,FALSE)</f>
        <v>1.2639697365141274</v>
      </c>
      <c r="AF439" s="31">
        <f>VLOOKUP($B439,Pitchers!$A1:$S251,7,FALSE)</f>
        <v>78.941111111111113</v>
      </c>
      <c r="AG439" s="31">
        <f>VLOOKUP($B439,Pitchers!$A1:$S251,8,FALSE)</f>
        <v>4.0044444444444443</v>
      </c>
      <c r="AH439" s="31">
        <f>VLOOKUP($B439,Pitchers!$A1:$S251,9,FALSE)</f>
        <v>1.4111111111111112</v>
      </c>
      <c r="AI439" s="31">
        <f>VLOOKUP($B439,Pitchers!$A1:$S251,10,FALSE)</f>
        <v>31.737777777777779</v>
      </c>
      <c r="AJ439" s="31">
        <f>VLOOKUP($B439,Pitchers!$A1:$S251,11,FALSE)</f>
        <v>68.38111111111111</v>
      </c>
      <c r="AK439" s="31">
        <f>VLOOKUP($B439,Pitchers!$A1:$S251,12,FALSE)</f>
        <v>27.40111111111111</v>
      </c>
      <c r="AL439" s="31">
        <f>VLOOKUP($B439,Pitchers!$A1:$S251,13,FALSE)</f>
        <v>7.1333333333333329</v>
      </c>
      <c r="AM439" s="31">
        <f>VLOOKUP($B439,Pitchers!$A1:$S251,14,FALSE)</f>
        <v>44.504444444444438</v>
      </c>
      <c r="AN439" s="31">
        <f>VLOOKUP($B439,Pitchers!$A1:$S251,15,FALSE)</f>
        <v>6.0100000000000007</v>
      </c>
      <c r="AO439" s="31">
        <f>VLOOKUP($B439,Pitchers!$A1:$S251,16,FALSE)</f>
        <v>4.3233333333333333</v>
      </c>
      <c r="AP439" s="31">
        <f>VLOOKUP($B439,Pitchers!$A1:$S251,17,FALSE)</f>
        <v>2</v>
      </c>
      <c r="AQ439" s="31">
        <f>VLOOKUP($B439,Pitchers!$A1:$S251,18,FALSE)</f>
        <v>5.5</v>
      </c>
      <c r="AR439" s="31">
        <f>VLOOKUP($B439,Pitchers!$A1:$S251,19,FALSE)</f>
        <v>2</v>
      </c>
    </row>
    <row r="440" spans="1:44" ht="20.100000000000001" customHeight="1">
      <c r="A440" s="25">
        <f ca="1">RANK(I440,I$2:I$651)</f>
        <v>439</v>
      </c>
      <c r="B440" s="26" t="s">
        <v>430</v>
      </c>
      <c r="C440" s="27" t="s">
        <v>71</v>
      </c>
      <c r="D440" s="27" t="s">
        <v>69</v>
      </c>
      <c r="E440" s="36" t="s">
        <v>31</v>
      </c>
      <c r="F440" s="37">
        <f ca="1">VLOOKUP(B440,SP!A1:I161,IF(Settings!$J$13="points",4,7),FALSE)</f>
        <v>122</v>
      </c>
      <c r="G440" s="30">
        <f>(AC440*Settings!$F$2)+(AF440*Settings!$F$5)+(AG440*Settings!$F$6)+(AH440*Settings!$F$7)+(AI440*Settings!$F$8)+(AJ440*Settings!$F$9)+(AK440*Settings!$F$10)+(AL440*Settings!$F$11)+(AM440*Settings!$F$12)+(AN440*Settings!$F$13)+(AO440*Settings!$F$14)+(AP440*Settings!$F$15)+(AQ440*Settings!$F$16)+(AR440*Settings!$F$17)</f>
        <v>308.73202222222221</v>
      </c>
      <c r="H440" s="31">
        <f>VLOOKUP(B440,'Standard Deviations'!$A1:$D651,4,FALSE)</f>
        <v>-2.2769543259552512</v>
      </c>
      <c r="I440" s="32">
        <f ca="1">IF(Settings!$J$16="no",VLOOKUP(B440,SP!A1:I161,IF(Settings!$J$13="points",6,9),FALSE),VLOOKUP(B440,'SP+RP'!$A1:$I251,IF(Settings!$J$13="points",6,9),FALSE))</f>
        <v>-1.4093700223021068</v>
      </c>
      <c r="J440" s="31"/>
      <c r="K440" s="31">
        <f ca="1">J440-A440</f>
        <v>-439</v>
      </c>
      <c r="L440" s="31"/>
      <c r="M440" s="31"/>
      <c r="N440" s="31"/>
      <c r="O440" s="31"/>
      <c r="P440" s="31"/>
      <c r="Q440" s="31"/>
      <c r="R440" s="33"/>
      <c r="S440" s="33"/>
      <c r="T440" s="31"/>
      <c r="U440" s="31"/>
      <c r="V440" s="31"/>
      <c r="W440" s="31"/>
      <c r="X440" s="31"/>
      <c r="Y440" s="33"/>
      <c r="Z440" s="33"/>
      <c r="AA440" s="31"/>
      <c r="AB440" s="31"/>
      <c r="AC440" s="31">
        <f>VLOOKUP($B440,Pitchers!$A1:$S251,4,FALSE)</f>
        <v>171.54666666666665</v>
      </c>
      <c r="AD440" s="33">
        <f>VLOOKUP($B440,Pitchers!$A1:$S251,5,FALSE)</f>
        <v>4.4668416757344946</v>
      </c>
      <c r="AE440" s="33">
        <f>VLOOKUP($B440,Pitchers!$A1:$S251,6,FALSE)</f>
        <v>1.3226203430229546</v>
      </c>
      <c r="AF440" s="31">
        <f>VLOOKUP($B440,Pitchers!$A1:$S251,7,FALSE)</f>
        <v>110.86666666666667</v>
      </c>
      <c r="AG440" s="31">
        <f>VLOOKUP($B440,Pitchers!$A1:$S251,8,FALSE)</f>
        <v>9.9455555555555559</v>
      </c>
      <c r="AH440" s="31">
        <f>VLOOKUP($B440,Pitchers!$A1:$S251,9,FALSE)</f>
        <v>0</v>
      </c>
      <c r="AI440" s="31">
        <f>VLOOKUP($B440,Pitchers!$A1:$S251,10,FALSE)</f>
        <v>85.141311111111108</v>
      </c>
      <c r="AJ440" s="31">
        <f>VLOOKUP($B440,Pitchers!$A1:$S251,11,FALSE)</f>
        <v>179.37333333333333</v>
      </c>
      <c r="AK440" s="31">
        <f>VLOOKUP($B440,Pitchers!$A1:$S251,12,FALSE)</f>
        <v>47.517777777777781</v>
      </c>
      <c r="AL440" s="31">
        <f>VLOOKUP($B440,Pitchers!$A1:$S251,13,FALSE)</f>
        <v>27</v>
      </c>
      <c r="AM440" s="31">
        <f>VLOOKUP($B440,Pitchers!$A1:$S251,14,FALSE)</f>
        <v>29.553333333333331</v>
      </c>
      <c r="AN440" s="31">
        <f>VLOOKUP($B440,Pitchers!$A1:$S251,15,FALSE)</f>
        <v>29.353333333333335</v>
      </c>
      <c r="AO440" s="31">
        <f>VLOOKUP($B440,Pitchers!$A1:$S251,16,FALSE)</f>
        <v>10.985555555555555</v>
      </c>
      <c r="AP440" s="31">
        <f>VLOOKUP($B440,Pitchers!$A1:$S251,17,FALSE)</f>
        <v>12</v>
      </c>
      <c r="AQ440" s="31">
        <f>VLOOKUP($B440,Pitchers!$A1:$S251,18,FALSE)</f>
        <v>0</v>
      </c>
      <c r="AR440" s="31">
        <f>VLOOKUP($B440,Pitchers!$A1:$S251,19,FALSE)</f>
        <v>0</v>
      </c>
    </row>
    <row r="441" spans="1:44" ht="18.600000000000001" customHeight="1">
      <c r="A441" s="25">
        <f ca="1">RANK(I441,I$2:I$651)</f>
        <v>440</v>
      </c>
      <c r="B441" s="26" t="s">
        <v>578</v>
      </c>
      <c r="C441" s="27" t="s">
        <v>156</v>
      </c>
      <c r="D441" s="27" t="s">
        <v>69</v>
      </c>
      <c r="E441" s="42" t="s">
        <v>34</v>
      </c>
      <c r="F441" s="43">
        <f ca="1">VLOOKUP(B441,RP!A1:I91,IF(Settings!$J$13="points",4,7),FALSE)</f>
        <v>73</v>
      </c>
      <c r="G441" s="30">
        <f>(AC441*Settings!$F$2)+(AF441*Settings!$F$5)+(AG441*Settings!$F$6)+(AH441*Settings!$F$7)+(AI441*Settings!$F$8)+(AJ441*Settings!$F$9)+(AK441*Settings!$F$10)+(AL441*Settings!$F$11)+(AM441*Settings!$F$12)+(AN441*Settings!$F$13)+(AO441*Settings!$F$14)+(AP441*Settings!$F$15)+(AQ441*Settings!$F$16)+(AR441*Settings!$F$17)</f>
        <v>123.49416666666671</v>
      </c>
      <c r="H441" s="31">
        <f>VLOOKUP(B441,'Standard Deviations'!$A1:$D651,4,FALSE)</f>
        <v>-2.2838395548643335</v>
      </c>
      <c r="I441" s="32">
        <f ca="1">IF(Settings!$J$16="no",VLOOKUP(B441,RP!A1:I91,IF(Settings!$J$13="points",6,9),FALSE),VLOOKUP(B441,'SP+RP'!$A1:$I251,IF(Settings!$J$13="points",6,9),FALSE))</f>
        <v>-1.4162578248687812</v>
      </c>
      <c r="J441" s="31"/>
      <c r="K441" s="31">
        <f ca="1">J441-A441</f>
        <v>-440</v>
      </c>
      <c r="L441" s="31"/>
      <c r="M441" s="31"/>
      <c r="N441" s="31"/>
      <c r="O441" s="31"/>
      <c r="P441" s="31"/>
      <c r="Q441" s="31"/>
      <c r="R441" s="33"/>
      <c r="S441" s="33"/>
      <c r="T441" s="31"/>
      <c r="U441" s="31"/>
      <c r="V441" s="31"/>
      <c r="W441" s="31"/>
      <c r="X441" s="31"/>
      <c r="Y441" s="33"/>
      <c r="Z441" s="33"/>
      <c r="AA441" s="31"/>
      <c r="AB441" s="31"/>
      <c r="AC441" s="31">
        <f>VLOOKUP($B441,Pitchers!$A1:$S251,4,FALSE)</f>
        <v>57.358333333333341</v>
      </c>
      <c r="AD441" s="33">
        <f>VLOOKUP($B441,Pitchers!$A1:$S251,5,FALSE)</f>
        <v>3.4645358128722941</v>
      </c>
      <c r="AE441" s="33">
        <f>VLOOKUP($B441,Pitchers!$A1:$S251,6,FALSE)</f>
        <v>1.2690977771320642</v>
      </c>
      <c r="AF441" s="31">
        <f>VLOOKUP($B441,Pitchers!$A1:$S251,7,FALSE)</f>
        <v>72.034999999999997</v>
      </c>
      <c r="AG441" s="31">
        <f>VLOOKUP($B441,Pitchers!$A1:$S251,8,FALSE)</f>
        <v>2.8916666666666671</v>
      </c>
      <c r="AH441" s="31">
        <f>VLOOKUP($B441,Pitchers!$A1:$S251,9,FALSE)</f>
        <v>1.6666666666666666E-2</v>
      </c>
      <c r="AI441" s="31">
        <f>VLOOKUP($B441,Pitchers!$A1:$S251,10,FALSE)</f>
        <v>22.080000000000002</v>
      </c>
      <c r="AJ441" s="31">
        <f>VLOOKUP($B441,Pitchers!$A1:$S251,11,FALSE)</f>
        <v>44.699999999999996</v>
      </c>
      <c r="AK441" s="31">
        <f>VLOOKUP($B441,Pitchers!$A1:$S251,12,FALSE)</f>
        <v>28.093333333333334</v>
      </c>
      <c r="AL441" s="31">
        <f>VLOOKUP($B441,Pitchers!$A1:$S251,13,FALSE)</f>
        <v>4.2333333333333334</v>
      </c>
      <c r="AM441" s="31">
        <f>VLOOKUP($B441,Pitchers!$A1:$S251,14,FALSE)</f>
        <v>50.914999999999999</v>
      </c>
      <c r="AN441" s="31">
        <f>VLOOKUP($B441,Pitchers!$A1:$S251,15,FALSE)</f>
        <v>0</v>
      </c>
      <c r="AO441" s="31">
        <f>VLOOKUP($B441,Pitchers!$A1:$S251,16,FALSE)</f>
        <v>2.0166666666666666</v>
      </c>
      <c r="AP441" s="31">
        <f>VLOOKUP($B441,Pitchers!$A1:$S251,17,FALSE)</f>
        <v>0</v>
      </c>
      <c r="AQ441" s="31">
        <f>VLOOKUP($B441,Pitchers!$A1:$S251,18,FALSE)</f>
        <v>6</v>
      </c>
      <c r="AR441" s="31">
        <f>VLOOKUP($B441,Pitchers!$A1:$S251,19,FALSE)</f>
        <v>0</v>
      </c>
    </row>
    <row r="442" spans="1:44" ht="20.100000000000001" customHeight="1">
      <c r="A442" s="25">
        <f ca="1">RANK(I442,I$2:I$651)</f>
        <v>441</v>
      </c>
      <c r="B442" s="26" t="s">
        <v>418</v>
      </c>
      <c r="C442" s="27" t="s">
        <v>156</v>
      </c>
      <c r="D442" s="27" t="s">
        <v>69</v>
      </c>
      <c r="E442" s="34" t="s">
        <v>15</v>
      </c>
      <c r="F442" s="35">
        <f ca="1">VLOOKUP(B442,'3B'!A1:I55,IF(Settings!$J$13="points",4,7),FALSE)</f>
        <v>29</v>
      </c>
      <c r="G442" s="30">
        <f>(M442*Settings!$B$2)+(N442*Settings!$B$3)+(O442*Settings!$B$4)+(P442*Settings!$B$5)+(Q442*Settings!$B$6)+((T442-U442-V442-O442)*Settings!$B$9)+(U442*Settings!$B$10)+(V442*Settings!$B$11)+(W442*Settings!$B$12)+(X442*Settings!$B$13)+(AA442*Settings!$B$16)</f>
        <v>201.82999999999998</v>
      </c>
      <c r="H442" s="31">
        <f>VLOOKUP(B442,'Standard Deviations'!$A1:$D651,4,FALSE)</f>
        <v>-1.2040017451464162</v>
      </c>
      <c r="I442" s="32">
        <f ca="1">IF(Settings!$J$15="no",VLOOKUP(B442,'3B'!A1:I55,IF(Settings!$J$13="points",6,9),FALSE),VLOOKUP(B442,'1B+3B'!$A1:$I104,IF(Settings!$J$13="points",6,9),FALSE))</f>
        <v>-1.4294771316881372</v>
      </c>
      <c r="J442" s="31"/>
      <c r="K442" s="31">
        <f ca="1">J442-A442</f>
        <v>-441</v>
      </c>
      <c r="L442" s="31"/>
      <c r="M442" s="31">
        <f>VLOOKUP($B442,Hitters!$A1:$R401,4,FALSE)</f>
        <v>323.86666666666673</v>
      </c>
      <c r="N442" s="31">
        <f>VLOOKUP($B442,Hitters!$A1:$R401,5,FALSE)</f>
        <v>38.698888888888888</v>
      </c>
      <c r="O442" s="31">
        <f>VLOOKUP($B442,Hitters!$A1:$R401,6,FALSE)</f>
        <v>8.0283333333333324</v>
      </c>
      <c r="P442" s="31">
        <f>VLOOKUP($B442,Hitters!$A1:$R401,7,FALSE)</f>
        <v>37.126666666666665</v>
      </c>
      <c r="Q442" s="31">
        <f>VLOOKUP($B442,Hitters!$A1:$R401,8,FALSE)</f>
        <v>9.39</v>
      </c>
      <c r="R442" s="33">
        <f>VLOOKUP($B442,Hitters!$A$1:$R$401,14,FALSE)</f>
        <v>0.25386475916014817</v>
      </c>
      <c r="S442" s="33">
        <f>VLOOKUP($B442,Hitters!$A$1:$R$401,15,FALSE)</f>
        <v>0.30625720535290724</v>
      </c>
      <c r="T442" s="31">
        <f>VLOOKUP($B442,Hitters!$A$1:$R$401,9,FALSE)</f>
        <v>82.218333333333334</v>
      </c>
      <c r="U442" s="31">
        <f>VLOOKUP($B442,Hitters!$A$1:$R$401,10,FALSE)</f>
        <v>18.18</v>
      </c>
      <c r="V442" s="31">
        <f>VLOOKUP($B442,Hitters!$A$1:$R$401,11,FALSE)</f>
        <v>2.0466666666666669</v>
      </c>
      <c r="W442" s="31">
        <f>VLOOKUP($B442,Hitters!$A$1:$R$401,12,FALSE)</f>
        <v>19.221666666666668</v>
      </c>
      <c r="X442" s="31">
        <f>VLOOKUP($B442,Hitters!$A$1:$R$401,13,FALSE)</f>
        <v>81.147777777777776</v>
      </c>
      <c r="Y442" s="33">
        <f>VLOOKUP($B442,Hitters!$A$1:$R$401,16,FALSE)</f>
        <v>0.397004940304652</v>
      </c>
      <c r="Z442" s="33">
        <f>VLOOKUP($B442,Hitters!$A$1:$R$401,17,FALSE)</f>
        <v>0.70326214565755918</v>
      </c>
      <c r="AA442" s="31">
        <f>VLOOKUP($B442,Hitters!$A1:$R401,18,FALSE)</f>
        <v>0</v>
      </c>
      <c r="AB442" s="31"/>
      <c r="AC442" s="31"/>
      <c r="AD442" s="33"/>
      <c r="AE442" s="33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</row>
    <row r="443" spans="1:44" ht="18.600000000000001" customHeight="1">
      <c r="A443" s="25">
        <f ca="1">RANK(I443,I$2:I$651)</f>
        <v>442</v>
      </c>
      <c r="B443" s="26" t="s">
        <v>499</v>
      </c>
      <c r="C443" s="27" t="s">
        <v>117</v>
      </c>
      <c r="D443" s="27" t="s">
        <v>69</v>
      </c>
      <c r="E443" s="34" t="s">
        <v>15</v>
      </c>
      <c r="F443" s="35">
        <f ca="1">VLOOKUP(B443,'3B'!A1:I55,IF(Settings!$J$13="points",4,7),FALSE)</f>
        <v>30</v>
      </c>
      <c r="G443" s="30">
        <f>(M443*Settings!$B$2)+(N443*Settings!$B$3)+(O443*Settings!$B$4)+(P443*Settings!$B$5)+(Q443*Settings!$B$6)+((T443-U443-V443-O443)*Settings!$B$9)+(U443*Settings!$B$10)+(V443*Settings!$B$11)+(W443*Settings!$B$12)+(X443*Settings!$B$13)+(AA443*Settings!$B$16)</f>
        <v>251.0555555555556</v>
      </c>
      <c r="H443" s="31">
        <f>VLOOKUP(B443,'Standard Deviations'!$A1:$D651,4,FALSE)</f>
        <v>-1.2048225861219044</v>
      </c>
      <c r="I443" s="32">
        <f ca="1">IF(Settings!$J$15="no",VLOOKUP(B443,'3B'!A1:I55,IF(Settings!$J$13="points",6,9),FALSE),VLOOKUP(B443,'1B+3B'!$A1:$I104,IF(Settings!$J$13="points",6,9),FALSE))</f>
        <v>-1.4303046346926525</v>
      </c>
      <c r="J443" s="31"/>
      <c r="K443" s="31">
        <f ca="1">J443-A443</f>
        <v>-442</v>
      </c>
      <c r="L443" s="31"/>
      <c r="M443" s="31">
        <f>VLOOKUP($B443,Hitters!$A1:$R401,4,FALSE)</f>
        <v>423</v>
      </c>
      <c r="N443" s="31">
        <f>VLOOKUP($B443,Hitters!$A1:$R401,5,FALSE)</f>
        <v>49.870000000000005</v>
      </c>
      <c r="O443" s="31">
        <f>VLOOKUP($B443,Hitters!$A1:$R401,6,FALSE)</f>
        <v>12.910000000000002</v>
      </c>
      <c r="P443" s="31">
        <f>VLOOKUP($B443,Hitters!$A1:$R401,7,FALSE)</f>
        <v>48.754444444444438</v>
      </c>
      <c r="Q443" s="31">
        <f>VLOOKUP($B443,Hitters!$A1:$R401,8,FALSE)</f>
        <v>5.503333333333333</v>
      </c>
      <c r="R443" s="33">
        <f>VLOOKUP($B443,Hitters!$A$1:$R$401,14,FALSE)</f>
        <v>0.23276333070659314</v>
      </c>
      <c r="S443" s="33">
        <f>VLOOKUP($B443,Hitters!$A$1:$R$401,15,FALSE)</f>
        <v>0.30404463202382542</v>
      </c>
      <c r="T443" s="31">
        <f>VLOOKUP($B443,Hitters!$A$1:$R$401,9,FALSE)</f>
        <v>98.458888888888893</v>
      </c>
      <c r="U443" s="31">
        <f>VLOOKUP($B443,Hitters!$A$1:$R$401,10,FALSE)</f>
        <v>21.451111111111107</v>
      </c>
      <c r="V443" s="31">
        <f>VLOOKUP($B443,Hitters!$A$1:$R$401,11,FALSE)</f>
        <v>3.451111111111111</v>
      </c>
      <c r="W443" s="31">
        <f>VLOOKUP($B443,Hitters!$A$1:$R$401,12,FALSE)</f>
        <v>36.445555555555558</v>
      </c>
      <c r="X443" s="31">
        <f>VLOOKUP($B443,Hitters!$A$1:$R$401,13,FALSE)</f>
        <v>121.12666666666667</v>
      </c>
      <c r="Y443" s="33">
        <f>VLOOKUP($B443,Hitters!$A$1:$R$401,16,FALSE)</f>
        <v>0.39135277121092726</v>
      </c>
      <c r="Z443" s="33">
        <f>VLOOKUP($B443,Hitters!$A$1:$R$401,17,FALSE)</f>
        <v>0.69539740323475274</v>
      </c>
      <c r="AA443" s="31">
        <f>VLOOKUP($B443,Hitters!$A1:$R401,18,FALSE)</f>
        <v>0</v>
      </c>
      <c r="AB443" s="31"/>
      <c r="AC443" s="31"/>
      <c r="AD443" s="33"/>
      <c r="AE443" s="33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</row>
    <row r="444" spans="1:44" ht="18.600000000000001" customHeight="1">
      <c r="A444" s="25">
        <f ca="1">RANK(I444,I$2:I$651)</f>
        <v>443</v>
      </c>
      <c r="B444" s="26" t="s">
        <v>588</v>
      </c>
      <c r="C444" s="27" t="s">
        <v>103</v>
      </c>
      <c r="D444" s="27" t="s">
        <v>69</v>
      </c>
      <c r="E444" s="48" t="s">
        <v>11</v>
      </c>
      <c r="F444" s="49">
        <f ca="1">VLOOKUP(B444,'2B'!A1:I50,IF(Settings!$J$13="points",4,7),FALSE)</f>
        <v>33</v>
      </c>
      <c r="G444" s="30">
        <f>(M444*Settings!$B$2)+(N444*Settings!$B$3)+(O444*Settings!$B$4)+(P444*Settings!$B$5)+(Q444*Settings!$B$6)+((T444-U444-V444-O444)*Settings!$B$9)+(U444*Settings!$B$10)+(V444*Settings!$B$11)+(W444*Settings!$B$12)+(X444*Settings!$B$13)+(AA444*Settings!$B$16)</f>
        <v>187.98944444444444</v>
      </c>
      <c r="H444" s="31">
        <f>VLOOKUP(B444,'Standard Deviations'!$A1:$D651,4,FALSE)</f>
        <v>-1.4809140689956726</v>
      </c>
      <c r="I444" s="32">
        <f ca="1">IF(Settings!$J$16="no",VLOOKUP(B444,'2B'!A1:I50,IF(Settings!$J$13="points",6,9),FALSE),VLOOKUP(B444,'2B+SS'!$A1:$I94,IF(Settings!$J$13="points",6,9),FALSE))</f>
        <v>-1.486953313185132</v>
      </c>
      <c r="J444" s="31"/>
      <c r="K444" s="31">
        <f ca="1">J444-A444</f>
        <v>-443</v>
      </c>
      <c r="L444" s="31"/>
      <c r="M444" s="31">
        <f>VLOOKUP($B444,Hitters!$A1:$R401,4,FALSE)</f>
        <v>294.56666666666666</v>
      </c>
      <c r="N444" s="31">
        <f>VLOOKUP($B444,Hitters!$A1:$R401,5,FALSE)</f>
        <v>36.201666666666661</v>
      </c>
      <c r="O444" s="31">
        <f>VLOOKUP($B444,Hitters!$A1:$R401,6,FALSE)</f>
        <v>8.0483333333333338</v>
      </c>
      <c r="P444" s="31">
        <f>VLOOKUP($B444,Hitters!$A1:$R401,7,FALSE)</f>
        <v>36.596666666666664</v>
      </c>
      <c r="Q444" s="31">
        <f>VLOOKUP($B444,Hitters!$A1:$R401,8,FALSE)</f>
        <v>4.7411111111111106</v>
      </c>
      <c r="R444" s="33">
        <f>VLOOKUP($B444,Hitters!$A$1:$R$401,14,FALSE)</f>
        <v>0.26385651239108293</v>
      </c>
      <c r="S444" s="33">
        <f>VLOOKUP($B444,Hitters!$A$1:$R$401,15,FALSE)</f>
        <v>0.31413955154520395</v>
      </c>
      <c r="T444" s="31">
        <f>VLOOKUP($B444,Hitters!$A$1:$R$401,9,FALSE)</f>
        <v>77.723333333333329</v>
      </c>
      <c r="U444" s="31">
        <f>VLOOKUP($B444,Hitters!$A$1:$R$401,10,FALSE)</f>
        <v>16.204999999999998</v>
      </c>
      <c r="V444" s="31">
        <f>VLOOKUP($B444,Hitters!$A$1:$R$401,11,FALSE)</f>
        <v>1.0183333333333333</v>
      </c>
      <c r="W444" s="31">
        <f>VLOOKUP($B444,Hitters!$A$1:$R$401,12,FALSE)</f>
        <v>16.930000000000003</v>
      </c>
      <c r="X444" s="31">
        <f>VLOOKUP($B444,Hitters!$A$1:$R$401,13,FALSE)</f>
        <v>62.662222222222226</v>
      </c>
      <c r="Y444" s="33">
        <f>VLOOKUP($B444,Hitters!$A$1:$R$401,16,FALSE)</f>
        <v>0.40775149937761679</v>
      </c>
      <c r="Z444" s="33">
        <f>VLOOKUP($B444,Hitters!$A$1:$R$401,17,FALSE)</f>
        <v>0.72189105092282069</v>
      </c>
      <c r="AA444" s="31">
        <f>VLOOKUP($B444,Hitters!$A1:$R401,18,FALSE)</f>
        <v>0</v>
      </c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</row>
    <row r="445" spans="1:44" ht="20.100000000000001" customHeight="1">
      <c r="A445" s="25">
        <f ca="1">RANK(I445,I$2:I$651)</f>
        <v>444</v>
      </c>
      <c r="B445" s="26" t="s">
        <v>355</v>
      </c>
      <c r="C445" s="27" t="s">
        <v>117</v>
      </c>
      <c r="D445" s="27" t="s">
        <v>69</v>
      </c>
      <c r="E445" s="28" t="s">
        <v>23</v>
      </c>
      <c r="F445" s="29">
        <f ca="1">VLOOKUP(B445,OF!A1:I139,IF(Settings!$J$13="points",4,7),FALSE)</f>
        <v>98</v>
      </c>
      <c r="G445" s="30">
        <f>(M445*Settings!$B$2)+(N445*Settings!$B$3)+(O445*Settings!$B$4)+(P445*Settings!$B$5)+(Q445*Settings!$B$6)+((T445-U445-V445-O445)*Settings!$B$9)+(U445*Settings!$B$10)+(V445*Settings!$B$11)+(W445*Settings!$B$12)+(X445*Settings!$B$13)+(AA445*Settings!$B$16)</f>
        <v>208.50555555555553</v>
      </c>
      <c r="H445" s="31">
        <f>VLOOKUP(B445,'Standard Deviations'!$A1:$D651,4,FALSE)</f>
        <v>-1.6572871634797997</v>
      </c>
      <c r="I445" s="32">
        <f ca="1">VLOOKUP(B445,OF!A1:I139,IF(Settings!$J$13="points",6,9),FALSE)</f>
        <v>-1.5003546700308135</v>
      </c>
      <c r="J445" s="31"/>
      <c r="K445" s="31">
        <f ca="1">J445-A445</f>
        <v>-444</v>
      </c>
      <c r="L445" s="31"/>
      <c r="M445" s="31">
        <f>VLOOKUP($B445,Hitters!$A1:$R401,4,FALSE)</f>
        <v>350.36666666666662</v>
      </c>
      <c r="N445" s="31">
        <f>VLOOKUP($B445,Hitters!$A1:$R401,5,FALSE)</f>
        <v>43.87166666666667</v>
      </c>
      <c r="O445" s="31">
        <f>VLOOKUP($B445,Hitters!$A1:$R401,6,FALSE)</f>
        <v>9.4233333333333338</v>
      </c>
      <c r="P445" s="31">
        <f>VLOOKUP($B445,Hitters!$A1:$R401,7,FALSE)</f>
        <v>38.966666666666669</v>
      </c>
      <c r="Q445" s="31">
        <f>VLOOKUP($B445,Hitters!$A1:$R401,8,FALSE)</f>
        <v>9.3483333333333327</v>
      </c>
      <c r="R445" s="33">
        <f>VLOOKUP($B445,Hitters!$A$1:$R$401,14,FALSE)</f>
        <v>0.23580534677956427</v>
      </c>
      <c r="S445" s="33">
        <f>VLOOKUP($B445,Hitters!$A$1:$R$401,15,FALSE)</f>
        <v>0.30745475863500193</v>
      </c>
      <c r="T445" s="31">
        <f>VLOOKUP($B445,Hitters!$A$1:$R$401,9,FALSE)</f>
        <v>82.618333333333325</v>
      </c>
      <c r="U445" s="31">
        <f>VLOOKUP($B445,Hitters!$A$1:$R$401,10,FALSE)</f>
        <v>18.78166666666667</v>
      </c>
      <c r="V445" s="31">
        <f>VLOOKUP($B445,Hitters!$A$1:$R$401,11,FALSE)</f>
        <v>3.0233333333333334</v>
      </c>
      <c r="W445" s="31">
        <f>VLOOKUP($B445,Hitters!$A$1:$R$401,12,FALSE)</f>
        <v>30.599999999999998</v>
      </c>
      <c r="X445" s="31">
        <f>VLOOKUP($B445,Hitters!$A$1:$R$401,13,FALSE)</f>
        <v>118.69222222222221</v>
      </c>
      <c r="Y445" s="33">
        <f>VLOOKUP($B445,Hitters!$A$1:$R$401,16,FALSE)</f>
        <v>0.38735610313005431</v>
      </c>
      <c r="Z445" s="33">
        <f>VLOOKUP($B445,Hitters!$A$1:$R$401,17,FALSE)</f>
        <v>0.69481086176505624</v>
      </c>
      <c r="AA445" s="31">
        <f>VLOOKUP($B445,Hitters!$A1:$R401,18,FALSE)</f>
        <v>0</v>
      </c>
      <c r="AB445" s="31"/>
      <c r="AC445" s="31"/>
      <c r="AD445" s="33"/>
      <c r="AE445" s="33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</row>
    <row r="446" spans="1:44" ht="18.600000000000001" customHeight="1">
      <c r="A446" s="25">
        <f ca="1">RANK(I446,I$2:I$651)</f>
        <v>445</v>
      </c>
      <c r="B446" s="26" t="s">
        <v>571</v>
      </c>
      <c r="C446" s="27" t="s">
        <v>84</v>
      </c>
      <c r="D446" s="27" t="s">
        <v>69</v>
      </c>
      <c r="E446" s="42" t="s">
        <v>34</v>
      </c>
      <c r="F446" s="43">
        <f ca="1">VLOOKUP(B446,RP!A1:I91,IF(Settings!$J$13="points",4,7),FALSE)</f>
        <v>74</v>
      </c>
      <c r="G446" s="30">
        <f>(AC446*Settings!$F$2)+(AF446*Settings!$F$5)+(AG446*Settings!$F$6)+(AH446*Settings!$F$7)+(AI446*Settings!$F$8)+(AJ446*Settings!$F$9)+(AK446*Settings!$F$10)+(AL446*Settings!$F$11)+(AM446*Settings!$F$12)+(AN446*Settings!$F$13)+(AO446*Settings!$F$14)+(AP446*Settings!$F$15)+(AQ446*Settings!$F$16)+(AR446*Settings!$F$17)</f>
        <v>178.1418111111112</v>
      </c>
      <c r="H446" s="31">
        <f>VLOOKUP(B446,'Standard Deviations'!$A1:$D651,4,FALSE)</f>
        <v>-2.3732637379010559</v>
      </c>
      <c r="I446" s="32">
        <f ca="1">IF(Settings!$J$16="no",VLOOKUP(B446,RP!A1:I91,IF(Settings!$J$13="points",6,9),FALSE),VLOOKUP(B446,'SP+RP'!$A1:$I251,IF(Settings!$J$13="points",6,9),FALSE))</f>
        <v>-1.5056874271426004</v>
      </c>
      <c r="J446" s="31"/>
      <c r="K446" s="31">
        <f ca="1">J446-A446</f>
        <v>-445</v>
      </c>
      <c r="L446" s="31"/>
      <c r="M446" s="31"/>
      <c r="N446" s="31"/>
      <c r="O446" s="31"/>
      <c r="P446" s="31"/>
      <c r="Q446" s="31"/>
      <c r="R446" s="33"/>
      <c r="S446" s="33"/>
      <c r="T446" s="31"/>
      <c r="U446" s="31"/>
      <c r="V446" s="31"/>
      <c r="W446" s="31"/>
      <c r="X446" s="31"/>
      <c r="Y446" s="33"/>
      <c r="Z446" s="33"/>
      <c r="AA446" s="31"/>
      <c r="AB446" s="31"/>
      <c r="AC446" s="31">
        <f>VLOOKUP($B446,Pitchers!$A1:$S251,4,FALSE)</f>
        <v>65.426666666666677</v>
      </c>
      <c r="AD446" s="33">
        <f>VLOOKUP($B446,Pitchers!$A1:$S251,5,FALSE)</f>
        <v>3.9772957000203779</v>
      </c>
      <c r="AE446" s="33">
        <f>VLOOKUP($B446,Pitchers!$A1:$S251,6,FALSE)</f>
        <v>1.2504585286325656</v>
      </c>
      <c r="AF446" s="31">
        <f>VLOOKUP($B446,Pitchers!$A1:$S251,7,FALSE)</f>
        <v>62.104999999999997</v>
      </c>
      <c r="AG446" s="31">
        <f>VLOOKUP($B446,Pitchers!$A1:$S251,8,FALSE)</f>
        <v>2.9888888888888889</v>
      </c>
      <c r="AH446" s="31">
        <f>VLOOKUP($B446,Pitchers!$A1:$S251,9,FALSE)</f>
        <v>7.9222222222222216</v>
      </c>
      <c r="AI446" s="31">
        <f>VLOOKUP($B446,Pitchers!$A1:$S251,10,FALSE)</f>
        <v>28.913466666666665</v>
      </c>
      <c r="AJ446" s="31">
        <f>VLOOKUP($B446,Pitchers!$A1:$S251,11,FALSE)</f>
        <v>60.547777777777782</v>
      </c>
      <c r="AK446" s="31">
        <f>VLOOKUP($B446,Pitchers!$A1:$S251,12,FALSE)</f>
        <v>21.265555555555554</v>
      </c>
      <c r="AL446" s="31">
        <f>VLOOKUP($B446,Pitchers!$A1:$S251,13,FALSE)</f>
        <v>7.6000000000000005</v>
      </c>
      <c r="AM446" s="31">
        <f>VLOOKUP($B446,Pitchers!$A1:$S251,14,FALSE)</f>
        <v>62.852222222222224</v>
      </c>
      <c r="AN446" s="31">
        <f>VLOOKUP($B446,Pitchers!$A1:$S251,15,FALSE)</f>
        <v>1.6666666666666666E-2</v>
      </c>
      <c r="AO446" s="31">
        <f>VLOOKUP($B446,Pitchers!$A1:$S251,16,FALSE)</f>
        <v>2.9683333333333333</v>
      </c>
      <c r="AP446" s="31">
        <f>VLOOKUP($B446,Pitchers!$A1:$S251,17,FALSE)</f>
        <v>0</v>
      </c>
      <c r="AQ446" s="31">
        <f>VLOOKUP($B446,Pitchers!$A1:$S251,18,FALSE)</f>
        <v>10.5</v>
      </c>
      <c r="AR446" s="31">
        <f>VLOOKUP($B446,Pitchers!$A1:$S251,19,FALSE)</f>
        <v>2</v>
      </c>
    </row>
    <row r="447" spans="1:44" ht="18.600000000000001" customHeight="1">
      <c r="A447" s="25">
        <f ca="1">RANK(I447,I$2:I$651)</f>
        <v>446</v>
      </c>
      <c r="B447" s="26" t="s">
        <v>465</v>
      </c>
      <c r="C447" s="27" t="s">
        <v>71</v>
      </c>
      <c r="D447" s="27" t="s">
        <v>69</v>
      </c>
      <c r="E447" s="42" t="s">
        <v>34</v>
      </c>
      <c r="F447" s="43">
        <f ca="1">VLOOKUP(B447,RP!A1:I91,IF(Settings!$J$13="points",4,7),FALSE)</f>
        <v>75</v>
      </c>
      <c r="G447" s="30">
        <f>(AC447*Settings!$F$2)+(AF447*Settings!$F$5)+(AG447*Settings!$F$6)+(AH447*Settings!$F$7)+(AI447*Settings!$F$8)+(AJ447*Settings!$F$9)+(AK447*Settings!$F$10)+(AL447*Settings!$F$11)+(AM447*Settings!$F$12)+(AN447*Settings!$F$13)+(AO447*Settings!$F$14)+(AP447*Settings!$F$15)+(AQ447*Settings!$F$16)+(AR447*Settings!$F$17)</f>
        <v>131.01888888888885</v>
      </c>
      <c r="H447" s="31">
        <f>VLOOKUP(B447,'Standard Deviations'!$A1:$D651,4,FALSE)</f>
        <v>-2.3970356229740686</v>
      </c>
      <c r="I447" s="32">
        <f ca="1">IF(Settings!$J$16="no",VLOOKUP(B447,RP!A1:I91,IF(Settings!$J$13="points",6,9),FALSE),VLOOKUP(B447,'SP+RP'!$A1:$I251,IF(Settings!$J$13="points",6,9),FALSE))</f>
        <v>-1.5294574135260142</v>
      </c>
      <c r="J447" s="31"/>
      <c r="K447" s="31">
        <f ca="1">J447-A447</f>
        <v>-446</v>
      </c>
      <c r="L447" s="31"/>
      <c r="M447" s="31"/>
      <c r="N447" s="31"/>
      <c r="O447" s="31"/>
      <c r="P447" s="31"/>
      <c r="Q447" s="31"/>
      <c r="R447" s="33"/>
      <c r="S447" s="33"/>
      <c r="T447" s="31"/>
      <c r="U447" s="31"/>
      <c r="V447" s="31"/>
      <c r="W447" s="31"/>
      <c r="X447" s="31"/>
      <c r="Y447" s="33"/>
      <c r="Z447" s="33"/>
      <c r="AA447" s="31"/>
      <c r="AB447" s="31"/>
      <c r="AC447" s="31">
        <f>VLOOKUP($B447,Pitchers!$A1:$S251,4,FALSE)</f>
        <v>62.17777777777777</v>
      </c>
      <c r="AD447" s="33">
        <f>VLOOKUP($B447,Pitchers!$A1:$S251,5,FALSE)</f>
        <v>3.8531451036454616</v>
      </c>
      <c r="AE447" s="33">
        <f>VLOOKUP($B447,Pitchers!$A1:$S251,6,FALSE)</f>
        <v>1.2011079342387421</v>
      </c>
      <c r="AF447" s="31">
        <f>VLOOKUP($B447,Pitchers!$A1:$S251,7,FALSE)</f>
        <v>65.135555555555555</v>
      </c>
      <c r="AG447" s="31">
        <f>VLOOKUP($B447,Pitchers!$A1:$S251,8,FALSE)</f>
        <v>3.0266666666666668</v>
      </c>
      <c r="AH447" s="31">
        <f>VLOOKUP($B447,Pitchers!$A1:$S251,9,FALSE)</f>
        <v>0.97777777777777775</v>
      </c>
      <c r="AI447" s="31">
        <f>VLOOKUP($B447,Pitchers!$A1:$S251,10,FALSE)</f>
        <v>26.62</v>
      </c>
      <c r="AJ447" s="31">
        <f>VLOOKUP($B447,Pitchers!$A1:$S251,11,FALSE)</f>
        <v>54.481111111111112</v>
      </c>
      <c r="AK447" s="31">
        <f>VLOOKUP($B447,Pitchers!$A1:$S251,12,FALSE)</f>
        <v>20.201111111111111</v>
      </c>
      <c r="AL447" s="31">
        <f>VLOOKUP($B447,Pitchers!$A1:$S251,13,FALSE)</f>
        <v>8</v>
      </c>
      <c r="AM447" s="31">
        <f>VLOOKUP($B447,Pitchers!$A1:$S251,14,FALSE)</f>
        <v>58.831111111111113</v>
      </c>
      <c r="AN447" s="31">
        <f>VLOOKUP($B447,Pitchers!$A1:$S251,15,FALSE)</f>
        <v>1.1111111111111112E-2</v>
      </c>
      <c r="AO447" s="31">
        <f>VLOOKUP($B447,Pitchers!$A1:$S251,16,FALSE)</f>
        <v>2.9622222222222221</v>
      </c>
      <c r="AP447" s="31">
        <f>VLOOKUP($B447,Pitchers!$A1:$S251,17,FALSE)</f>
        <v>0</v>
      </c>
      <c r="AQ447" s="31">
        <f>VLOOKUP($B447,Pitchers!$A1:$S251,18,FALSE)</f>
        <v>8</v>
      </c>
      <c r="AR447" s="31">
        <f>VLOOKUP($B447,Pitchers!$A1:$S251,19,FALSE)</f>
        <v>0</v>
      </c>
    </row>
    <row r="448" spans="1:44" ht="20.100000000000001" customHeight="1">
      <c r="A448" s="25">
        <f ca="1">RANK(I448,I$2:I$651)</f>
        <v>447</v>
      </c>
      <c r="B448" s="26" t="s">
        <v>572</v>
      </c>
      <c r="C448" s="27" t="s">
        <v>99</v>
      </c>
      <c r="D448" s="27" t="s">
        <v>69</v>
      </c>
      <c r="E448" s="36" t="s">
        <v>31</v>
      </c>
      <c r="F448" s="37">
        <f ca="1">VLOOKUP(B448,SP!A1:I161,IF(Settings!$J$13="points",4,7),FALSE)</f>
        <v>123</v>
      </c>
      <c r="G448" s="30">
        <f>(AC448*Settings!$F$2)+(AF448*Settings!$F$5)+(AG448*Settings!$F$6)+(AH448*Settings!$F$7)+(AI448*Settings!$F$8)+(AJ448*Settings!$F$9)+(AK448*Settings!$F$10)+(AL448*Settings!$F$11)+(AM448*Settings!$F$12)+(AN448*Settings!$F$13)+(AO448*Settings!$F$14)+(AP448*Settings!$F$15)+(AQ448*Settings!$F$16)+(AR448*Settings!$F$17)</f>
        <v>268.03753333333333</v>
      </c>
      <c r="H448" s="31">
        <f>VLOOKUP(B448,'Standard Deviations'!$A1:$D651,4,FALSE)</f>
        <v>-2.4253444735603122</v>
      </c>
      <c r="I448" s="32">
        <f ca="1">IF(Settings!$J$16="no",VLOOKUP(B448,SP!A1:I161,IF(Settings!$J$13="points",6,9),FALSE),VLOOKUP(B448,'SP+RP'!$A1:$I251,IF(Settings!$J$13="points",6,9),FALSE))</f>
        <v>-1.557759019788854</v>
      </c>
      <c r="J448" s="31"/>
      <c r="K448" s="31">
        <f ca="1">J448-A448</f>
        <v>-447</v>
      </c>
      <c r="L448" s="31"/>
      <c r="M448" s="31"/>
      <c r="N448" s="31"/>
      <c r="O448" s="31"/>
      <c r="P448" s="31"/>
      <c r="Q448" s="31"/>
      <c r="R448" s="33"/>
      <c r="S448" s="33"/>
      <c r="T448" s="31"/>
      <c r="U448" s="31"/>
      <c r="V448" s="31"/>
      <c r="W448" s="31"/>
      <c r="X448" s="31"/>
      <c r="Y448" s="33"/>
      <c r="Z448" s="33"/>
      <c r="AA448" s="31"/>
      <c r="AB448" s="31"/>
      <c r="AC448" s="31">
        <f>VLOOKUP($B448,Pitchers!$A1:$S251,4,FALSE)</f>
        <v>134.67333333333332</v>
      </c>
      <c r="AD448" s="33">
        <f>VLOOKUP($B448,Pitchers!$A1:$S251,5,FALSE)</f>
        <v>4.2868338201079155</v>
      </c>
      <c r="AE448" s="33">
        <f>VLOOKUP($B448,Pitchers!$A1:$S251,6,FALSE)</f>
        <v>1.3347029024965764</v>
      </c>
      <c r="AF448" s="31">
        <f>VLOOKUP($B448,Pitchers!$A1:$S251,7,FALSE)</f>
        <v>125.56888888888888</v>
      </c>
      <c r="AG448" s="31">
        <f>VLOOKUP($B448,Pitchers!$A1:$S251,8,FALSE)</f>
        <v>7.4088888888888889</v>
      </c>
      <c r="AH448" s="31">
        <f>VLOOKUP($B448,Pitchers!$A1:$S251,9,FALSE)</f>
        <v>0</v>
      </c>
      <c r="AI448" s="31">
        <f>VLOOKUP($B448,Pitchers!$A1:$S251,10,FALSE)</f>
        <v>64.146911111111109</v>
      </c>
      <c r="AJ448" s="31">
        <f>VLOOKUP($B448,Pitchers!$A1:$S251,11,FALSE)</f>
        <v>129.53</v>
      </c>
      <c r="AK448" s="31">
        <f>VLOOKUP($B448,Pitchers!$A1:$S251,12,FALSE)</f>
        <v>50.218888888888891</v>
      </c>
      <c r="AL448" s="31">
        <f>VLOOKUP($B448,Pitchers!$A1:$S251,13,FALSE)</f>
        <v>18.166666666666668</v>
      </c>
      <c r="AM448" s="31">
        <f>VLOOKUP($B448,Pitchers!$A1:$S251,14,FALSE)</f>
        <v>25.936666666666667</v>
      </c>
      <c r="AN448" s="31">
        <f>VLOOKUP($B448,Pitchers!$A1:$S251,15,FALSE)</f>
        <v>25.592222222222222</v>
      </c>
      <c r="AO448" s="31">
        <f>VLOOKUP($B448,Pitchers!$A1:$S251,16,FALSE)</f>
        <v>8.5466666666666669</v>
      </c>
      <c r="AP448" s="31">
        <f>VLOOKUP($B448,Pitchers!$A1:$S251,17,FALSE)</f>
        <v>12</v>
      </c>
      <c r="AQ448" s="31">
        <f>VLOOKUP($B448,Pitchers!$A1:$S251,18,FALSE)</f>
        <v>0</v>
      </c>
      <c r="AR448" s="31">
        <f>VLOOKUP($B448,Pitchers!$A1:$S251,19,FALSE)</f>
        <v>0</v>
      </c>
    </row>
    <row r="449" spans="1:44" ht="18.600000000000001" customHeight="1">
      <c r="A449" s="25">
        <f ca="1">RANK(I449,I$2:I$651)</f>
        <v>448</v>
      </c>
      <c r="B449" s="26" t="s">
        <v>476</v>
      </c>
      <c r="C449" s="27" t="s">
        <v>258</v>
      </c>
      <c r="D449" s="27" t="s">
        <v>69</v>
      </c>
      <c r="E449" s="28" t="s">
        <v>23</v>
      </c>
      <c r="F449" s="29">
        <f ca="1">VLOOKUP(B449,OF!A1:I139,IF(Settings!$J$13="points",4,7),FALSE)</f>
        <v>99</v>
      </c>
      <c r="G449" s="30">
        <f>(M449*Settings!$B$2)+(N449*Settings!$B$3)+(O449*Settings!$B$4)+(P449*Settings!$B$5)+(Q449*Settings!$B$6)+((T449-U449-V449-O449)*Settings!$B$9)+(U449*Settings!$B$10)+(V449*Settings!$B$11)+(W449*Settings!$B$12)+(X449*Settings!$B$13)+(AA449*Settings!$B$16)</f>
        <v>194.09861111111113</v>
      </c>
      <c r="H449" s="31">
        <f>VLOOKUP(B449,'Standard Deviations'!$A1:$D651,4,FALSE)</f>
        <v>-1.7165522409424261</v>
      </c>
      <c r="I449" s="32">
        <f ca="1">VLOOKUP(B449,OF!A1:I139,IF(Settings!$J$13="points",6,9),FALSE)</f>
        <v>-1.5596229082303996</v>
      </c>
      <c r="J449" s="31"/>
      <c r="K449" s="31">
        <f ca="1">J449-A449</f>
        <v>-448</v>
      </c>
      <c r="L449" s="31"/>
      <c r="M449" s="31">
        <f>VLOOKUP($B449,Hitters!$A1:$R401,4,FALSE)</f>
        <v>307.87777777777779</v>
      </c>
      <c r="N449" s="31">
        <f>VLOOKUP($B449,Hitters!$A1:$R401,5,FALSE)</f>
        <v>36.647777777777776</v>
      </c>
      <c r="O449" s="31">
        <f>VLOOKUP($B449,Hitters!$A1:$R401,6,FALSE)</f>
        <v>6.985555555555556</v>
      </c>
      <c r="P449" s="31">
        <f>VLOOKUP($B449,Hitters!$A1:$R401,7,FALSE)</f>
        <v>32.18</v>
      </c>
      <c r="Q449" s="31">
        <f>VLOOKUP($B449,Hitters!$A1:$R401,8,FALSE)</f>
        <v>9.0788888888888888</v>
      </c>
      <c r="R449" s="33">
        <f>VLOOKUP($B449,Hitters!$A$1:$R$401,14,FALSE)</f>
        <v>0.25353495254249525</v>
      </c>
      <c r="S449" s="33">
        <f>VLOOKUP($B449,Hitters!$A$1:$R$401,15,FALSE)</f>
        <v>0.31524856600411311</v>
      </c>
      <c r="T449" s="31">
        <f>VLOOKUP($B449,Hitters!$A$1:$R$401,9,FALSE)</f>
        <v>78.057777777777787</v>
      </c>
      <c r="U449" s="31">
        <f>VLOOKUP($B449,Hitters!$A$1:$R$401,10,FALSE)</f>
        <v>14.735555555555555</v>
      </c>
      <c r="V449" s="31">
        <f>VLOOKUP($B449,Hitters!$A$1:$R$401,11,FALSE)</f>
        <v>2.0216666666666665</v>
      </c>
      <c r="W449" s="31">
        <f>VLOOKUP($B449,Hitters!$A$1:$R$401,12,FALSE)</f>
        <v>22.885555555555555</v>
      </c>
      <c r="X449" s="31">
        <f>VLOOKUP($B449,Hitters!$A$1:$R$401,13,FALSE)</f>
        <v>67.131666666666675</v>
      </c>
      <c r="Y449" s="33">
        <f>VLOOKUP($B449,Hitters!$A$1:$R$401,16,FALSE)</f>
        <v>0.38259771193475045</v>
      </c>
      <c r="Z449" s="33">
        <f>VLOOKUP($B449,Hitters!$A$1:$R$401,17,FALSE)</f>
        <v>0.69784627793886356</v>
      </c>
      <c r="AA449" s="31">
        <f>VLOOKUP($B449,Hitters!$A1:$R401,18,FALSE)</f>
        <v>0</v>
      </c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</row>
    <row r="450" spans="1:44" ht="18.600000000000001" customHeight="1">
      <c r="A450" s="25">
        <f ca="1">RANK(I450,I$2:I$651)</f>
        <v>449</v>
      </c>
      <c r="B450" s="26" t="s">
        <v>420</v>
      </c>
      <c r="C450" s="27" t="s">
        <v>137</v>
      </c>
      <c r="D450" s="27" t="s">
        <v>74</v>
      </c>
      <c r="E450" s="28" t="s">
        <v>23</v>
      </c>
      <c r="F450" s="29">
        <f ca="1">VLOOKUP(B450,OF!A1:I139,IF(Settings!$J$13="points",4,7),FALSE)</f>
        <v>100</v>
      </c>
      <c r="G450" s="30">
        <f>(M450*Settings!$B$2)+(N450*Settings!$B$3)+(O450*Settings!$B$4)+(P450*Settings!$B$5)+(Q450*Settings!$B$6)+((T450-U450-V450-O450)*Settings!$B$9)+(U450*Settings!$B$10)+(V450*Settings!$B$11)+(W450*Settings!$B$12)+(X450*Settings!$B$13)+(AA450*Settings!$B$16)</f>
        <v>225.46305555555557</v>
      </c>
      <c r="H450" s="31">
        <f>VLOOKUP(B450,'Standard Deviations'!$A1:$D651,4,FALSE)</f>
        <v>-1.7191550837920109</v>
      </c>
      <c r="I450" s="32">
        <f ca="1">VLOOKUP(B450,OF!A1:I139,IF(Settings!$J$13="points",6,9),FALSE)</f>
        <v>-1.5622287378343835</v>
      </c>
      <c r="J450" s="31"/>
      <c r="K450" s="31">
        <f ca="1">J450-A450</f>
        <v>-449</v>
      </c>
      <c r="L450" s="31"/>
      <c r="M450" s="31">
        <f>VLOOKUP($B450,Hitters!$A1:$R401,4,FALSE)</f>
        <v>347.33333333333331</v>
      </c>
      <c r="N450" s="31">
        <f>VLOOKUP($B450,Hitters!$A1:$R401,5,FALSE)</f>
        <v>46.225555555555559</v>
      </c>
      <c r="O450" s="31">
        <f>VLOOKUP($B450,Hitters!$A1:$R401,6,FALSE)</f>
        <v>15.402222222222221</v>
      </c>
      <c r="P450" s="31">
        <f>VLOOKUP($B450,Hitters!$A1:$R401,7,FALSE)</f>
        <v>46.107777777777777</v>
      </c>
      <c r="Q450" s="31">
        <f>VLOOKUP($B450,Hitters!$A1:$R401,8,FALSE)</f>
        <v>4.76</v>
      </c>
      <c r="R450" s="33">
        <f>VLOOKUP($B450,Hitters!$A$1:$R$401,14,FALSE)</f>
        <v>0.22446257197696737</v>
      </c>
      <c r="S450" s="33">
        <f>VLOOKUP($B450,Hitters!$A$1:$R$401,15,FALSE)</f>
        <v>0.31369410491978822</v>
      </c>
      <c r="T450" s="31">
        <f>VLOOKUP($B450,Hitters!$A$1:$R$401,9,FALSE)</f>
        <v>77.963333333333324</v>
      </c>
      <c r="U450" s="31">
        <f>VLOOKUP($B450,Hitters!$A$1:$R$401,10,FALSE)</f>
        <v>16.371111111111109</v>
      </c>
      <c r="V450" s="31">
        <f>VLOOKUP($B450,Hitters!$A$1:$R$401,11,FALSE)</f>
        <v>0.98666666666666669</v>
      </c>
      <c r="W450" s="31">
        <f>VLOOKUP($B450,Hitters!$A$1:$R$401,12,FALSE)</f>
        <v>39.651111111111113</v>
      </c>
      <c r="X450" s="31">
        <f>VLOOKUP($B450,Hitters!$A$1:$R$401,13,FALSE)</f>
        <v>117.11166666666666</v>
      </c>
      <c r="Y450" s="33">
        <f>VLOOKUP($B450,Hitters!$A$1:$R$401,16,FALSE)</f>
        <v>0.41031030070377483</v>
      </c>
      <c r="Z450" s="33">
        <f>VLOOKUP($B450,Hitters!$A$1:$R$401,17,FALSE)</f>
        <v>0.72400440562356305</v>
      </c>
      <c r="AA450" s="31">
        <f>VLOOKUP($B450,Hitters!$A1:$R401,18,FALSE)</f>
        <v>0</v>
      </c>
      <c r="AB450" s="31"/>
      <c r="AC450" s="31"/>
      <c r="AD450" s="33"/>
      <c r="AE450" s="33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</row>
    <row r="451" spans="1:44" ht="18.600000000000001" customHeight="1">
      <c r="A451" s="25">
        <f ca="1">RANK(I451,I$2:I$651)</f>
        <v>450</v>
      </c>
      <c r="B451" s="26" t="s">
        <v>634</v>
      </c>
      <c r="C451" s="27" t="s">
        <v>140</v>
      </c>
      <c r="D451" s="27" t="s">
        <v>69</v>
      </c>
      <c r="E451" s="36" t="s">
        <v>31</v>
      </c>
      <c r="F451" s="37">
        <f ca="1">VLOOKUP(B451,SP!A1:I161,IF(Settings!$J$13="points",4,7),FALSE)</f>
        <v>124</v>
      </c>
      <c r="G451" s="30">
        <f>(AC451*Settings!$F$2)+(AF451*Settings!$F$5)+(AG451*Settings!$F$6)+(AH451*Settings!$F$7)+(AI451*Settings!$F$8)+(AJ451*Settings!$F$9)+(AK451*Settings!$F$10)+(AL451*Settings!$F$11)+(AM451*Settings!$F$12)+(AN451*Settings!$F$13)+(AO451*Settings!$F$14)+(AP451*Settings!$F$15)+(AQ451*Settings!$F$16)+(AR451*Settings!$F$17)</f>
        <v>243.05999999999995</v>
      </c>
      <c r="H451" s="31">
        <f>VLOOKUP(B451,'Standard Deviations'!$A1:$D651,4,FALSE)</f>
        <v>-2.43131068362477</v>
      </c>
      <c r="I451" s="32">
        <f ca="1">IF(Settings!$J$16="no",VLOOKUP(B451,SP!A1:I161,IF(Settings!$J$13="points",6,9),FALSE),VLOOKUP(B451,'SP+RP'!$A1:$I251,IF(Settings!$J$13="points",6,9),FALSE))</f>
        <v>-1.5637341958051523</v>
      </c>
      <c r="J451" s="31"/>
      <c r="K451" s="31">
        <f ca="1">J451-A451</f>
        <v>-450</v>
      </c>
      <c r="L451" s="31"/>
      <c r="M451" s="31"/>
      <c r="N451" s="31"/>
      <c r="O451" s="31"/>
      <c r="P451" s="31"/>
      <c r="Q451" s="31"/>
      <c r="R451" s="33"/>
      <c r="S451" s="33"/>
      <c r="T451" s="31"/>
      <c r="U451" s="31"/>
      <c r="V451" s="31"/>
      <c r="W451" s="31"/>
      <c r="X451" s="31"/>
      <c r="Y451" s="33"/>
      <c r="Z451" s="33"/>
      <c r="AA451" s="31"/>
      <c r="AB451" s="31"/>
      <c r="AC451" s="31">
        <f>VLOOKUP($B451,Pitchers!$A1:$S251,4,FALSE)</f>
        <v>121.93666666666667</v>
      </c>
      <c r="AD451" s="33">
        <f>VLOOKUP($B451,Pitchers!$A1:$S251,5,FALSE)</f>
        <v>4.1677373499904329</v>
      </c>
      <c r="AE451" s="33">
        <f>VLOOKUP($B451,Pitchers!$A1:$S251,6,FALSE)</f>
        <v>1.2829064268336021</v>
      </c>
      <c r="AF451" s="31">
        <f>VLOOKUP($B451,Pitchers!$A1:$S251,7,FALSE)</f>
        <v>105.89999999999999</v>
      </c>
      <c r="AG451" s="31">
        <f>VLOOKUP($B451,Pitchers!$A1:$S251,8,FALSE)</f>
        <v>5.9333333333333336</v>
      </c>
      <c r="AH451" s="31">
        <f>VLOOKUP($B451,Pitchers!$A1:$S251,9,FALSE)</f>
        <v>0</v>
      </c>
      <c r="AI451" s="31">
        <f>VLOOKUP($B451,Pitchers!$A1:$S251,10,FALSE)</f>
        <v>56.466666666666669</v>
      </c>
      <c r="AJ451" s="31">
        <f>VLOOKUP($B451,Pitchers!$A1:$S251,11,FALSE)</f>
        <v>118.16666666666667</v>
      </c>
      <c r="AK451" s="31">
        <f>VLOOKUP($B451,Pitchers!$A1:$S251,12,FALSE)</f>
        <v>38.266666666666666</v>
      </c>
      <c r="AL451" s="31">
        <f>VLOOKUP($B451,Pitchers!$A1:$S251,13,FALSE)</f>
        <v>16.266666666666666</v>
      </c>
      <c r="AM451" s="31">
        <f>VLOOKUP($B451,Pitchers!$A1:$S251,14,FALSE)</f>
        <v>29.966666666666665</v>
      </c>
      <c r="AN451" s="31">
        <f>VLOOKUP($B451,Pitchers!$A1:$S251,15,FALSE)</f>
        <v>19.333333333333332</v>
      </c>
      <c r="AO451" s="31">
        <f>VLOOKUP($B451,Pitchers!$A1:$S251,16,FALSE)</f>
        <v>8.0666666666666664</v>
      </c>
      <c r="AP451" s="31">
        <f>VLOOKUP($B451,Pitchers!$A1:$S251,17,FALSE)</f>
        <v>12</v>
      </c>
      <c r="AQ451" s="31">
        <f>VLOOKUP($B451,Pitchers!$A1:$S251,18,FALSE)</f>
        <v>0</v>
      </c>
      <c r="AR451" s="31">
        <f>VLOOKUP($B451,Pitchers!$A1:$S251,19,FALSE)</f>
        <v>0</v>
      </c>
    </row>
    <row r="452" spans="1:44" ht="18.600000000000001" customHeight="1">
      <c r="A452" s="25">
        <f ca="1">RANK(I452,I$2:I$651)</f>
        <v>451</v>
      </c>
      <c r="B452" s="26" t="s">
        <v>533</v>
      </c>
      <c r="C452" s="27" t="s">
        <v>94</v>
      </c>
      <c r="D452" s="27" t="s">
        <v>69</v>
      </c>
      <c r="E452" s="42" t="s">
        <v>34</v>
      </c>
      <c r="F452" s="43">
        <f ca="1">VLOOKUP(B452,RP!A1:I91,IF(Settings!$J$13="points",4,7),FALSE)</f>
        <v>76</v>
      </c>
      <c r="G452" s="30">
        <f>(AC452*Settings!$F$2)+(AF452*Settings!$F$5)+(AG452*Settings!$F$6)+(AH452*Settings!$F$7)+(AI452*Settings!$F$8)+(AJ452*Settings!$F$9)+(AK452*Settings!$F$10)+(AL452*Settings!$F$11)+(AM452*Settings!$F$12)+(AN452*Settings!$F$13)+(AO452*Settings!$F$14)+(AP452*Settings!$F$15)+(AQ452*Settings!$F$16)+(AR452*Settings!$F$17)</f>
        <v>130.74274444444447</v>
      </c>
      <c r="H452" s="31">
        <f>VLOOKUP(B452,'Standard Deviations'!$A1:$D651,4,FALSE)</f>
        <v>-2.437634309724531</v>
      </c>
      <c r="I452" s="32">
        <f ca="1">IF(Settings!$J$16="no",VLOOKUP(B452,RP!A1:I91,IF(Settings!$J$13="points",6,9),FALSE),VLOOKUP(B452,'SP+RP'!$A1:$I251,IF(Settings!$J$13="points",6,9),FALSE))</f>
        <v>-1.5700582634777218</v>
      </c>
      <c r="J452" s="31"/>
      <c r="K452" s="31">
        <f ca="1">J452-A452</f>
        <v>-451</v>
      </c>
      <c r="L452" s="31"/>
      <c r="M452" s="31"/>
      <c r="N452" s="31"/>
      <c r="O452" s="31"/>
      <c r="P452" s="31"/>
      <c r="Q452" s="31"/>
      <c r="R452" s="33"/>
      <c r="S452" s="33"/>
      <c r="T452" s="31"/>
      <c r="U452" s="31"/>
      <c r="V452" s="31"/>
      <c r="W452" s="31"/>
      <c r="X452" s="31"/>
      <c r="Y452" s="33"/>
      <c r="Z452" s="33"/>
      <c r="AA452" s="31"/>
      <c r="AB452" s="31"/>
      <c r="AC452" s="31">
        <f>VLOOKUP($B452,Pitchers!$A1:$S251,4,FALSE)</f>
        <v>61.49666666666667</v>
      </c>
      <c r="AD452" s="33">
        <f>VLOOKUP($B452,Pitchers!$A1:$S251,5,FALSE)</f>
        <v>3.7591110629302404</v>
      </c>
      <c r="AE452" s="33">
        <f>VLOOKUP($B452,Pitchers!$A1:$S251,6,FALSE)</f>
        <v>1.2226317596256344</v>
      </c>
      <c r="AF452" s="31">
        <f>VLOOKUP($B452,Pitchers!$A1:$S251,7,FALSE)</f>
        <v>60.948333333333331</v>
      </c>
      <c r="AG452" s="31">
        <f>VLOOKUP($B452,Pitchers!$A1:$S251,8,FALSE)</f>
        <v>3.0233333333333334</v>
      </c>
      <c r="AH452" s="31">
        <f>VLOOKUP($B452,Pitchers!$A1:$S251,9,FALSE)</f>
        <v>1.5222222222222221</v>
      </c>
      <c r="AI452" s="31">
        <f>VLOOKUP($B452,Pitchers!$A1:$S251,10,FALSE)</f>
        <v>25.685866666666669</v>
      </c>
      <c r="AJ452" s="31">
        <f>VLOOKUP($B452,Pitchers!$A1:$S251,11,FALSE)</f>
        <v>54.668888888888887</v>
      </c>
      <c r="AK452" s="31">
        <f>VLOOKUP($B452,Pitchers!$A1:$S251,12,FALSE)</f>
        <v>20.518888888888888</v>
      </c>
      <c r="AL452" s="31">
        <f>VLOOKUP($B452,Pitchers!$A1:$S251,13,FALSE)</f>
        <v>8</v>
      </c>
      <c r="AM452" s="31">
        <f>VLOOKUP($B452,Pitchers!$A1:$S251,14,FALSE)</f>
        <v>62.88</v>
      </c>
      <c r="AN452" s="31">
        <f>VLOOKUP($B452,Pitchers!$A1:$S251,15,FALSE)</f>
        <v>0</v>
      </c>
      <c r="AO452" s="31">
        <f>VLOOKUP($B452,Pitchers!$A1:$S251,16,FALSE)</f>
        <v>3.0333333333333332</v>
      </c>
      <c r="AP452" s="31">
        <f>VLOOKUP($B452,Pitchers!$A1:$S251,17,FALSE)</f>
        <v>0</v>
      </c>
      <c r="AQ452" s="31">
        <f>VLOOKUP($B452,Pitchers!$A1:$S251,18,FALSE)</f>
        <v>19.5</v>
      </c>
      <c r="AR452" s="31">
        <f>VLOOKUP($B452,Pitchers!$A1:$S251,19,FALSE)</f>
        <v>1</v>
      </c>
    </row>
    <row r="453" spans="1:44" ht="18.600000000000001" customHeight="1">
      <c r="A453" s="25">
        <f ca="1">RANK(I453,I$2:I$651)</f>
        <v>452</v>
      </c>
      <c r="B453" s="26" t="s">
        <v>647</v>
      </c>
      <c r="C453" s="27" t="s">
        <v>137</v>
      </c>
      <c r="D453" s="27" t="s">
        <v>74</v>
      </c>
      <c r="E453" s="40" t="s">
        <v>7</v>
      </c>
      <c r="F453" s="41">
        <f ca="1">VLOOKUP(B453,'1B'!A1:I63,IF(Settings!$J$13="points",4,7),FALSE)</f>
        <v>39</v>
      </c>
      <c r="G453" s="30">
        <f>(M453*Settings!$B$2)+(N453*Settings!$B$3)+(O453*Settings!$B$4)+(P453*Settings!$B$5)+(Q453*Settings!$B$6)+((T453-U453-V453-O453)*Settings!$B$9)+(U453*Settings!$B$10)+(V453*Settings!$B$11)+(W453*Settings!$B$12)+(X453*Settings!$B$13)+(AA453*Settings!$B$16)</f>
        <v>265.80722222222226</v>
      </c>
      <c r="H453" s="31">
        <f>VLOOKUP(B453,'Standard Deviations'!$A1:$D651,4,FALSE)</f>
        <v>-1.3462791610202176</v>
      </c>
      <c r="I453" s="32">
        <f ca="1">IF(Settings!$J$15="no",VLOOKUP(B453,'1B'!A1:I63,IF(Settings!$J$13="points",6,9),FALSE),VLOOKUP(B453,'1B+3B'!$A1:$I104,IF(Settings!$J$13="points",6,9),FALSE))</f>
        <v>-1.5717617463501785</v>
      </c>
      <c r="J453" s="31"/>
      <c r="K453" s="31">
        <f ca="1">J453-A453</f>
        <v>-452</v>
      </c>
      <c r="L453" s="31"/>
      <c r="M453" s="31">
        <f>VLOOKUP($B453,Hitters!$A1:$R401,4,FALSE)</f>
        <v>397.56666666666666</v>
      </c>
      <c r="N453" s="31">
        <f>VLOOKUP($B453,Hitters!$A1:$R401,5,FALSE)</f>
        <v>51.391111111111115</v>
      </c>
      <c r="O453" s="31">
        <f>VLOOKUP($B453,Hitters!$A1:$R401,6,FALSE)</f>
        <v>13.634444444444446</v>
      </c>
      <c r="P453" s="31">
        <f>VLOOKUP($B453,Hitters!$A1:$R401,7,FALSE)</f>
        <v>54.456666666666671</v>
      </c>
      <c r="Q453" s="31">
        <f>VLOOKUP($B453,Hitters!$A1:$R401,8,FALSE)</f>
        <v>9.9999999999999985E-3</v>
      </c>
      <c r="R453" s="33">
        <f>VLOOKUP($B453,Hitters!$A$1:$R$401,14,FALSE)</f>
        <v>0.23698052038791537</v>
      </c>
      <c r="S453" s="33">
        <f>VLOOKUP($B453,Hitters!$A$1:$R$401,15,FALSE)</f>
        <v>0.34816304846139468</v>
      </c>
      <c r="T453" s="31">
        <f>VLOOKUP($B453,Hitters!$A$1:$R$401,9,FALSE)</f>
        <v>94.215555555555554</v>
      </c>
      <c r="U453" s="31">
        <f>VLOOKUP($B453,Hitters!$A$1:$R$401,10,FALSE)</f>
        <v>22.016666666666666</v>
      </c>
      <c r="V453" s="31">
        <f>VLOOKUP($B453,Hitters!$A$1:$R$401,11,FALSE)</f>
        <v>0.81666666666666676</v>
      </c>
      <c r="W453" s="31">
        <f>VLOOKUP($B453,Hitters!$A$1:$R$401,12,FALSE)</f>
        <v>62.12</v>
      </c>
      <c r="X453" s="31">
        <f>VLOOKUP($B453,Hitters!$A$1:$R$401,13,FALSE)</f>
        <v>121.89888888888889</v>
      </c>
      <c r="Y453" s="33">
        <f>VLOOKUP($B453,Hitters!$A$1:$R$401,16,FALSE)</f>
        <v>0.3993516111902965</v>
      </c>
      <c r="Z453" s="33">
        <f>VLOOKUP($B453,Hitters!$A$1:$R$401,17,FALSE)</f>
        <v>0.74751465965169117</v>
      </c>
      <c r="AA453" s="31">
        <f>VLOOKUP($B453,Hitters!$A1:$R401,18,FALSE)</f>
        <v>0</v>
      </c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</row>
    <row r="454" spans="1:44" ht="18.600000000000001" customHeight="1">
      <c r="A454" s="25">
        <f ca="1">RANK(I454,I$2:I$651)</f>
        <v>453</v>
      </c>
      <c r="B454" s="26" t="s">
        <v>596</v>
      </c>
      <c r="C454" s="27" t="s">
        <v>95</v>
      </c>
      <c r="D454" s="27" t="s">
        <v>74</v>
      </c>
      <c r="E454" s="42" t="s">
        <v>34</v>
      </c>
      <c r="F454" s="43">
        <f ca="1">VLOOKUP(B454,RP!A1:I91,IF(Settings!$J$13="points",4,7),FALSE)</f>
        <v>77</v>
      </c>
      <c r="G454" s="30">
        <f>(AC454*Settings!$F$2)+(AF454*Settings!$F$5)+(AG454*Settings!$F$6)+(AH454*Settings!$F$7)+(AI454*Settings!$F$8)+(AJ454*Settings!$F$9)+(AK454*Settings!$F$10)+(AL454*Settings!$F$11)+(AM454*Settings!$F$12)+(AN454*Settings!$F$13)+(AO454*Settings!$F$14)+(AP454*Settings!$F$15)+(AQ454*Settings!$F$16)+(AR454*Settings!$F$17)</f>
        <v>131.98972222222224</v>
      </c>
      <c r="H454" s="31">
        <f>VLOOKUP(B454,'Standard Deviations'!$A1:$D651,4,FALSE)</f>
        <v>-2.4401248372100017</v>
      </c>
      <c r="I454" s="32">
        <f ca="1">IF(Settings!$J$16="no",VLOOKUP(B454,RP!A1:I91,IF(Settings!$J$13="points",6,9),FALSE),VLOOKUP(B454,'SP+RP'!$A1:$I251,IF(Settings!$J$13="points",6,9),FALSE))</f>
        <v>-1.5725408094319153</v>
      </c>
      <c r="J454" s="31"/>
      <c r="K454" s="31">
        <f ca="1">J454-A454</f>
        <v>-453</v>
      </c>
      <c r="L454" s="31"/>
      <c r="M454" s="31"/>
      <c r="N454" s="31"/>
      <c r="O454" s="31"/>
      <c r="P454" s="31"/>
      <c r="Q454" s="31"/>
      <c r="R454" s="33"/>
      <c r="S454" s="33"/>
      <c r="T454" s="31"/>
      <c r="U454" s="31"/>
      <c r="V454" s="31"/>
      <c r="W454" s="31"/>
      <c r="X454" s="31"/>
      <c r="Y454" s="33"/>
      <c r="Z454" s="33"/>
      <c r="AA454" s="31"/>
      <c r="AB454" s="31"/>
      <c r="AC454" s="31">
        <f>VLOOKUP($B454,Pitchers!$A1:$S251,4,FALSE)</f>
        <v>57.02</v>
      </c>
      <c r="AD454" s="33">
        <f>VLOOKUP($B454,Pitchers!$A1:$S251,5,FALSE)</f>
        <v>3.7968256752016831</v>
      </c>
      <c r="AE454" s="33">
        <f>VLOOKUP($B454,Pitchers!$A1:$S251,6,FALSE)</f>
        <v>1.2125764838847968</v>
      </c>
      <c r="AF454" s="31">
        <f>VLOOKUP($B454,Pitchers!$A1:$S251,7,FALSE)</f>
        <v>62.951666666666661</v>
      </c>
      <c r="AG454" s="31">
        <f>VLOOKUP($B454,Pitchers!$A1:$S251,8,FALSE)</f>
        <v>2.4666666666666668</v>
      </c>
      <c r="AH454" s="31">
        <f>VLOOKUP($B454,Pitchers!$A1:$S251,9,FALSE)</f>
        <v>2.2111111111111112</v>
      </c>
      <c r="AI454" s="31">
        <f>VLOOKUP($B454,Pitchers!$A1:$S251,10,FALSE)</f>
        <v>24.054999999999996</v>
      </c>
      <c r="AJ454" s="31">
        <f>VLOOKUP($B454,Pitchers!$A1:$S251,11,FALSE)</f>
        <v>49.857777777777777</v>
      </c>
      <c r="AK454" s="31">
        <f>VLOOKUP($B454,Pitchers!$A1:$S251,12,FALSE)</f>
        <v>19.283333333333335</v>
      </c>
      <c r="AL454" s="31">
        <f>VLOOKUP($B454,Pitchers!$A1:$S251,13,FALSE)</f>
        <v>6.5666666666666664</v>
      </c>
      <c r="AM454" s="31">
        <f>VLOOKUP($B454,Pitchers!$A1:$S251,14,FALSE)</f>
        <v>58.296666666666674</v>
      </c>
      <c r="AN454" s="31">
        <f>VLOOKUP($B454,Pitchers!$A1:$S251,15,FALSE)</f>
        <v>0.70000000000000007</v>
      </c>
      <c r="AO454" s="31">
        <f>VLOOKUP($B454,Pitchers!$A1:$S251,16,FALSE)</f>
        <v>2.0188888888888887</v>
      </c>
      <c r="AP454" s="31">
        <f>VLOOKUP($B454,Pitchers!$A1:$S251,17,FALSE)</f>
        <v>0</v>
      </c>
      <c r="AQ454" s="31">
        <f>VLOOKUP($B454,Pitchers!$A1:$S251,18,FALSE)</f>
        <v>19</v>
      </c>
      <c r="AR454" s="31">
        <f>VLOOKUP($B454,Pitchers!$A1:$S251,19,FALSE)</f>
        <v>0</v>
      </c>
    </row>
    <row r="455" spans="1:44" ht="18.600000000000001" customHeight="1">
      <c r="A455" s="25">
        <f ca="1">RANK(I455,I$2:I$651)</f>
        <v>454</v>
      </c>
      <c r="B455" s="26" t="s">
        <v>484</v>
      </c>
      <c r="C455" s="27" t="s">
        <v>103</v>
      </c>
      <c r="D455" s="27" t="s">
        <v>69</v>
      </c>
      <c r="E455" s="36" t="s">
        <v>31</v>
      </c>
      <c r="F455" s="37">
        <f ca="1">VLOOKUP(B455,SP!A1:I161,IF(Settings!$J$13="points",4,7),FALSE)</f>
        <v>125</v>
      </c>
      <c r="G455" s="30">
        <f>(AC455*Settings!$F$2)+(AF455*Settings!$F$5)+(AG455*Settings!$F$6)+(AH455*Settings!$F$7)+(AI455*Settings!$F$8)+(AJ455*Settings!$F$9)+(AK455*Settings!$F$10)+(AL455*Settings!$F$11)+(AM455*Settings!$F$12)+(AN455*Settings!$F$13)+(AO455*Settings!$F$14)+(AP455*Settings!$F$15)+(AQ455*Settings!$F$16)+(AR455*Settings!$F$17)</f>
        <v>215.49040000000008</v>
      </c>
      <c r="H455" s="31">
        <f>VLOOKUP(B455,'Standard Deviations'!$A1:$D651,4,FALSE)</f>
        <v>-2.4425590478345347</v>
      </c>
      <c r="I455" s="32">
        <f ca="1">IF(Settings!$J$16="no",VLOOKUP(B455,SP!A1:I161,IF(Settings!$J$13="points",6,9),FALSE),VLOOKUP(B455,'SP+RP'!$A1:$I251,IF(Settings!$J$13="points",6,9),FALSE))</f>
        <v>-1.5749758532541596</v>
      </c>
      <c r="J455" s="31"/>
      <c r="K455" s="31">
        <f ca="1">J455-A455</f>
        <v>-454</v>
      </c>
      <c r="L455" s="31"/>
      <c r="M455" s="31"/>
      <c r="N455" s="31"/>
      <c r="O455" s="31"/>
      <c r="P455" s="31"/>
      <c r="Q455" s="31"/>
      <c r="R455" s="33"/>
      <c r="S455" s="33"/>
      <c r="T455" s="31"/>
      <c r="U455" s="31"/>
      <c r="V455" s="31"/>
      <c r="W455" s="31"/>
      <c r="X455" s="31"/>
      <c r="Y455" s="33"/>
      <c r="Z455" s="33"/>
      <c r="AA455" s="31"/>
      <c r="AB455" s="31"/>
      <c r="AC455" s="31">
        <f>VLOOKUP($B455,Pitchers!$A1:$S251,4,FALSE)</f>
        <v>103.33500000000002</v>
      </c>
      <c r="AD455" s="33">
        <f>VLOOKUP($B455,Pitchers!$A1:$S251,5,FALSE)</f>
        <v>3.9555949097595198</v>
      </c>
      <c r="AE455" s="33">
        <f>VLOOKUP($B455,Pitchers!$A1:$S251,6,FALSE)</f>
        <v>1.3272151524437774</v>
      </c>
      <c r="AF455" s="31">
        <f>VLOOKUP($B455,Pitchers!$A1:$S251,7,FALSE)</f>
        <v>98.963333333333324</v>
      </c>
      <c r="AG455" s="31">
        <f>VLOOKUP($B455,Pitchers!$A1:$S251,8,FALSE)</f>
        <v>6.4216666666666669</v>
      </c>
      <c r="AH455" s="31">
        <f>VLOOKUP($B455,Pitchers!$A1:$S251,9,FALSE)</f>
        <v>0</v>
      </c>
      <c r="AI455" s="31">
        <f>VLOOKUP($B455,Pitchers!$A1:$S251,10,FALSE)</f>
        <v>45.41682222222223</v>
      </c>
      <c r="AJ455" s="31">
        <f>VLOOKUP($B455,Pitchers!$A1:$S251,11,FALSE)</f>
        <v>99.636666666666656</v>
      </c>
      <c r="AK455" s="31">
        <f>VLOOKUP($B455,Pitchers!$A1:$S251,12,FALSE)</f>
        <v>37.511111111111113</v>
      </c>
      <c r="AL455" s="31">
        <f>VLOOKUP($B455,Pitchers!$A1:$S251,13,FALSE)</f>
        <v>9.3666666666666671</v>
      </c>
      <c r="AM455" s="31">
        <f>VLOOKUP($B455,Pitchers!$A1:$S251,14,FALSE)</f>
        <v>23.473333333333333</v>
      </c>
      <c r="AN455" s="31">
        <f>VLOOKUP($B455,Pitchers!$A1:$S251,15,FALSE)</f>
        <v>19.423333333333332</v>
      </c>
      <c r="AO455" s="31">
        <f>VLOOKUP($B455,Pitchers!$A1:$S251,16,FALSE)</f>
        <v>6.6766666666666667</v>
      </c>
      <c r="AP455" s="31">
        <f>VLOOKUP($B455,Pitchers!$A1:$S251,17,FALSE)</f>
        <v>9</v>
      </c>
      <c r="AQ455" s="31">
        <f>VLOOKUP($B455,Pitchers!$A1:$S251,18,FALSE)</f>
        <v>0</v>
      </c>
      <c r="AR455" s="31">
        <f>VLOOKUP($B455,Pitchers!$A1:$S251,19,FALSE)</f>
        <v>0</v>
      </c>
    </row>
    <row r="456" spans="1:44" ht="20.100000000000001" customHeight="1">
      <c r="A456" s="25">
        <f ca="1">RANK(I456,I$2:I$651)</f>
        <v>455</v>
      </c>
      <c r="B456" s="26" t="s">
        <v>534</v>
      </c>
      <c r="C456" s="27" t="s">
        <v>140</v>
      </c>
      <c r="D456" s="27" t="s">
        <v>69</v>
      </c>
      <c r="E456" s="36" t="s">
        <v>31</v>
      </c>
      <c r="F456" s="37">
        <f ca="1">VLOOKUP(B456,SP!A1:I161,IF(Settings!$J$13="points",4,7),FALSE)</f>
        <v>126</v>
      </c>
      <c r="G456" s="30">
        <f>(AC456*Settings!$F$2)+(AF456*Settings!$F$5)+(AG456*Settings!$F$6)+(AH456*Settings!$F$7)+(AI456*Settings!$F$8)+(AJ456*Settings!$F$9)+(AK456*Settings!$F$10)+(AL456*Settings!$F$11)+(AM456*Settings!$F$12)+(AN456*Settings!$F$13)+(AO456*Settings!$F$14)+(AP456*Settings!$F$15)+(AQ456*Settings!$F$16)+(AR456*Settings!$F$17)</f>
        <v>183.57526666666666</v>
      </c>
      <c r="H456" s="31">
        <f>VLOOKUP(B456,'Standard Deviations'!$A1:$D651,4,FALSE)</f>
        <v>-2.446100179489449</v>
      </c>
      <c r="I456" s="32">
        <f ca="1">IF(Settings!$J$16="no",VLOOKUP(B456,SP!A1:I161,IF(Settings!$J$13="points",6,9),FALSE),VLOOKUP(B456,'SP+RP'!$A1:$I251,IF(Settings!$J$13="points",6,9),FALSE))</f>
        <v>-1.578520407485096</v>
      </c>
      <c r="J456" s="31"/>
      <c r="K456" s="31">
        <f ca="1">J456-A456</f>
        <v>-455</v>
      </c>
      <c r="L456" s="31"/>
      <c r="M456" s="31"/>
      <c r="N456" s="31"/>
      <c r="O456" s="31"/>
      <c r="P456" s="31"/>
      <c r="Q456" s="31"/>
      <c r="R456" s="33"/>
      <c r="S456" s="33"/>
      <c r="T456" s="31"/>
      <c r="U456" s="31"/>
      <c r="V456" s="31"/>
      <c r="W456" s="31"/>
      <c r="X456" s="31"/>
      <c r="Y456" s="33"/>
      <c r="Z456" s="33"/>
      <c r="AA456" s="31"/>
      <c r="AB456" s="31"/>
      <c r="AC456" s="31">
        <f>VLOOKUP($B456,Pitchers!$A1:$S251,4,FALSE)</f>
        <v>98.432222222222222</v>
      </c>
      <c r="AD456" s="33">
        <f>VLOOKUP($B456,Pitchers!$A1:$S251,5,FALSE)</f>
        <v>3.9383201074625518</v>
      </c>
      <c r="AE456" s="33">
        <f>VLOOKUP($B456,Pitchers!$A1:$S251,6,FALSE)</f>
        <v>1.2667035410716907</v>
      </c>
      <c r="AF456" s="31">
        <f>VLOOKUP($B456,Pitchers!$A1:$S251,7,FALSE)</f>
        <v>84.754444444444445</v>
      </c>
      <c r="AG456" s="31">
        <f>VLOOKUP($B456,Pitchers!$A1:$S251,8,FALSE)</f>
        <v>5.0211111111111109</v>
      </c>
      <c r="AH456" s="31">
        <f>VLOOKUP($B456,Pitchers!$A1:$S251,9,FALSE)</f>
        <v>0</v>
      </c>
      <c r="AI456" s="31">
        <f>VLOOKUP($B456,Pitchers!$A1:$S251,10,FALSE)</f>
        <v>43.073066666666669</v>
      </c>
      <c r="AJ456" s="31">
        <f>VLOOKUP($B456,Pitchers!$A1:$S251,11,FALSE)</f>
        <v>93.37444444444445</v>
      </c>
      <c r="AK456" s="31">
        <f>VLOOKUP($B456,Pitchers!$A1:$S251,12,FALSE)</f>
        <v>31.310000000000002</v>
      </c>
      <c r="AL456" s="31">
        <f>VLOOKUP($B456,Pitchers!$A1:$S251,13,FALSE)</f>
        <v>12.299999999999999</v>
      </c>
      <c r="AM456" s="31">
        <f>VLOOKUP($B456,Pitchers!$A1:$S251,14,FALSE)</f>
        <v>37.931111111111115</v>
      </c>
      <c r="AN456" s="31">
        <f>VLOOKUP($B456,Pitchers!$A1:$S251,15,FALSE)</f>
        <v>14.14</v>
      </c>
      <c r="AO456" s="31">
        <f>VLOOKUP($B456,Pitchers!$A1:$S251,16,FALSE)</f>
        <v>6.6977777777777776</v>
      </c>
      <c r="AP456" s="31">
        <f>VLOOKUP($B456,Pitchers!$A1:$S251,17,FALSE)</f>
        <v>4</v>
      </c>
      <c r="AQ456" s="31">
        <f>VLOOKUP($B456,Pitchers!$A1:$S251,18,FALSE)</f>
        <v>1</v>
      </c>
      <c r="AR456" s="31">
        <f>VLOOKUP($B456,Pitchers!$A1:$S251,19,FALSE)</f>
        <v>0</v>
      </c>
    </row>
    <row r="457" spans="1:44" ht="18.600000000000001" customHeight="1">
      <c r="A457" s="25">
        <f ca="1">RANK(I457,I$2:I$651)</f>
        <v>456</v>
      </c>
      <c r="B457" s="26" t="s">
        <v>460</v>
      </c>
      <c r="C457" s="27" t="s">
        <v>306</v>
      </c>
      <c r="D457" s="27" t="s">
        <v>74</v>
      </c>
      <c r="E457" s="28" t="s">
        <v>23</v>
      </c>
      <c r="F457" s="29">
        <f ca="1">VLOOKUP(B457,OF!A1:I139,IF(Settings!$J$13="points",4,7),FALSE)</f>
        <v>101</v>
      </c>
      <c r="G457" s="30">
        <f>(M457*Settings!$B$2)+(N457*Settings!$B$3)+(O457*Settings!$B$4)+(P457*Settings!$B$5)+(Q457*Settings!$B$6)+((T457-U457-V457-O457)*Settings!$B$9)+(U457*Settings!$B$10)+(V457*Settings!$B$11)+(W457*Settings!$B$12)+(X457*Settings!$B$13)+(AA457*Settings!$B$16)</f>
        <v>207.00055555555554</v>
      </c>
      <c r="H457" s="31">
        <f>VLOOKUP(B457,'Standard Deviations'!$A1:$D651,4,FALSE)</f>
        <v>-1.7461965743912953</v>
      </c>
      <c r="I457" s="32">
        <f ca="1">VLOOKUP(B457,OF!A1:I139,IF(Settings!$J$13="points",6,9),FALSE)</f>
        <v>-1.5892631746529666</v>
      </c>
      <c r="J457" s="31"/>
      <c r="K457" s="31">
        <f ca="1">J457-A457</f>
        <v>-456</v>
      </c>
      <c r="L457" s="31"/>
      <c r="M457" s="31">
        <f>VLOOKUP($B457,Hitters!$A1:$R401,4,FALSE)</f>
        <v>340.81666666666666</v>
      </c>
      <c r="N457" s="31">
        <f>VLOOKUP($B457,Hitters!$A1:$R401,5,FALSE)</f>
        <v>39.449999999999996</v>
      </c>
      <c r="O457" s="31">
        <f>VLOOKUP($B457,Hitters!$A1:$R401,6,FALSE)</f>
        <v>7.9944444444444445</v>
      </c>
      <c r="P457" s="31">
        <f>VLOOKUP($B457,Hitters!$A1:$R401,7,FALSE)</f>
        <v>38.54</v>
      </c>
      <c r="Q457" s="31">
        <f>VLOOKUP($B457,Hitters!$A1:$R401,8,FALSE)</f>
        <v>2.9211111111111112</v>
      </c>
      <c r="R457" s="33">
        <f>VLOOKUP($B457,Hitters!$A$1:$R$401,14,FALSE)</f>
        <v>0.25932808450290967</v>
      </c>
      <c r="S457" s="33">
        <f>VLOOKUP($B457,Hitters!$A$1:$R$401,15,FALSE)</f>
        <v>0.31150126335586353</v>
      </c>
      <c r="T457" s="31">
        <f>VLOOKUP($B457,Hitters!$A$1:$R$401,9,FALSE)</f>
        <v>88.383333333333326</v>
      </c>
      <c r="U457" s="31">
        <f>VLOOKUP($B457,Hitters!$A$1:$R$401,10,FALSE)</f>
        <v>19.21166666666667</v>
      </c>
      <c r="V457" s="31">
        <f>VLOOKUP($B457,Hitters!$A$1:$R$401,11,FALSE)</f>
        <v>2.0033333333333334</v>
      </c>
      <c r="W457" s="31">
        <f>VLOOKUP($B457,Hitters!$A$1:$R$401,12,FALSE)</f>
        <v>20.39</v>
      </c>
      <c r="X457" s="31">
        <f>VLOOKUP($B457,Hitters!$A$1:$R$401,13,FALSE)</f>
        <v>65.61333333333333</v>
      </c>
      <c r="Y457" s="33">
        <f>VLOOKUP($B457,Hitters!$A$1:$R$401,16,FALSE)</f>
        <v>0.39782385446721114</v>
      </c>
      <c r="Z457" s="33">
        <f>VLOOKUP($B457,Hitters!$A$1:$R$401,17,FALSE)</f>
        <v>0.70932511782307461</v>
      </c>
      <c r="AA457" s="31">
        <f>VLOOKUP($B457,Hitters!$A1:$R401,18,FALSE)</f>
        <v>0</v>
      </c>
      <c r="AB457" s="31"/>
      <c r="AC457" s="31"/>
      <c r="AD457" s="33"/>
      <c r="AE457" s="33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</row>
    <row r="458" spans="1:44" ht="18.600000000000001" customHeight="1">
      <c r="A458" s="25">
        <f ca="1">RANK(I458,I$2:I$651)</f>
        <v>457</v>
      </c>
      <c r="B458" s="26" t="s">
        <v>489</v>
      </c>
      <c r="C458" s="27" t="s">
        <v>76</v>
      </c>
      <c r="D458" s="27" t="s">
        <v>69</v>
      </c>
      <c r="E458" s="28" t="s">
        <v>23</v>
      </c>
      <c r="F458" s="29">
        <f ca="1">VLOOKUP(B458,OF!A1:I139,IF(Settings!$J$13="points",4,7),FALSE)</f>
        <v>102</v>
      </c>
      <c r="G458" s="30">
        <f>(M458*Settings!$B$2)+(N458*Settings!$B$3)+(O458*Settings!$B$4)+(P458*Settings!$B$5)+(Q458*Settings!$B$6)+((T458-U458-V458-O458)*Settings!$B$9)+(U458*Settings!$B$10)+(V458*Settings!$B$11)+(W458*Settings!$B$12)+(X458*Settings!$B$13)+(AA458*Settings!$B$16)</f>
        <v>187.83388888888888</v>
      </c>
      <c r="H458" s="31">
        <f>VLOOKUP(B458,'Standard Deviations'!$A1:$D651,4,FALSE)</f>
        <v>-1.7588571403981619</v>
      </c>
      <c r="I458" s="32">
        <f ca="1">VLOOKUP(B458,OF!A1:I139,IF(Settings!$J$13="points",6,9),FALSE)</f>
        <v>-1.601921473164662</v>
      </c>
      <c r="J458" s="31"/>
      <c r="K458" s="31">
        <f ca="1">J458-A458</f>
        <v>-457</v>
      </c>
      <c r="L458" s="31"/>
      <c r="M458" s="31">
        <f>VLOOKUP($B458,Hitters!$A1:$R401,4,FALSE)</f>
        <v>287.86666666666667</v>
      </c>
      <c r="N458" s="31">
        <f>VLOOKUP($B458,Hitters!$A1:$R401,5,FALSE)</f>
        <v>34.352222222222224</v>
      </c>
      <c r="O458" s="31">
        <f>VLOOKUP($B458,Hitters!$A1:$R401,6,FALSE)</f>
        <v>4.8211111111111107</v>
      </c>
      <c r="P458" s="31">
        <f>VLOOKUP($B458,Hitters!$A1:$R401,7,FALSE)</f>
        <v>33.501111111111108</v>
      </c>
      <c r="Q458" s="31">
        <f>VLOOKUP($B458,Hitters!$A1:$R401,8,FALSE)</f>
        <v>6.1611111111111114</v>
      </c>
      <c r="R458" s="33">
        <f>VLOOKUP($B458,Hitters!$A$1:$R$401,14,FALSE)</f>
        <v>0.26674000308784929</v>
      </c>
      <c r="S458" s="33">
        <f>VLOOKUP($B458,Hitters!$A$1:$R$401,15,FALSE)</f>
        <v>0.32668068821513685</v>
      </c>
      <c r="T458" s="31">
        <f>VLOOKUP($B458,Hitters!$A$1:$R$401,9,FALSE)</f>
        <v>76.785555555555547</v>
      </c>
      <c r="U458" s="31">
        <f>VLOOKUP($B458,Hitters!$A$1:$R$401,10,FALSE)</f>
        <v>16.264444444444447</v>
      </c>
      <c r="V458" s="31">
        <f>VLOOKUP($B458,Hitters!$A$1:$R$401,11,FALSE)</f>
        <v>1.0033333333333334</v>
      </c>
      <c r="W458" s="31">
        <f>VLOOKUP($B458,Hitters!$A$1:$R$401,12,FALSE)</f>
        <v>21.223333333333333</v>
      </c>
      <c r="X458" s="31">
        <f>VLOOKUP($B458,Hitters!$A$1:$R$401,13,FALSE)</f>
        <v>46.169999999999995</v>
      </c>
      <c r="Y458" s="33">
        <f>VLOOKUP($B458,Hitters!$A$1:$R$401,16,FALSE)</f>
        <v>0.38045391384900418</v>
      </c>
      <c r="Z458" s="33">
        <f>VLOOKUP($B458,Hitters!$A$1:$R$401,17,FALSE)</f>
        <v>0.70713460206414103</v>
      </c>
      <c r="AA458" s="31">
        <f>VLOOKUP($B458,Hitters!$A1:$R401,18,FALSE)</f>
        <v>0</v>
      </c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</row>
    <row r="459" spans="1:44" ht="18.600000000000001" customHeight="1">
      <c r="A459" s="25">
        <f ca="1">RANK(I459,I$2:I$651)</f>
        <v>458</v>
      </c>
      <c r="B459" s="26" t="s">
        <v>520</v>
      </c>
      <c r="C459" s="27" t="s">
        <v>76</v>
      </c>
      <c r="D459" s="27" t="s">
        <v>69</v>
      </c>
      <c r="E459" s="36" t="s">
        <v>31</v>
      </c>
      <c r="F459" s="37">
        <f ca="1">VLOOKUP(B459,SP!A1:I161,IF(Settings!$J$13="points",4,7),FALSE)</f>
        <v>127</v>
      </c>
      <c r="G459" s="30">
        <f>(AC459*Settings!$F$2)+(AF459*Settings!$F$5)+(AG459*Settings!$F$6)+(AH459*Settings!$F$7)+(AI459*Settings!$F$8)+(AJ459*Settings!$F$9)+(AK459*Settings!$F$10)+(AL459*Settings!$F$11)+(AM459*Settings!$F$12)+(AN459*Settings!$F$13)+(AO459*Settings!$F$14)+(AP459*Settings!$F$15)+(AQ459*Settings!$F$16)+(AR459*Settings!$F$17)</f>
        <v>255.57235555555556</v>
      </c>
      <c r="H459" s="31">
        <f>VLOOKUP(B459,'Standard Deviations'!$A1:$D651,4,FALSE)</f>
        <v>-2.4831543844747705</v>
      </c>
      <c r="I459" s="32">
        <f ca="1">IF(Settings!$J$16="no",VLOOKUP(B459,SP!A1:I161,IF(Settings!$J$13="points",6,9),FALSE),VLOOKUP(B459,'SP+RP'!$A1:$I251,IF(Settings!$J$13="points",6,9),FALSE))</f>
        <v>-1.6155705853665183</v>
      </c>
      <c r="J459" s="31"/>
      <c r="K459" s="31">
        <f ca="1">J459-A459</f>
        <v>-458</v>
      </c>
      <c r="L459" s="31"/>
      <c r="M459" s="31"/>
      <c r="N459" s="31"/>
      <c r="O459" s="31"/>
      <c r="P459" s="31"/>
      <c r="Q459" s="31"/>
      <c r="R459" s="33"/>
      <c r="S459" s="33"/>
      <c r="T459" s="31"/>
      <c r="U459" s="31"/>
      <c r="V459" s="31"/>
      <c r="W459" s="31"/>
      <c r="X459" s="31"/>
      <c r="Y459" s="33"/>
      <c r="Z459" s="33"/>
      <c r="AA459" s="31"/>
      <c r="AB459" s="31"/>
      <c r="AC459" s="31">
        <f>VLOOKUP($B459,Pitchers!$A1:$S251,4,FALSE)</f>
        <v>133.60222222222222</v>
      </c>
      <c r="AD459" s="33">
        <f>VLOOKUP($B459,Pitchers!$A1:$S251,5,FALSE)</f>
        <v>4.3175464479965404</v>
      </c>
      <c r="AE459" s="33">
        <f>VLOOKUP($B459,Pitchers!$A1:$S251,6,FALSE)</f>
        <v>1.2739724888142245</v>
      </c>
      <c r="AF459" s="31">
        <f>VLOOKUP($B459,Pitchers!$A1:$S251,7,FALSE)</f>
        <v>100.03222222222223</v>
      </c>
      <c r="AG459" s="31">
        <f>VLOOKUP($B459,Pitchers!$A1:$S251,8,FALSE)</f>
        <v>7.0155555555555553</v>
      </c>
      <c r="AH459" s="31">
        <f>VLOOKUP($B459,Pitchers!$A1:$S251,9,FALSE)</f>
        <v>0</v>
      </c>
      <c r="AI459" s="31">
        <f>VLOOKUP($B459,Pitchers!$A1:$S251,10,FALSE)</f>
        <v>64.092644444444446</v>
      </c>
      <c r="AJ459" s="31">
        <f>VLOOKUP($B459,Pitchers!$A1:$S251,11,FALSE)</f>
        <v>134.20222222222222</v>
      </c>
      <c r="AK459" s="31">
        <f>VLOOKUP($B459,Pitchers!$A1:$S251,12,FALSE)</f>
        <v>36.003333333333337</v>
      </c>
      <c r="AL459" s="31">
        <f>VLOOKUP($B459,Pitchers!$A1:$S251,13,FALSE)</f>
        <v>20.066666666666666</v>
      </c>
      <c r="AM459" s="31">
        <f>VLOOKUP($B459,Pitchers!$A1:$S251,14,FALSE)</f>
        <v>24.035555555555558</v>
      </c>
      <c r="AN459" s="31">
        <f>VLOOKUP($B459,Pitchers!$A1:$S251,15,FALSE)</f>
        <v>23.49111111111111</v>
      </c>
      <c r="AO459" s="31">
        <f>VLOOKUP($B459,Pitchers!$A1:$S251,16,FALSE)</f>
        <v>8.0122222222222224</v>
      </c>
      <c r="AP459" s="31">
        <f>VLOOKUP($B459,Pitchers!$A1:$S251,17,FALSE)</f>
        <v>10</v>
      </c>
      <c r="AQ459" s="31">
        <f>VLOOKUP($B459,Pitchers!$A1:$S251,18,FALSE)</f>
        <v>0</v>
      </c>
      <c r="AR459" s="31">
        <f>VLOOKUP($B459,Pitchers!$A1:$S251,19,FALSE)</f>
        <v>0</v>
      </c>
    </row>
    <row r="460" spans="1:44" ht="20.100000000000001" customHeight="1">
      <c r="A460" s="25">
        <f ca="1">RANK(I460,I$2:I$651)</f>
        <v>459</v>
      </c>
      <c r="B460" s="26" t="s">
        <v>330</v>
      </c>
      <c r="C460" s="27" t="s">
        <v>176</v>
      </c>
      <c r="D460" s="27" t="s">
        <v>74</v>
      </c>
      <c r="E460" s="48" t="s">
        <v>11</v>
      </c>
      <c r="F460" s="49">
        <f ca="1">VLOOKUP(B460,'2B'!A1:I50,IF(Settings!$J$13="points",4,7),FALSE)</f>
        <v>34</v>
      </c>
      <c r="G460" s="30">
        <f>(M460*Settings!$B$2)+(N460*Settings!$B$3)+(O460*Settings!$B$4)+(P460*Settings!$B$5)+(Q460*Settings!$B$6)+((T460-U460-V460-O460)*Settings!$B$9)+(U460*Settings!$B$10)+(V460*Settings!$B$11)+(W460*Settings!$B$12)+(X460*Settings!$B$13)+(AA460*Settings!$B$16)</f>
        <v>180.50866666666667</v>
      </c>
      <c r="H460" s="31">
        <f>VLOOKUP(B460,'Standard Deviations'!$A1:$D651,4,FALSE)</f>
        <v>-1.615827535943178</v>
      </c>
      <c r="I460" s="32">
        <f ca="1">IF(Settings!$J$16="no",VLOOKUP(B460,'2B'!A1:I50,IF(Settings!$J$13="points",6,9),FALSE),VLOOKUP(B460,'2B+SS'!$A1:$I94,IF(Settings!$J$13="points",6,9),FALSE))</f>
        <v>-1.6218673783668354</v>
      </c>
      <c r="J460" s="31"/>
      <c r="K460" s="31">
        <f ca="1">J460-A460</f>
        <v>-459</v>
      </c>
      <c r="L460" s="31"/>
      <c r="M460" s="31">
        <f>VLOOKUP($B460,Hitters!$A1:$R401,4,FALSE)</f>
        <v>259.3533333333333</v>
      </c>
      <c r="N460" s="31">
        <f>VLOOKUP($B460,Hitters!$A1:$R401,5,FALSE)</f>
        <v>34.54</v>
      </c>
      <c r="O460" s="31">
        <f>VLOOKUP($B460,Hitters!$A1:$R401,6,FALSE)</f>
        <v>7.6466666666666674</v>
      </c>
      <c r="P460" s="31">
        <f>VLOOKUP($B460,Hitters!$A1:$R401,7,FALSE)</f>
        <v>33.909333333333336</v>
      </c>
      <c r="Q460" s="31">
        <f>VLOOKUP($B460,Hitters!$A1:$R401,8,FALSE)</f>
        <v>0.44800000000000012</v>
      </c>
      <c r="R460" s="33">
        <f>VLOOKUP($B460,Hitters!$A$1:$R$401,14,FALSE)</f>
        <v>0.2777729223967304</v>
      </c>
      <c r="S460" s="33">
        <f>VLOOKUP($B460,Hitters!$A$1:$R$401,15,FALSE)</f>
        <v>0.33703364108514866</v>
      </c>
      <c r="T460" s="31">
        <f>VLOOKUP($B460,Hitters!$A$1:$R$401,9,FALSE)</f>
        <v>72.041333333333341</v>
      </c>
      <c r="U460" s="31">
        <f>VLOOKUP($B460,Hitters!$A$1:$R$401,10,FALSE)</f>
        <v>15.173333333333334</v>
      </c>
      <c r="V460" s="31">
        <f>VLOOKUP($B460,Hitters!$A$1:$R$401,11,FALSE)</f>
        <v>1.2466666666666668</v>
      </c>
      <c r="W460" s="31">
        <f>VLOOKUP($B460,Hitters!$A$1:$R$401,12,FALSE)</f>
        <v>19.336000000000002</v>
      </c>
      <c r="X460" s="31">
        <f>VLOOKUP($B460,Hitters!$A$1:$R$401,13,FALSE)</f>
        <v>41.641333333333336</v>
      </c>
      <c r="Y460" s="33">
        <f>VLOOKUP($B460,Hitters!$A$1:$R$401,16,FALSE)</f>
        <v>0.43434182453795345</v>
      </c>
      <c r="Z460" s="33">
        <f>VLOOKUP($B460,Hitters!$A$1:$R$401,17,FALSE)</f>
        <v>0.77137546562310211</v>
      </c>
      <c r="AA460" s="31">
        <f>VLOOKUP($B460,Hitters!$A1:$R401,18,FALSE)</f>
        <v>0</v>
      </c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</row>
    <row r="461" spans="1:44" ht="18.600000000000001" customHeight="1">
      <c r="A461" s="25">
        <f ca="1">RANK(I461,I$2:I$651)</f>
        <v>460</v>
      </c>
      <c r="B461" s="26" t="s">
        <v>607</v>
      </c>
      <c r="C461" s="27" t="s">
        <v>258</v>
      </c>
      <c r="D461" s="27" t="s">
        <v>69</v>
      </c>
      <c r="E461" s="36" t="s">
        <v>31</v>
      </c>
      <c r="F461" s="37">
        <f ca="1">VLOOKUP(B461,SP!A1:I161,IF(Settings!$J$13="points",4,7),FALSE)</f>
        <v>128</v>
      </c>
      <c r="G461" s="30">
        <f>(AC461*Settings!$F$2)+(AF461*Settings!$F$5)+(AG461*Settings!$F$6)+(AH461*Settings!$F$7)+(AI461*Settings!$F$8)+(AJ461*Settings!$F$9)+(AK461*Settings!$F$10)+(AL461*Settings!$F$11)+(AM461*Settings!$F$12)+(AN461*Settings!$F$13)+(AO461*Settings!$F$14)+(AP461*Settings!$F$15)+(AQ461*Settings!$F$16)+(AR461*Settings!$F$17)</f>
        <v>218.74766666666659</v>
      </c>
      <c r="H461" s="31">
        <f>VLOOKUP(B461,'Standard Deviations'!$A1:$D651,4,FALSE)</f>
        <v>-2.5023856278508951</v>
      </c>
      <c r="I461" s="32">
        <f ca="1">IF(Settings!$J$16="no",VLOOKUP(B461,SP!A1:I161,IF(Settings!$J$13="points",6,9),FALSE),VLOOKUP(B461,'SP+RP'!$A1:$I251,IF(Settings!$J$13="points",6,9),FALSE))</f>
        <v>-1.6348018579320551</v>
      </c>
      <c r="J461" s="31"/>
      <c r="K461" s="31">
        <f ca="1">J461-A461</f>
        <v>-460</v>
      </c>
      <c r="L461" s="31"/>
      <c r="M461" s="31"/>
      <c r="N461" s="31"/>
      <c r="O461" s="31"/>
      <c r="P461" s="31"/>
      <c r="Q461" s="31"/>
      <c r="R461" s="33"/>
      <c r="S461" s="33"/>
      <c r="T461" s="31"/>
      <c r="U461" s="31"/>
      <c r="V461" s="31"/>
      <c r="W461" s="31"/>
      <c r="X461" s="31"/>
      <c r="Y461" s="33"/>
      <c r="Z461" s="33"/>
      <c r="AA461" s="31"/>
      <c r="AB461" s="31"/>
      <c r="AC461" s="31">
        <f>VLOOKUP($B461,Pitchers!$A1:$S251,4,FALSE)</f>
        <v>112.87333333333332</v>
      </c>
      <c r="AD461" s="33">
        <f>VLOOKUP($B461,Pitchers!$A1:$S251,5,FALSE)</f>
        <v>4.0383852105605111</v>
      </c>
      <c r="AE461" s="33">
        <f>VLOOKUP($B461,Pitchers!$A1:$S251,6,FALSE)</f>
        <v>1.2983432756482196</v>
      </c>
      <c r="AF461" s="31">
        <f>VLOOKUP($B461,Pitchers!$A1:$S251,7,FALSE)</f>
        <v>95.75</v>
      </c>
      <c r="AG461" s="31">
        <f>VLOOKUP($B461,Pitchers!$A1:$S251,8,FALSE)</f>
        <v>6.003333333333333</v>
      </c>
      <c r="AH461" s="31">
        <f>VLOOKUP($B461,Pitchers!$A1:$S251,9,FALSE)</f>
        <v>0</v>
      </c>
      <c r="AI461" s="31">
        <f>VLOOKUP($B461,Pitchers!$A1:$S251,10,FALSE)</f>
        <v>50.647333333333336</v>
      </c>
      <c r="AJ461" s="31">
        <f>VLOOKUP($B461,Pitchers!$A1:$S251,11,FALSE)</f>
        <v>107.41666666666667</v>
      </c>
      <c r="AK461" s="31">
        <f>VLOOKUP($B461,Pitchers!$A1:$S251,12,FALSE)</f>
        <v>39.131666666666668</v>
      </c>
      <c r="AL461" s="31">
        <f>VLOOKUP($B461,Pitchers!$A1:$S251,13,FALSE)</f>
        <v>10.733333333333334</v>
      </c>
      <c r="AM461" s="31">
        <f>VLOOKUP($B461,Pitchers!$A1:$S251,14,FALSE)</f>
        <v>27.128333333333334</v>
      </c>
      <c r="AN461" s="31">
        <f>VLOOKUP($B461,Pitchers!$A1:$S251,15,FALSE)</f>
        <v>20.161666666666665</v>
      </c>
      <c r="AO461" s="31">
        <f>VLOOKUP($B461,Pitchers!$A1:$S251,16,FALSE)</f>
        <v>7.915</v>
      </c>
      <c r="AP461" s="31">
        <f>VLOOKUP($B461,Pitchers!$A1:$S251,17,FALSE)</f>
        <v>9</v>
      </c>
      <c r="AQ461" s="31">
        <f>VLOOKUP($B461,Pitchers!$A1:$S251,18,FALSE)</f>
        <v>0</v>
      </c>
      <c r="AR461" s="31">
        <f>VLOOKUP($B461,Pitchers!$A1:$S251,19,FALSE)</f>
        <v>0</v>
      </c>
    </row>
    <row r="462" spans="1:44" ht="18.600000000000001" customHeight="1">
      <c r="A462" s="25">
        <f ca="1">RANK(I462,I$2:I$651)</f>
        <v>461</v>
      </c>
      <c r="B462" s="26" t="s">
        <v>639</v>
      </c>
      <c r="C462" s="27" t="s">
        <v>140</v>
      </c>
      <c r="D462" s="27" t="s">
        <v>69</v>
      </c>
      <c r="E462" s="48" t="s">
        <v>11</v>
      </c>
      <c r="F462" s="49">
        <f ca="1">VLOOKUP(B462,'2B'!A1:I50,IF(Settings!$J$13="points",4,7),FALSE)</f>
        <v>35</v>
      </c>
      <c r="G462" s="30">
        <f>(M462*Settings!$B$2)+(N462*Settings!$B$3)+(O462*Settings!$B$4)+(P462*Settings!$B$5)+(Q462*Settings!$B$6)+((T462-U462-V462-O462)*Settings!$B$9)+(U462*Settings!$B$10)+(V462*Settings!$B$11)+(W462*Settings!$B$12)+(X462*Settings!$B$13)+(AA462*Settings!$B$16)</f>
        <v>235.24444444444447</v>
      </c>
      <c r="H462" s="31">
        <f>VLOOKUP(B462,'Standard Deviations'!$A1:$D651,4,FALSE)</f>
        <v>-1.6289227793632748</v>
      </c>
      <c r="I462" s="32">
        <f ca="1">IF(Settings!$J$16="no",VLOOKUP(B462,'2B'!A1:I50,IF(Settings!$J$13="points",6,9),FALSE),VLOOKUP(B462,'2B+SS'!$A1:$I94,IF(Settings!$J$13="points",6,9),FALSE))</f>
        <v>-1.6349628441821473</v>
      </c>
      <c r="J462" s="31"/>
      <c r="K462" s="31">
        <f ca="1">J462-A462</f>
        <v>-461</v>
      </c>
      <c r="L462" s="31"/>
      <c r="M462" s="31">
        <f>VLOOKUP($B462,Hitters!$A1:$R401,4,FALSE)</f>
        <v>386.67777777777775</v>
      </c>
      <c r="N462" s="31">
        <f>VLOOKUP($B462,Hitters!$A1:$R401,5,FALSE)</f>
        <v>42.621111111111112</v>
      </c>
      <c r="O462" s="31">
        <f>VLOOKUP($B462,Hitters!$A1:$R401,6,FALSE)</f>
        <v>11.687777777777777</v>
      </c>
      <c r="P462" s="31">
        <f>VLOOKUP($B462,Hitters!$A1:$R401,7,FALSE)</f>
        <v>47.72</v>
      </c>
      <c r="Q462" s="31">
        <f>VLOOKUP($B462,Hitters!$A1:$R401,8,FALSE)</f>
        <v>1.9911111111111113</v>
      </c>
      <c r="R462" s="33">
        <f>VLOOKUP($B462,Hitters!$A$1:$R$401,14,FALSE)</f>
        <v>0.24441251688169879</v>
      </c>
      <c r="S462" s="33">
        <f>VLOOKUP($B462,Hitters!$A$1:$R$401,15,FALSE)</f>
        <v>0.3012749796171269</v>
      </c>
      <c r="T462" s="31">
        <f>VLOOKUP($B462,Hitters!$A$1:$R$401,9,FALSE)</f>
        <v>94.508888888888876</v>
      </c>
      <c r="U462" s="31">
        <f>VLOOKUP($B462,Hitters!$A$1:$R$401,10,FALSE)</f>
        <v>20.565555555555555</v>
      </c>
      <c r="V462" s="31">
        <f>VLOOKUP($B462,Hitters!$A$1:$R$401,11,FALSE)</f>
        <v>0.98555555555555552</v>
      </c>
      <c r="W462" s="31">
        <f>VLOOKUP($B462,Hitters!$A$1:$R$401,12,FALSE)</f>
        <v>25.135555555555555</v>
      </c>
      <c r="X462" s="31">
        <f>VLOOKUP($B462,Hitters!$A$1:$R$401,13,FALSE)</f>
        <v>72.646666666666675</v>
      </c>
      <c r="Y462" s="33">
        <f>VLOOKUP($B462,Hitters!$A$1:$R$401,16,FALSE)</f>
        <v>0.39337375362776933</v>
      </c>
      <c r="Z462" s="33">
        <f>VLOOKUP($B462,Hitters!$A$1:$R$401,17,FALSE)</f>
        <v>0.69464873324489629</v>
      </c>
      <c r="AA462" s="31">
        <f>VLOOKUP($B462,Hitters!$A1:$R401,18,FALSE)</f>
        <v>0</v>
      </c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</row>
    <row r="463" spans="1:44" ht="18.600000000000001" customHeight="1">
      <c r="A463" s="25">
        <f ca="1">RANK(I463,I$2:I$651)</f>
        <v>462</v>
      </c>
      <c r="B463" s="26" t="s">
        <v>582</v>
      </c>
      <c r="C463" s="27" t="s">
        <v>306</v>
      </c>
      <c r="D463" s="27" t="s">
        <v>74</v>
      </c>
      <c r="E463" s="42" t="s">
        <v>34</v>
      </c>
      <c r="F463" s="43">
        <f ca="1">VLOOKUP(B463,RP!A1:I91,IF(Settings!$J$13="points",4,7),FALSE)</f>
        <v>78</v>
      </c>
      <c r="G463" s="30">
        <f>(AC463*Settings!$F$2)+(AF463*Settings!$F$5)+(AG463*Settings!$F$6)+(AH463*Settings!$F$7)+(AI463*Settings!$F$8)+(AJ463*Settings!$F$9)+(AK463*Settings!$F$10)+(AL463*Settings!$F$11)+(AM463*Settings!$F$12)+(AN463*Settings!$F$13)+(AO463*Settings!$F$14)+(AP463*Settings!$F$15)+(AQ463*Settings!$F$16)+(AR463*Settings!$F$17)</f>
        <v>146.71333333333331</v>
      </c>
      <c r="H463" s="31">
        <f>VLOOKUP(B463,'Standard Deviations'!$A1:$D651,4,FALSE)</f>
        <v>-2.5045436338888685</v>
      </c>
      <c r="I463" s="32">
        <f ca="1">IF(Settings!$J$16="no",VLOOKUP(B463,RP!A1:I91,IF(Settings!$J$13="points",6,9),FALSE),VLOOKUP(B463,'SP+RP'!$A1:$I251,IF(Settings!$J$13="points",6,9),FALSE))</f>
        <v>-1.636965128700457</v>
      </c>
      <c r="J463" s="31"/>
      <c r="K463" s="31">
        <f ca="1">J463-A463</f>
        <v>-462</v>
      </c>
      <c r="L463" s="31"/>
      <c r="M463" s="31"/>
      <c r="N463" s="31"/>
      <c r="O463" s="31"/>
      <c r="P463" s="31"/>
      <c r="Q463" s="31"/>
      <c r="R463" s="33"/>
      <c r="S463" s="33"/>
      <c r="T463" s="31"/>
      <c r="U463" s="31"/>
      <c r="V463" s="31"/>
      <c r="W463" s="31"/>
      <c r="X463" s="31"/>
      <c r="Y463" s="33"/>
      <c r="Z463" s="33"/>
      <c r="AA463" s="31"/>
      <c r="AB463" s="31"/>
      <c r="AC463" s="31">
        <f>VLOOKUP($B463,Pitchers!$A1:$S251,4,FALSE)</f>
        <v>58.776666666666671</v>
      </c>
      <c r="AD463" s="33">
        <f>VLOOKUP($B463,Pitchers!$A1:$S251,5,FALSE)</f>
        <v>3.8413202518006013</v>
      </c>
      <c r="AE463" s="33">
        <f>VLOOKUP($B463,Pitchers!$A1:$S251,6,FALSE)</f>
        <v>1.249929110191119</v>
      </c>
      <c r="AF463" s="31">
        <f>VLOOKUP($B463,Pitchers!$A1:$S251,7,FALSE)</f>
        <v>62.143333333333338</v>
      </c>
      <c r="AG463" s="31">
        <f>VLOOKUP($B463,Pitchers!$A1:$S251,8,FALSE)</f>
        <v>2.9866666666666668</v>
      </c>
      <c r="AH463" s="31">
        <f>VLOOKUP($B463,Pitchers!$A1:$S251,9,FALSE)</f>
        <v>4.5666666666666664</v>
      </c>
      <c r="AI463" s="31">
        <f>VLOOKUP($B463,Pitchers!$A1:$S251,10,FALSE)</f>
        <v>25.08666666666667</v>
      </c>
      <c r="AJ463" s="31">
        <f>VLOOKUP($B463,Pitchers!$A1:$S251,11,FALSE)</f>
        <v>52.99</v>
      </c>
      <c r="AK463" s="31">
        <f>VLOOKUP($B463,Pitchers!$A1:$S251,12,FALSE)</f>
        <v>20.476666666666667</v>
      </c>
      <c r="AL463" s="31">
        <f>VLOOKUP($B463,Pitchers!$A1:$S251,13,FALSE)</f>
        <v>7</v>
      </c>
      <c r="AM463" s="31">
        <f>VLOOKUP($B463,Pitchers!$A1:$S251,14,FALSE)</f>
        <v>59.129999999999995</v>
      </c>
      <c r="AN463" s="31">
        <f>VLOOKUP($B463,Pitchers!$A1:$S251,15,FALSE)</f>
        <v>0</v>
      </c>
      <c r="AO463" s="31">
        <f>VLOOKUP($B463,Pitchers!$A1:$S251,16,FALSE)</f>
        <v>3.0016666666666665</v>
      </c>
      <c r="AP463" s="31">
        <f>VLOOKUP($B463,Pitchers!$A1:$S251,17,FALSE)</f>
        <v>0</v>
      </c>
      <c r="AQ463" s="31">
        <f>VLOOKUP($B463,Pitchers!$A1:$S251,18,FALSE)</f>
        <v>17</v>
      </c>
      <c r="AR463" s="31">
        <f>VLOOKUP($B463,Pitchers!$A1:$S251,19,FALSE)</f>
        <v>1</v>
      </c>
    </row>
    <row r="464" spans="1:44" ht="18.600000000000001" customHeight="1">
      <c r="A464" s="25">
        <f ca="1">RANK(I464,I$2:I$651)</f>
        <v>463</v>
      </c>
      <c r="B464" s="26" t="s">
        <v>482</v>
      </c>
      <c r="C464" s="27" t="s">
        <v>94</v>
      </c>
      <c r="D464" s="27" t="s">
        <v>69</v>
      </c>
      <c r="E464" s="28" t="s">
        <v>23</v>
      </c>
      <c r="F464" s="29">
        <f ca="1">VLOOKUP(B464,OF!A1:I139,IF(Settings!$J$13="points",4,7),FALSE)</f>
        <v>103</v>
      </c>
      <c r="G464" s="30">
        <f>(M464*Settings!$B$2)+(N464*Settings!$B$3)+(O464*Settings!$B$4)+(P464*Settings!$B$5)+(Q464*Settings!$B$6)+((T464-U464-V464-O464)*Settings!$B$9)+(U464*Settings!$B$10)+(V464*Settings!$B$11)+(W464*Settings!$B$12)+(X464*Settings!$B$13)+(AA464*Settings!$B$16)</f>
        <v>210.64555555555555</v>
      </c>
      <c r="H464" s="31">
        <f>VLOOKUP(B464,'Standard Deviations'!$A1:$D651,4,FALSE)</f>
        <v>-1.7981430905521725</v>
      </c>
      <c r="I464" s="32">
        <f ca="1">VLOOKUP(B464,OF!A1:I139,IF(Settings!$J$13="points",6,9),FALSE)</f>
        <v>-1.6412166928200356</v>
      </c>
      <c r="J464" s="31"/>
      <c r="K464" s="31">
        <f ca="1">J464-A464</f>
        <v>-463</v>
      </c>
      <c r="L464" s="31"/>
      <c r="M464" s="31">
        <f>VLOOKUP($B464,Hitters!$A1:$R401,4,FALSE)</f>
        <v>348.07777777777778</v>
      </c>
      <c r="N464" s="31">
        <f>VLOOKUP($B464,Hitters!$A1:$R401,5,FALSE)</f>
        <v>44.468888888888891</v>
      </c>
      <c r="O464" s="31">
        <f>VLOOKUP($B464,Hitters!$A1:$R401,6,FALSE)</f>
        <v>7.8244444444444445</v>
      </c>
      <c r="P464" s="31">
        <f>VLOOKUP($B464,Hitters!$A1:$R401,7,FALSE)</f>
        <v>37.806666666666665</v>
      </c>
      <c r="Q464" s="31">
        <f>VLOOKUP($B464,Hitters!$A1:$R401,8,FALSE)</f>
        <v>10.823333333333332</v>
      </c>
      <c r="R464" s="33">
        <f>VLOOKUP($B464,Hitters!$A$1:$R$401,14,FALSE)</f>
        <v>0.23341526478756344</v>
      </c>
      <c r="S464" s="33">
        <f>VLOOKUP($B464,Hitters!$A$1:$R$401,15,FALSE)</f>
        <v>0.29971752925701484</v>
      </c>
      <c r="T464" s="31">
        <f>VLOOKUP($B464,Hitters!$A$1:$R$401,9,FALSE)</f>
        <v>81.24666666666667</v>
      </c>
      <c r="U464" s="31">
        <f>VLOOKUP($B464,Hitters!$A$1:$R$401,10,FALSE)</f>
        <v>16.8</v>
      </c>
      <c r="V464" s="31">
        <f>VLOOKUP($B464,Hitters!$A$1:$R$401,11,FALSE)</f>
        <v>3</v>
      </c>
      <c r="W464" s="31">
        <f>VLOOKUP($B464,Hitters!$A$1:$R$401,12,FALSE)</f>
        <v>27.233333333333334</v>
      </c>
      <c r="X464" s="31">
        <f>VLOOKUP($B464,Hitters!$A$1:$R$401,13,FALSE)</f>
        <v>96.06</v>
      </c>
      <c r="Y464" s="33">
        <f>VLOOKUP($B464,Hitters!$A$1:$R$401,16,FALSE)</f>
        <v>0.36635490152264821</v>
      </c>
      <c r="Z464" s="33">
        <f>VLOOKUP($B464,Hitters!$A$1:$R$401,17,FALSE)</f>
        <v>0.66607243077966305</v>
      </c>
      <c r="AA464" s="31">
        <f>VLOOKUP($B464,Hitters!$A1:$R401,18,FALSE)</f>
        <v>0</v>
      </c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</row>
    <row r="465" spans="1:44" ht="18.600000000000001" customHeight="1">
      <c r="A465" s="25">
        <f ca="1">RANK(I465,I$2:I$651)</f>
        <v>464</v>
      </c>
      <c r="B465" s="26" t="s">
        <v>579</v>
      </c>
      <c r="C465" s="27" t="s">
        <v>306</v>
      </c>
      <c r="D465" s="27" t="s">
        <v>74</v>
      </c>
      <c r="E465" s="36" t="s">
        <v>31</v>
      </c>
      <c r="F465" s="37">
        <f ca="1">VLOOKUP(B465,SP!A1:I161,IF(Settings!$J$13="points",4,7),FALSE)</f>
        <v>129</v>
      </c>
      <c r="G465" s="30">
        <f>(AC465*Settings!$F$2)+(AF465*Settings!$F$5)+(AG465*Settings!$F$6)+(AH465*Settings!$F$7)+(AI465*Settings!$F$8)+(AJ465*Settings!$F$9)+(AK465*Settings!$F$10)+(AL465*Settings!$F$11)+(AM465*Settings!$F$12)+(AN465*Settings!$F$13)+(AO465*Settings!$F$14)+(AP465*Settings!$F$15)+(AQ465*Settings!$F$16)+(AR465*Settings!$F$17)</f>
        <v>294.19777777777773</v>
      </c>
      <c r="H465" s="31">
        <f>VLOOKUP(B465,'Standard Deviations'!$A1:$D651,4,FALSE)</f>
        <v>-2.5103329834629786</v>
      </c>
      <c r="I465" s="32">
        <f ca="1">IF(Settings!$J$16="no",VLOOKUP(B465,SP!A1:I161,IF(Settings!$J$13="points",6,9),FALSE),VLOOKUP(B465,'SP+RP'!$A1:$I251,IF(Settings!$J$13="points",6,9),FALSE))</f>
        <v>-1.6427518288445371</v>
      </c>
      <c r="J465" s="31"/>
      <c r="K465" s="31">
        <f ca="1">J465-A465</f>
        <v>-464</v>
      </c>
      <c r="L465" s="31"/>
      <c r="M465" s="31"/>
      <c r="N465" s="31"/>
      <c r="O465" s="31"/>
      <c r="P465" s="31"/>
      <c r="Q465" s="31"/>
      <c r="R465" s="33"/>
      <c r="S465" s="33"/>
      <c r="T465" s="31"/>
      <c r="U465" s="31"/>
      <c r="V465" s="31"/>
      <c r="W465" s="31"/>
      <c r="X465" s="31"/>
      <c r="Y465" s="33"/>
      <c r="Z465" s="33"/>
      <c r="AA465" s="31"/>
      <c r="AB465" s="31"/>
      <c r="AC465" s="31">
        <f>VLOOKUP($B465,Pitchers!$A1:$S251,4,FALSE)</f>
        <v>157.37111111111111</v>
      </c>
      <c r="AD465" s="33">
        <f>VLOOKUP($B465,Pitchers!$A1:$S251,5,FALSE)</f>
        <v>4.6924749706991262</v>
      </c>
      <c r="AE465" s="33">
        <f>VLOOKUP($B465,Pitchers!$A1:$S251,6,FALSE)</f>
        <v>1.3206362878969737</v>
      </c>
      <c r="AF465" s="31">
        <f>VLOOKUP($B465,Pitchers!$A1:$S251,7,FALSE)</f>
        <v>156.96666666666667</v>
      </c>
      <c r="AG465" s="31">
        <f>VLOOKUP($B465,Pitchers!$A1:$S251,8,FALSE)</f>
        <v>7.4577777777777783</v>
      </c>
      <c r="AH465" s="31">
        <f>VLOOKUP($B465,Pitchers!$A1:$S251,9,FALSE)</f>
        <v>0</v>
      </c>
      <c r="AI465" s="31">
        <f>VLOOKUP($B465,Pitchers!$A1:$S251,10,FALSE)</f>
        <v>82.051111111111112</v>
      </c>
      <c r="AJ465" s="31">
        <f>VLOOKUP($B465,Pitchers!$A1:$S251,11,FALSE)</f>
        <v>144.51888888888888</v>
      </c>
      <c r="AK465" s="31">
        <f>VLOOKUP($B465,Pitchers!$A1:$S251,12,FALSE)</f>
        <v>63.31111111111111</v>
      </c>
      <c r="AL465" s="31">
        <f>VLOOKUP($B465,Pitchers!$A1:$S251,13,FALSE)</f>
        <v>30</v>
      </c>
      <c r="AM465" s="31">
        <f>VLOOKUP($B465,Pitchers!$A1:$S251,14,FALSE)</f>
        <v>28.64222222222222</v>
      </c>
      <c r="AN465" s="31">
        <f>VLOOKUP($B465,Pitchers!$A1:$S251,15,FALSE)</f>
        <v>28.62</v>
      </c>
      <c r="AO465" s="31">
        <f>VLOOKUP($B465,Pitchers!$A1:$S251,16,FALSE)</f>
        <v>10.944444444444445</v>
      </c>
      <c r="AP465" s="31">
        <f>VLOOKUP($B465,Pitchers!$A1:$S251,17,FALSE)</f>
        <v>12</v>
      </c>
      <c r="AQ465" s="31">
        <f>VLOOKUP($B465,Pitchers!$A1:$S251,18,FALSE)</f>
        <v>0</v>
      </c>
      <c r="AR465" s="31">
        <f>VLOOKUP($B465,Pitchers!$A1:$S251,19,FALSE)</f>
        <v>0</v>
      </c>
    </row>
    <row r="466" spans="1:44" ht="20.100000000000001" customHeight="1">
      <c r="A466" s="25">
        <f ca="1">RANK(I466,I$2:I$651)</f>
        <v>465</v>
      </c>
      <c r="B466" s="26" t="s">
        <v>350</v>
      </c>
      <c r="C466" s="27" t="s">
        <v>95</v>
      </c>
      <c r="D466" s="27" t="s">
        <v>74</v>
      </c>
      <c r="E466" s="36" t="s">
        <v>31</v>
      </c>
      <c r="F466" s="37">
        <f ca="1">VLOOKUP(B466,SP!A1:I161,IF(Settings!$J$13="points",4,7),FALSE)</f>
        <v>130</v>
      </c>
      <c r="G466" s="30">
        <f>(AC466*Settings!$F$2)+(AF466*Settings!$F$5)+(AG466*Settings!$F$6)+(AH466*Settings!$F$7)+(AI466*Settings!$F$8)+(AJ466*Settings!$F$9)+(AK466*Settings!$F$10)+(AL466*Settings!$F$11)+(AM466*Settings!$F$12)+(AN466*Settings!$F$13)+(AO466*Settings!$F$14)+(AP466*Settings!$F$15)+(AQ466*Settings!$F$16)+(AR466*Settings!$F$17)</f>
        <v>214.13053866666667</v>
      </c>
      <c r="H466" s="31">
        <f>VLOOKUP(B466,'Standard Deviations'!$A1:$D651,4,FALSE)</f>
        <v>-2.5211491926456446</v>
      </c>
      <c r="I466" s="32">
        <f ca="1">IF(Settings!$J$16="no",VLOOKUP(B466,SP!A1:I161,IF(Settings!$J$13="points",6,9),FALSE),VLOOKUP(B466,'SP+RP'!$A1:$I251,IF(Settings!$J$13="points",6,9),FALSE))</f>
        <v>-1.6535721764102198</v>
      </c>
      <c r="J466" s="31"/>
      <c r="K466" s="31">
        <f ca="1">J466-A466</f>
        <v>-465</v>
      </c>
      <c r="L466" s="31"/>
      <c r="M466" s="31"/>
      <c r="N466" s="31"/>
      <c r="O466" s="31"/>
      <c r="P466" s="31"/>
      <c r="Q466" s="31"/>
      <c r="R466" s="33"/>
      <c r="S466" s="33"/>
      <c r="T466" s="31"/>
      <c r="U466" s="31"/>
      <c r="V466" s="31"/>
      <c r="W466" s="31"/>
      <c r="X466" s="31"/>
      <c r="Y466" s="33"/>
      <c r="Z466" s="33"/>
      <c r="AA466" s="31"/>
      <c r="AB466" s="31"/>
      <c r="AC466" s="31">
        <f>VLOOKUP($B466,Pitchers!$A1:$S251,4,FALSE)</f>
        <v>101.73066666666666</v>
      </c>
      <c r="AD466" s="33">
        <f>VLOOKUP($B466,Pitchers!$A1:$S251,5,FALSE)</f>
        <v>3.8937752496788902</v>
      </c>
      <c r="AE466" s="33">
        <f>VLOOKUP($B466,Pitchers!$A1:$S251,6,FALSE)</f>
        <v>1.3148601536082205</v>
      </c>
      <c r="AF466" s="31">
        <f>VLOOKUP($B466,Pitchers!$A1:$S251,7,FALSE)</f>
        <v>92.455466666666666</v>
      </c>
      <c r="AG466" s="31">
        <f>VLOOKUP($B466,Pitchers!$A1:$S251,8,FALSE)</f>
        <v>5.674666666666667</v>
      </c>
      <c r="AH466" s="31">
        <f>VLOOKUP($B466,Pitchers!$A1:$S251,9,FALSE)</f>
        <v>0</v>
      </c>
      <c r="AI466" s="31">
        <f>VLOOKUP($B466,Pitchers!$A1:$S251,10,FALSE)</f>
        <v>44.012927999999995</v>
      </c>
      <c r="AJ466" s="31">
        <f>VLOOKUP($B466,Pitchers!$A1:$S251,11,FALSE)</f>
        <v>99.437333333333342</v>
      </c>
      <c r="AK466" s="31">
        <f>VLOOKUP($B466,Pitchers!$A1:$S251,12,FALSE)</f>
        <v>34.324266666666666</v>
      </c>
      <c r="AL466" s="31">
        <f>VLOOKUP($B466,Pitchers!$A1:$S251,13,FALSE)</f>
        <v>11.050666666666666</v>
      </c>
      <c r="AM466" s="31">
        <f>VLOOKUP($B466,Pitchers!$A1:$S251,14,FALSE)</f>
        <v>19.368533333333335</v>
      </c>
      <c r="AN466" s="31">
        <f>VLOOKUP($B466,Pitchers!$A1:$S251,15,FALSE)</f>
        <v>19.224533333333333</v>
      </c>
      <c r="AO466" s="31">
        <f>VLOOKUP($B466,Pitchers!$A1:$S251,16,FALSE)</f>
        <v>5.2234666666666669</v>
      </c>
      <c r="AP466" s="31">
        <f>VLOOKUP($B466,Pitchers!$A1:$S251,17,FALSE)</f>
        <v>8.9600000000000009</v>
      </c>
      <c r="AQ466" s="31">
        <f>VLOOKUP($B466,Pitchers!$A1:$S251,18,FALSE)</f>
        <v>0</v>
      </c>
      <c r="AR466" s="31">
        <f>VLOOKUP($B466,Pitchers!$A1:$S251,19,FALSE)</f>
        <v>0</v>
      </c>
    </row>
    <row r="467" spans="1:44" ht="20.100000000000001" customHeight="1">
      <c r="A467" s="25">
        <f ca="1">RANK(I467,I$2:I$651)</f>
        <v>466</v>
      </c>
      <c r="B467" s="26" t="s">
        <v>653</v>
      </c>
      <c r="C467" s="27" t="s">
        <v>156</v>
      </c>
      <c r="D467" s="27" t="s">
        <v>69</v>
      </c>
      <c r="E467" s="42" t="s">
        <v>34</v>
      </c>
      <c r="F467" s="43">
        <f ca="1">VLOOKUP(B467,RP!A1:I91,IF(Settings!$J$13="points",4,7),FALSE)</f>
        <v>79</v>
      </c>
      <c r="G467" s="30">
        <f>(AC467*Settings!$F$2)+(AF467*Settings!$F$5)+(AG467*Settings!$F$6)+(AH467*Settings!$F$7)+(AI467*Settings!$F$8)+(AJ467*Settings!$F$9)+(AK467*Settings!$F$10)+(AL467*Settings!$F$11)+(AM467*Settings!$F$12)+(AN467*Settings!$F$13)+(AO467*Settings!$F$14)+(AP467*Settings!$F$15)+(AQ467*Settings!$F$16)+(AR467*Settings!$F$17)</f>
        <v>137.70722222222224</v>
      </c>
      <c r="H467" s="31">
        <f>VLOOKUP(B467,'Standard Deviations'!$A1:$D651,4,FALSE)</f>
        <v>-2.5490624370738071</v>
      </c>
      <c r="I467" s="32">
        <f ca="1">IF(Settings!$J$16="no",VLOOKUP(B467,RP!A1:I91,IF(Settings!$J$13="points",6,9),FALSE),VLOOKUP(B467,'SP+RP'!$A1:$I251,IF(Settings!$J$13="points",6,9),FALSE))</f>
        <v>-1.6814864141744805</v>
      </c>
      <c r="J467" s="31"/>
      <c r="K467" s="31">
        <f ca="1">J467-A467</f>
        <v>-466</v>
      </c>
      <c r="L467" s="31"/>
      <c r="M467" s="31"/>
      <c r="N467" s="31"/>
      <c r="O467" s="31"/>
      <c r="P467" s="31"/>
      <c r="Q467" s="31"/>
      <c r="R467" s="33"/>
      <c r="S467" s="33"/>
      <c r="T467" s="31"/>
      <c r="U467" s="31"/>
      <c r="V467" s="31"/>
      <c r="W467" s="31"/>
      <c r="X467" s="31"/>
      <c r="Y467" s="33"/>
      <c r="Z467" s="33"/>
      <c r="AA467" s="31"/>
      <c r="AB467" s="31"/>
      <c r="AC467" s="31">
        <f>VLOOKUP($B467,Pitchers!$A1:$S251,4,FALSE)</f>
        <v>63.336666666666666</v>
      </c>
      <c r="AD467" s="33">
        <f>VLOOKUP($B467,Pitchers!$A1:$S251,5,FALSE)</f>
        <v>4.036524393452976</v>
      </c>
      <c r="AE467" s="33">
        <f>VLOOKUP($B467,Pitchers!$A1:$S251,6,FALSE)</f>
        <v>1.1992702138483939</v>
      </c>
      <c r="AF467" s="31">
        <f>VLOOKUP($B467,Pitchers!$A1:$S251,7,FALSE)</f>
        <v>73.373333333333335</v>
      </c>
      <c r="AG467" s="31">
        <f>VLOOKUP($B467,Pitchers!$A1:$S251,8,FALSE)</f>
        <v>3.0083333333333333</v>
      </c>
      <c r="AH467" s="31">
        <f>VLOOKUP($B467,Pitchers!$A1:$S251,9,FALSE)</f>
        <v>1.5333333333333332</v>
      </c>
      <c r="AI467" s="31">
        <f>VLOOKUP($B467,Pitchers!$A1:$S251,10,FALSE)</f>
        <v>28.406666666666666</v>
      </c>
      <c r="AJ467" s="31">
        <f>VLOOKUP($B467,Pitchers!$A1:$S251,11,FALSE)</f>
        <v>54.857777777777777</v>
      </c>
      <c r="AK467" s="31">
        <f>VLOOKUP($B467,Pitchers!$A1:$S251,12,FALSE)</f>
        <v>21.099999999999998</v>
      </c>
      <c r="AL467" s="31">
        <f>VLOOKUP($B467,Pitchers!$A1:$S251,13,FALSE)</f>
        <v>10.233333333333333</v>
      </c>
      <c r="AM467" s="31">
        <f>VLOOKUP($B467,Pitchers!$A1:$S251,14,FALSE)</f>
        <v>61.620000000000005</v>
      </c>
      <c r="AN467" s="31">
        <f>VLOOKUP($B467,Pitchers!$A1:$S251,15,FALSE)</f>
        <v>0</v>
      </c>
      <c r="AO467" s="31">
        <f>VLOOKUP($B467,Pitchers!$A1:$S251,16,FALSE)</f>
        <v>3.2833333333333332</v>
      </c>
      <c r="AP467" s="31">
        <f>VLOOKUP($B467,Pitchers!$A1:$S251,17,FALSE)</f>
        <v>0</v>
      </c>
      <c r="AQ467" s="31">
        <f>VLOOKUP($B467,Pitchers!$A1:$S251,18,FALSE)</f>
        <v>14</v>
      </c>
      <c r="AR467" s="31">
        <f>VLOOKUP($B467,Pitchers!$A1:$S251,19,FALSE)</f>
        <v>1</v>
      </c>
    </row>
    <row r="468" spans="1:44" ht="18.600000000000001" customHeight="1">
      <c r="A468" s="25">
        <f ca="1">RANK(I468,I$2:I$651)</f>
        <v>467</v>
      </c>
      <c r="B468" s="26" t="s">
        <v>490</v>
      </c>
      <c r="C468" s="27" t="s">
        <v>76</v>
      </c>
      <c r="D468" s="27" t="s">
        <v>69</v>
      </c>
      <c r="E468" s="36" t="s">
        <v>31</v>
      </c>
      <c r="F468" s="37">
        <f ca="1">VLOOKUP(B468,SP!A1:I161,IF(Settings!$J$13="points",4,7),FALSE)</f>
        <v>131</v>
      </c>
      <c r="G468" s="30">
        <f>(AC468*Settings!$F$2)+(AF468*Settings!$F$5)+(AG468*Settings!$F$6)+(AH468*Settings!$F$7)+(AI468*Settings!$F$8)+(AJ468*Settings!$F$9)+(AK468*Settings!$F$10)+(AL468*Settings!$F$11)+(AM468*Settings!$F$12)+(AN468*Settings!$F$13)+(AO468*Settings!$F$14)+(AP468*Settings!$F$15)+(AQ468*Settings!$F$16)+(AR468*Settings!$F$17)</f>
        <v>130.94222222222223</v>
      </c>
      <c r="H468" s="31">
        <f>VLOOKUP(B468,'Standard Deviations'!$A1:$D651,4,FALSE)</f>
        <v>-2.5615802273418837</v>
      </c>
      <c r="I468" s="32">
        <f ca="1">IF(Settings!$J$16="no",VLOOKUP(B468,SP!A1:I161,IF(Settings!$J$13="points",6,9),FALSE),VLOOKUP(B468,'SP+RP'!$A1:$I251,IF(Settings!$J$13="points",6,9),FALSE))</f>
        <v>-1.6939989592749507</v>
      </c>
      <c r="J468" s="31"/>
      <c r="K468" s="31">
        <f ca="1">J468-A468</f>
        <v>-467</v>
      </c>
      <c r="L468" s="31"/>
      <c r="M468" s="31"/>
      <c r="N468" s="31"/>
      <c r="O468" s="31"/>
      <c r="P468" s="31"/>
      <c r="Q468" s="31"/>
      <c r="R468" s="33"/>
      <c r="S468" s="33"/>
      <c r="T468" s="31"/>
      <c r="U468" s="31"/>
      <c r="V468" s="31"/>
      <c r="W468" s="31"/>
      <c r="X468" s="31"/>
      <c r="Y468" s="33"/>
      <c r="Z468" s="33"/>
      <c r="AA468" s="31"/>
      <c r="AB468" s="31"/>
      <c r="AC468" s="31">
        <f>VLOOKUP($B468,Pitchers!$A1:$S251,4,FALSE)</f>
        <v>65.193333333333342</v>
      </c>
      <c r="AD468" s="33">
        <f>VLOOKUP($B468,Pitchers!$A1:$S251,5,FALSE)</f>
        <v>4.0950506186726647</v>
      </c>
      <c r="AE468" s="33">
        <f>VLOOKUP($B468,Pitchers!$A1:$S251,6,FALSE)</f>
        <v>1.1658145004601697</v>
      </c>
      <c r="AF468" s="31">
        <f>VLOOKUP($B468,Pitchers!$A1:$S251,7,FALSE)</f>
        <v>66.273333333333326</v>
      </c>
      <c r="AG468" s="31">
        <f>VLOOKUP($B468,Pitchers!$A1:$S251,8,FALSE)</f>
        <v>3.3766666666666669</v>
      </c>
      <c r="AH468" s="31">
        <f>VLOOKUP($B468,Pitchers!$A1:$S251,9,FALSE)</f>
        <v>0</v>
      </c>
      <c r="AI468" s="31">
        <f>VLOOKUP($B468,Pitchers!$A1:$S251,10,FALSE)</f>
        <v>29.66333333333333</v>
      </c>
      <c r="AJ468" s="31">
        <f>VLOOKUP($B468,Pitchers!$A1:$S251,11,FALSE)</f>
        <v>58.748888888888892</v>
      </c>
      <c r="AK468" s="31">
        <f>VLOOKUP($B468,Pitchers!$A1:$S251,12,FALSE)</f>
        <v>17.254444444444445</v>
      </c>
      <c r="AL468" s="31">
        <f>VLOOKUP($B468,Pitchers!$A1:$S251,13,FALSE)</f>
        <v>9.9499999999999993</v>
      </c>
      <c r="AM468" s="31">
        <f>VLOOKUP($B468,Pitchers!$A1:$S251,14,FALSE)</f>
        <v>56.664444444444449</v>
      </c>
      <c r="AN468" s="31">
        <f>VLOOKUP($B468,Pitchers!$A1:$S251,15,FALSE)</f>
        <v>1.5833333333333333</v>
      </c>
      <c r="AO468" s="31">
        <f>VLOOKUP($B468,Pitchers!$A1:$S251,16,FALSE)</f>
        <v>3.1488888888888891</v>
      </c>
      <c r="AP468" s="31">
        <f>VLOOKUP($B468,Pitchers!$A1:$S251,17,FALSE)</f>
        <v>0</v>
      </c>
      <c r="AQ468" s="31">
        <f>VLOOKUP($B468,Pitchers!$A1:$S251,18,FALSE)</f>
        <v>12</v>
      </c>
      <c r="AR468" s="31">
        <f>VLOOKUP($B468,Pitchers!$A1:$S251,19,FALSE)</f>
        <v>0</v>
      </c>
    </row>
    <row r="469" spans="1:44" ht="20.100000000000001" customHeight="1">
      <c r="A469" s="25">
        <f ca="1">RANK(I469,I$2:I$651)</f>
        <v>468</v>
      </c>
      <c r="B469" s="26" t="s">
        <v>614</v>
      </c>
      <c r="C469" s="27" t="s">
        <v>117</v>
      </c>
      <c r="D469" s="27" t="s">
        <v>69</v>
      </c>
      <c r="E469" s="42" t="s">
        <v>34</v>
      </c>
      <c r="F469" s="43">
        <f ca="1">VLOOKUP(B469,RP!A1:I91,IF(Settings!$J$13="points",4,7),FALSE)</f>
        <v>80</v>
      </c>
      <c r="G469" s="30">
        <f>(AC469*Settings!$F$2)+(AF469*Settings!$F$5)+(AG469*Settings!$F$6)+(AH469*Settings!$F$7)+(AI469*Settings!$F$8)+(AJ469*Settings!$F$9)+(AK469*Settings!$F$10)+(AL469*Settings!$F$11)+(AM469*Settings!$F$12)+(AN469*Settings!$F$13)+(AO469*Settings!$F$14)+(AP469*Settings!$F$15)+(AQ469*Settings!$F$16)+(AR469*Settings!$F$17)</f>
        <v>149.85666666666671</v>
      </c>
      <c r="H469" s="31">
        <f>VLOOKUP(B469,'Standard Deviations'!$A1:$D651,4,FALSE)</f>
        <v>-2.5994695289004044</v>
      </c>
      <c r="I469" s="32">
        <f ca="1">IF(Settings!$J$16="no",VLOOKUP(B469,RP!A1:I91,IF(Settings!$J$13="points",6,9),FALSE),VLOOKUP(B469,'SP+RP'!$A1:$I251,IF(Settings!$J$13="points",6,9),FALSE))</f>
        <v>-1.7318868286247722</v>
      </c>
      <c r="J469" s="31"/>
      <c r="K469" s="31">
        <f ca="1">J469-A469</f>
        <v>-468</v>
      </c>
      <c r="L469" s="31"/>
      <c r="M469" s="31"/>
      <c r="N469" s="31"/>
      <c r="O469" s="31"/>
      <c r="P469" s="31"/>
      <c r="Q469" s="31"/>
      <c r="R469" s="33"/>
      <c r="S469" s="33"/>
      <c r="T469" s="31"/>
      <c r="U469" s="31"/>
      <c r="V469" s="31"/>
      <c r="W469" s="31"/>
      <c r="X469" s="31"/>
      <c r="Y469" s="33"/>
      <c r="Z469" s="33"/>
      <c r="AA469" s="31"/>
      <c r="AB469" s="31"/>
      <c r="AC469" s="31">
        <f>VLOOKUP($B469,Pitchers!$A1:$S251,4,FALSE)</f>
        <v>64.38333333333334</v>
      </c>
      <c r="AD469" s="33">
        <f>VLOOKUP($B469,Pitchers!$A1:$S251,5,FALSE)</f>
        <v>3.6622055397359561</v>
      </c>
      <c r="AE469" s="33">
        <f>VLOOKUP($B469,Pitchers!$A1:$S251,6,FALSE)</f>
        <v>1.2993183190956938</v>
      </c>
      <c r="AF469" s="31">
        <f>VLOOKUP($B469,Pitchers!$A1:$S251,7,FALSE)</f>
        <v>69.554444444444442</v>
      </c>
      <c r="AG469" s="31">
        <f>VLOOKUP($B469,Pitchers!$A1:$S251,8,FALSE)</f>
        <v>3.0050000000000003</v>
      </c>
      <c r="AH469" s="31">
        <f>VLOOKUP($B469,Pitchers!$A1:$S251,9,FALSE)</f>
        <v>3.6555555555555554</v>
      </c>
      <c r="AI469" s="31">
        <f>VLOOKUP($B469,Pitchers!$A1:$S251,10,FALSE)</f>
        <v>26.198333333333334</v>
      </c>
      <c r="AJ469" s="31">
        <f>VLOOKUP($B469,Pitchers!$A1:$S251,11,FALSE)</f>
        <v>53.416666666666664</v>
      </c>
      <c r="AK469" s="31">
        <f>VLOOKUP($B469,Pitchers!$A1:$S251,12,FALSE)</f>
        <v>30.237777777777779</v>
      </c>
      <c r="AL469" s="31">
        <f>VLOOKUP($B469,Pitchers!$A1:$S251,13,FALSE)</f>
        <v>6.0333333333333341</v>
      </c>
      <c r="AM469" s="31">
        <f>VLOOKUP($B469,Pitchers!$A1:$S251,14,FALSE)</f>
        <v>62.50888888888889</v>
      </c>
      <c r="AN469" s="31">
        <f>VLOOKUP($B469,Pitchers!$A1:$S251,15,FALSE)</f>
        <v>0</v>
      </c>
      <c r="AO469" s="31">
        <f>VLOOKUP($B469,Pitchers!$A1:$S251,16,FALSE)</f>
        <v>2.9683333333333333</v>
      </c>
      <c r="AP469" s="31">
        <f>VLOOKUP($B469,Pitchers!$A1:$S251,17,FALSE)</f>
        <v>0</v>
      </c>
      <c r="AQ469" s="31">
        <f>VLOOKUP($B469,Pitchers!$A1:$S251,18,FALSE)</f>
        <v>13.5</v>
      </c>
      <c r="AR469" s="31">
        <f>VLOOKUP($B469,Pitchers!$A1:$S251,19,FALSE)</f>
        <v>0</v>
      </c>
    </row>
    <row r="470" spans="1:44" ht="18.600000000000001" customHeight="1">
      <c r="A470" s="25">
        <f ca="1">RANK(I470,I$2:I$651)</f>
        <v>469</v>
      </c>
      <c r="B470" s="26" t="s">
        <v>615</v>
      </c>
      <c r="C470" s="27" t="s">
        <v>94</v>
      </c>
      <c r="D470" s="27" t="s">
        <v>69</v>
      </c>
      <c r="E470" s="40" t="s">
        <v>7</v>
      </c>
      <c r="F470" s="41">
        <f ca="1">VLOOKUP(B470,'1B'!A1:I63,IF(Settings!$J$13="points",4,7),FALSE)</f>
        <v>40</v>
      </c>
      <c r="G470" s="30">
        <f>(M470*Settings!$B$2)+(N470*Settings!$B$3)+(O470*Settings!$B$4)+(P470*Settings!$B$5)+(Q470*Settings!$B$6)+((T470-U470-V470-O470)*Settings!$B$9)+(U470*Settings!$B$10)+(V470*Settings!$B$11)+(W470*Settings!$B$12)+(X470*Settings!$B$13)+(AA470*Settings!$B$16)</f>
        <v>228.69499999999999</v>
      </c>
      <c r="H470" s="31">
        <f>VLOOKUP(B470,'Standard Deviations'!$A1:$D651,4,FALSE)</f>
        <v>-1.5072186065717705</v>
      </c>
      <c r="I470" s="32">
        <f ca="1">IF(Settings!$J$15="no",VLOOKUP(B470,'1B'!A1:I63,IF(Settings!$J$13="points",6,9),FALSE),VLOOKUP(B470,'1B+3B'!$A1:$I104,IF(Settings!$J$13="points",6,9),FALSE))</f>
        <v>-1.732701409362509</v>
      </c>
      <c r="J470" s="31"/>
      <c r="K470" s="31">
        <f ca="1">J470-A470</f>
        <v>-469</v>
      </c>
      <c r="L470" s="31"/>
      <c r="M470" s="31">
        <f>VLOOKUP($B470,Hitters!$A1:$R401,4,FALSE)</f>
        <v>313.95555555555558</v>
      </c>
      <c r="N470" s="31">
        <f>VLOOKUP($B470,Hitters!$A1:$R401,5,FALSE)</f>
        <v>45.338888888888881</v>
      </c>
      <c r="O470" s="31">
        <f>VLOOKUP($B470,Hitters!$A1:$R401,6,FALSE)</f>
        <v>15.985555555555555</v>
      </c>
      <c r="P470" s="31">
        <f>VLOOKUP($B470,Hitters!$A1:$R401,7,FALSE)</f>
        <v>47.331111111111113</v>
      </c>
      <c r="Q470" s="31">
        <f>VLOOKUP($B470,Hitters!$A1:$R401,8,FALSE)</f>
        <v>2</v>
      </c>
      <c r="R470" s="33">
        <f>VLOOKUP($B470,Hitters!$A$1:$R$401,14,FALSE)</f>
        <v>0.2343608437146093</v>
      </c>
      <c r="S470" s="33">
        <f>VLOOKUP($B470,Hitters!$A$1:$R$401,15,FALSE)</f>
        <v>0.33502460218037688</v>
      </c>
      <c r="T470" s="31">
        <f>VLOOKUP($B470,Hitters!$A$1:$R$401,9,FALSE)</f>
        <v>73.578888888888898</v>
      </c>
      <c r="U470" s="31">
        <f>VLOOKUP($B470,Hitters!$A$1:$R$401,10,FALSE)</f>
        <v>13.479999999999999</v>
      </c>
      <c r="V470" s="31">
        <f>VLOOKUP($B470,Hitters!$A$1:$R$401,11,FALSE)</f>
        <v>1.02</v>
      </c>
      <c r="W470" s="31">
        <f>VLOOKUP($B470,Hitters!$A$1:$R$401,12,FALSE)</f>
        <v>42.841111111111111</v>
      </c>
      <c r="X470" s="31">
        <f>VLOOKUP($B470,Hitters!$A$1:$R$401,13,FALSE)</f>
        <v>95.743333333333339</v>
      </c>
      <c r="Y470" s="33">
        <f>VLOOKUP($B470,Hitters!$A$1:$R$401,16,FALSE)</f>
        <v>0.43654445073612685</v>
      </c>
      <c r="Z470" s="33">
        <f>VLOOKUP($B470,Hitters!$A$1:$R$401,17,FALSE)</f>
        <v>0.77156905291650379</v>
      </c>
      <c r="AA470" s="31">
        <f>VLOOKUP($B470,Hitters!$A1:$R401,18,FALSE)</f>
        <v>0</v>
      </c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</row>
    <row r="471" spans="1:44" ht="18.600000000000001" customHeight="1">
      <c r="A471" s="25">
        <f ca="1">RANK(I471,I$2:I$651)</f>
        <v>470</v>
      </c>
      <c r="B471" s="26" t="s">
        <v>461</v>
      </c>
      <c r="C471" s="27" t="s">
        <v>95</v>
      </c>
      <c r="D471" s="27" t="s">
        <v>74</v>
      </c>
      <c r="E471" s="28" t="s">
        <v>23</v>
      </c>
      <c r="F471" s="29">
        <f ca="1">VLOOKUP(B471,OF!A1:I139,IF(Settings!$J$13="points",4,7),FALSE)</f>
        <v>104</v>
      </c>
      <c r="G471" s="30">
        <f>(M471*Settings!$B$2)+(N471*Settings!$B$3)+(O471*Settings!$B$4)+(P471*Settings!$B$5)+(Q471*Settings!$B$6)+((T471-U471-V471-O471)*Settings!$B$9)+(U471*Settings!$B$10)+(V471*Settings!$B$11)+(W471*Settings!$B$12)+(X471*Settings!$B$13)+(AA471*Settings!$B$16)</f>
        <v>216.30861111111111</v>
      </c>
      <c r="H471" s="31">
        <f>VLOOKUP(B471,'Standard Deviations'!$A1:$D651,4,FALSE)</f>
        <v>-1.8934611095677665</v>
      </c>
      <c r="I471" s="32">
        <f ca="1">VLOOKUP(B471,OF!A1:I139,IF(Settings!$J$13="points",6,9),FALSE)</f>
        <v>-1.7365279957596231</v>
      </c>
      <c r="J471" s="31"/>
      <c r="K471" s="31">
        <f ca="1">J471-A471</f>
        <v>-470</v>
      </c>
      <c r="L471" s="31"/>
      <c r="M471" s="31">
        <f>VLOOKUP($B471,Hitters!$A1:$R401,4,FALSE)</f>
        <v>333.78888888888889</v>
      </c>
      <c r="N471" s="31">
        <f>VLOOKUP($B471,Hitters!$A1:$R401,5,FALSE)</f>
        <v>46.432222222222229</v>
      </c>
      <c r="O471" s="31">
        <f>VLOOKUP($B471,Hitters!$A1:$R401,6,FALSE)</f>
        <v>9.7766666666666655</v>
      </c>
      <c r="P471" s="31">
        <f>VLOOKUP($B471,Hitters!$A1:$R401,7,FALSE)</f>
        <v>38.237777777777779</v>
      </c>
      <c r="Q471" s="31">
        <f>VLOOKUP($B471,Hitters!$A1:$R401,8,FALSE)</f>
        <v>8.0144444444444449</v>
      </c>
      <c r="R471" s="33">
        <f>VLOOKUP($B471,Hitters!$A$1:$R$401,14,FALSE)</f>
        <v>0.23247561665723512</v>
      </c>
      <c r="S471" s="33">
        <f>VLOOKUP($B471,Hitters!$A$1:$R$401,15,FALSE)</f>
        <v>0.32483099028271711</v>
      </c>
      <c r="T471" s="31">
        <f>VLOOKUP($B471,Hitters!$A$1:$R$401,9,FALSE)</f>
        <v>77.597777777777779</v>
      </c>
      <c r="U471" s="31">
        <f>VLOOKUP($B471,Hitters!$A$1:$R$401,10,FALSE)</f>
        <v>13.924444444444445</v>
      </c>
      <c r="V471" s="31">
        <f>VLOOKUP($B471,Hitters!$A$1:$R$401,11,FALSE)</f>
        <v>0.99888888888888883</v>
      </c>
      <c r="W471" s="31">
        <f>VLOOKUP($B471,Hitters!$A$1:$R$401,12,FALSE)</f>
        <v>40.525555555555556</v>
      </c>
      <c r="X471" s="31">
        <f>VLOOKUP($B471,Hitters!$A$1:$R$401,13,FALSE)</f>
        <v>95.53166666666668</v>
      </c>
      <c r="Y471" s="33">
        <f>VLOOKUP($B471,Hitters!$A$1:$R$401,16,FALSE)</f>
        <v>0.36804700243001232</v>
      </c>
      <c r="Z471" s="33">
        <f>VLOOKUP($B471,Hitters!$A$1:$R$401,17,FALSE)</f>
        <v>0.69287799271272943</v>
      </c>
      <c r="AA471" s="31">
        <f>VLOOKUP($B471,Hitters!$A1:$R401,18,FALSE)</f>
        <v>0</v>
      </c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</row>
    <row r="472" spans="1:44" ht="18.600000000000001" customHeight="1">
      <c r="A472" s="25">
        <f ca="1">RANK(I472,I$2:I$651)</f>
        <v>471</v>
      </c>
      <c r="B472" s="26" t="s">
        <v>581</v>
      </c>
      <c r="C472" s="27" t="s">
        <v>140</v>
      </c>
      <c r="D472" s="27" t="s">
        <v>69</v>
      </c>
      <c r="E472" s="40" t="s">
        <v>7</v>
      </c>
      <c r="F472" s="41">
        <f ca="1">VLOOKUP(B472,'1B'!A1:I63,IF(Settings!$J$13="points",4,7),FALSE)</f>
        <v>41</v>
      </c>
      <c r="G472" s="30">
        <f>(M472*Settings!$B$2)+(N472*Settings!$B$3)+(O472*Settings!$B$4)+(P472*Settings!$B$5)+(Q472*Settings!$B$6)+((T472-U472-V472-O472)*Settings!$B$9)+(U472*Settings!$B$10)+(V472*Settings!$B$11)+(W472*Settings!$B$12)+(X472*Settings!$B$13)+(AA472*Settings!$B$16)</f>
        <v>239.8738888888889</v>
      </c>
      <c r="H472" s="31">
        <f>VLOOKUP(B472,'Standard Deviations'!$A1:$D651,4,FALSE)</f>
        <v>-1.5428777613769789</v>
      </c>
      <c r="I472" s="32">
        <f ca="1">IF(Settings!$J$15="no",VLOOKUP(B472,'1B'!A1:I63,IF(Settings!$J$13="points",6,9),FALSE),VLOOKUP(B472,'1B+3B'!$A1:$I104,IF(Settings!$J$13="points",6,9),FALSE))</f>
        <v>-1.7683543915006656</v>
      </c>
      <c r="J472" s="31"/>
      <c r="K472" s="31">
        <f ca="1">J472-A472</f>
        <v>-471</v>
      </c>
      <c r="L472" s="31"/>
      <c r="M472" s="31">
        <f>VLOOKUP($B472,Hitters!$A1:$R401,4,FALSE)</f>
        <v>394.04444444444442</v>
      </c>
      <c r="N472" s="31">
        <f>VLOOKUP($B472,Hitters!$A1:$R401,5,FALSE)</f>
        <v>42.87833333333333</v>
      </c>
      <c r="O472" s="31">
        <f>VLOOKUP($B472,Hitters!$A1:$R401,6,FALSE)</f>
        <v>14.627777777777778</v>
      </c>
      <c r="P472" s="31">
        <f>VLOOKUP($B472,Hitters!$A1:$R401,7,FALSE)</f>
        <v>54.028888888888893</v>
      </c>
      <c r="Q472" s="31">
        <f>VLOOKUP($B472,Hitters!$A1:$R401,8,FALSE)</f>
        <v>0.99777777777777776</v>
      </c>
      <c r="R472" s="33">
        <f>VLOOKUP($B472,Hitters!$A$1:$R$401,14,FALSE)</f>
        <v>0.23594913151364766</v>
      </c>
      <c r="S472" s="33">
        <f>VLOOKUP($B472,Hitters!$A$1:$R$401,15,FALSE)</f>
        <v>0.30623554115742607</v>
      </c>
      <c r="T472" s="31">
        <f>VLOOKUP($B472,Hitters!$A$1:$R$401,9,FALSE)</f>
        <v>92.974444444444444</v>
      </c>
      <c r="U472" s="31">
        <f>VLOOKUP($B472,Hitters!$A$1:$R$401,10,FALSE)</f>
        <v>17.817777777777778</v>
      </c>
      <c r="V472" s="31">
        <f>VLOOKUP($B472,Hitters!$A$1:$R$401,11,FALSE)</f>
        <v>6.6666666666666654E-3</v>
      </c>
      <c r="W472" s="31">
        <f>VLOOKUP($B472,Hitters!$A$1:$R$401,12,FALSE)</f>
        <v>33.548888888888889</v>
      </c>
      <c r="X472" s="31">
        <f>VLOOKUP($B472,Hitters!$A$1:$R$401,13,FALSE)</f>
        <v>94.533333333333346</v>
      </c>
      <c r="Y472" s="33">
        <f>VLOOKUP($B472,Hitters!$A$1:$R$401,16,FALSE)</f>
        <v>0.39256711030904584</v>
      </c>
      <c r="Z472" s="33">
        <f>VLOOKUP($B472,Hitters!$A$1:$R$401,17,FALSE)</f>
        <v>0.69880265146647191</v>
      </c>
      <c r="AA472" s="31">
        <f>VLOOKUP($B472,Hitters!$A1:$R401,18,FALSE)</f>
        <v>0</v>
      </c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</row>
    <row r="473" spans="1:44" ht="18.600000000000001" customHeight="1">
      <c r="A473" s="25">
        <f ca="1">RANK(I473,I$2:I$651)</f>
        <v>472</v>
      </c>
      <c r="B473" s="26" t="s">
        <v>687</v>
      </c>
      <c r="C473" s="27" t="s">
        <v>217</v>
      </c>
      <c r="D473" s="27" t="s">
        <v>74</v>
      </c>
      <c r="E473" s="40" t="s">
        <v>7</v>
      </c>
      <c r="F473" s="41">
        <f ca="1">VLOOKUP(B473,'1B'!A1:I63,IF(Settings!$J$13="points",4,7),FALSE)</f>
        <v>42</v>
      </c>
      <c r="G473" s="30">
        <f>(M473*Settings!$B$2)+(N473*Settings!$B$3)+(O473*Settings!$B$4)+(P473*Settings!$B$5)+(Q473*Settings!$B$6)+((T473-U473-V473-O473)*Settings!$B$9)+(U473*Settings!$B$10)+(V473*Settings!$B$11)+(W473*Settings!$B$12)+(X473*Settings!$B$13)+(AA473*Settings!$B$16)</f>
        <v>250.17194444444439</v>
      </c>
      <c r="H473" s="31">
        <f>VLOOKUP(B473,'Standard Deviations'!$A1:$D651,4,FALSE)</f>
        <v>-1.5531522446741923</v>
      </c>
      <c r="I473" s="32">
        <f ca="1">IF(Settings!$J$15="no",VLOOKUP(B473,'1B'!A1:I63,IF(Settings!$J$13="points",6,9),FALSE),VLOOKUP(B473,'1B+3B'!$A1:$I104,IF(Settings!$J$13="points",6,9),FALSE))</f>
        <v>-1.7786345056924979</v>
      </c>
      <c r="J473" s="31"/>
      <c r="K473" s="31">
        <f ca="1">J473-A473</f>
        <v>-472</v>
      </c>
      <c r="L473" s="31"/>
      <c r="M473" s="31">
        <f>VLOOKUP($B473,Hitters!$A1:$R401,4,FALSE)</f>
        <v>367.90000000000003</v>
      </c>
      <c r="N473" s="31">
        <f>VLOOKUP($B473,Hitters!$A1:$R401,5,FALSE)</f>
        <v>51.645555555555553</v>
      </c>
      <c r="O473" s="31">
        <f>VLOOKUP($B473,Hitters!$A1:$R401,6,FALSE)</f>
        <v>12.846666666666666</v>
      </c>
      <c r="P473" s="31">
        <f>VLOOKUP($B473,Hitters!$A1:$R401,7,FALSE)</f>
        <v>43.916666666666664</v>
      </c>
      <c r="Q473" s="31">
        <f>VLOOKUP($B473,Hitters!$A1:$R401,8,FALSE)</f>
        <v>4.778888888888889</v>
      </c>
      <c r="R473" s="33">
        <f>VLOOKUP($B473,Hitters!$A$1:$R$401,14,FALSE)</f>
        <v>0.23091419769864999</v>
      </c>
      <c r="S473" s="33">
        <f>VLOOKUP($B473,Hitters!$A$1:$R$401,15,FALSE)</f>
        <v>0.3246598830458029</v>
      </c>
      <c r="T473" s="31">
        <f>VLOOKUP($B473,Hitters!$A$1:$R$401,9,FALSE)</f>
        <v>84.953333333333333</v>
      </c>
      <c r="U473" s="31">
        <f>VLOOKUP($B473,Hitters!$A$1:$R$401,10,FALSE)</f>
        <v>16.28222222222222</v>
      </c>
      <c r="V473" s="31">
        <f>VLOOKUP($B473,Hitters!$A$1:$R$401,11,FALSE)</f>
        <v>1.9833333333333334</v>
      </c>
      <c r="W473" s="31">
        <f>VLOOKUP($B473,Hitters!$A$1:$R$401,12,FALSE)</f>
        <v>45.408888888888889</v>
      </c>
      <c r="X473" s="31">
        <f>VLOOKUP($B473,Hitters!$A$1:$R$401,13,FALSE)</f>
        <v>88.198333333333338</v>
      </c>
      <c r="Y473" s="33">
        <f>VLOOKUP($B473,Hitters!$A$1:$R$401,16,FALSE)</f>
        <v>0.39071003593971793</v>
      </c>
      <c r="Z473" s="33">
        <f>VLOOKUP($B473,Hitters!$A$1:$R$401,17,FALSE)</f>
        <v>0.71536991898552083</v>
      </c>
      <c r="AA473" s="31">
        <f>VLOOKUP($B473,Hitters!$A1:$R401,18,FALSE)</f>
        <v>0</v>
      </c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</row>
    <row r="474" spans="1:44" ht="18.600000000000001" customHeight="1">
      <c r="A474" s="25">
        <f ca="1">RANK(I474,I$2:I$651)</f>
        <v>473</v>
      </c>
      <c r="B474" s="26" t="s">
        <v>357</v>
      </c>
      <c r="C474" s="27" t="s">
        <v>81</v>
      </c>
      <c r="D474" s="27" t="s">
        <v>74</v>
      </c>
      <c r="E474" s="28" t="s">
        <v>23</v>
      </c>
      <c r="F474" s="29">
        <f ca="1">VLOOKUP(B474,OF!A1:I139,IF(Settings!$J$13="points",4,7),FALSE)</f>
        <v>105</v>
      </c>
      <c r="G474" s="30">
        <f>(M474*Settings!$B$2)+(N474*Settings!$B$3)+(O474*Settings!$B$4)+(P474*Settings!$B$5)+(Q474*Settings!$B$6)+((T474-U474-V474-O474)*Settings!$B$9)+(U474*Settings!$B$10)+(V474*Settings!$B$11)+(W474*Settings!$B$12)+(X474*Settings!$B$13)+(AA474*Settings!$B$16)</f>
        <v>211.61333333333334</v>
      </c>
      <c r="H474" s="31">
        <f>VLOOKUP(B474,'Standard Deviations'!$A1:$D651,4,FALSE)</f>
        <v>-1.9441037964954095</v>
      </c>
      <c r="I474" s="32">
        <f ca="1">VLOOKUP(B474,OF!A1:I139,IF(Settings!$J$13="points",6,9),FALSE)</f>
        <v>-1.7871719957069843</v>
      </c>
      <c r="J474" s="31"/>
      <c r="K474" s="31">
        <f ca="1">J474-A474</f>
        <v>-473</v>
      </c>
      <c r="L474" s="31"/>
      <c r="M474" s="31">
        <f>VLOOKUP($B474,Hitters!$A1:$R401,4,FALSE)</f>
        <v>324.16666666666669</v>
      </c>
      <c r="N474" s="31">
        <f>VLOOKUP($B474,Hitters!$A1:$R401,5,FALSE)</f>
        <v>43.987777777777779</v>
      </c>
      <c r="O474" s="31">
        <f>VLOOKUP($B474,Hitters!$A1:$R401,6,FALSE)</f>
        <v>16.912222222222223</v>
      </c>
      <c r="P474" s="31">
        <f>VLOOKUP($B474,Hitters!$A1:$R401,7,FALSE)</f>
        <v>49.488888888888887</v>
      </c>
      <c r="Q474" s="31">
        <f>VLOOKUP($B474,Hitters!$A1:$R401,8,FALSE)</f>
        <v>4.4944444444444445</v>
      </c>
      <c r="R474" s="33">
        <f>VLOOKUP($B474,Hitters!$A$1:$R$401,14,FALSE)</f>
        <v>0.21623993144815765</v>
      </c>
      <c r="S474" s="33">
        <f>VLOOKUP($B474,Hitters!$A$1:$R$401,15,FALSE)</f>
        <v>0.30133277320062951</v>
      </c>
      <c r="T474" s="31">
        <f>VLOOKUP($B474,Hitters!$A$1:$R$401,9,FALSE)</f>
        <v>70.097777777777779</v>
      </c>
      <c r="U474" s="31">
        <f>VLOOKUP($B474,Hitters!$A$1:$R$401,10,FALSE)</f>
        <v>14.463333333333333</v>
      </c>
      <c r="V474" s="31">
        <f>VLOOKUP($B474,Hitters!$A$1:$R$401,11,FALSE)</f>
        <v>1.0016666666666667</v>
      </c>
      <c r="W474" s="31">
        <f>VLOOKUP($B474,Hitters!$A$1:$R$401,12,FALSE)</f>
        <v>34.173333333333332</v>
      </c>
      <c r="X474" s="31">
        <f>VLOOKUP($B474,Hitters!$A$1:$R$401,13,FALSE)</f>
        <v>124.65333333333332</v>
      </c>
      <c r="Y474" s="33">
        <f>VLOOKUP($B474,Hitters!$A$1:$R$401,16,FALSE)</f>
        <v>0.42355098543273351</v>
      </c>
      <c r="Z474" s="33">
        <f>VLOOKUP($B474,Hitters!$A$1:$R$401,17,FALSE)</f>
        <v>0.72488375863336296</v>
      </c>
      <c r="AA474" s="31">
        <f>VLOOKUP($B474,Hitters!$A1:$R401,18,FALSE)</f>
        <v>0</v>
      </c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</row>
    <row r="475" spans="1:44" ht="18.600000000000001" customHeight="1">
      <c r="A475" s="25">
        <f ca="1">RANK(I475,I$2:I$651)</f>
        <v>474</v>
      </c>
      <c r="B475" s="26" t="s">
        <v>552</v>
      </c>
      <c r="C475" s="27" t="s">
        <v>103</v>
      </c>
      <c r="D475" s="27" t="s">
        <v>69</v>
      </c>
      <c r="E475" s="36" t="s">
        <v>31</v>
      </c>
      <c r="F475" s="37">
        <f ca="1">VLOOKUP(B475,SP!A1:I161,IF(Settings!$J$13="points",4,7),FALSE)</f>
        <v>132</v>
      </c>
      <c r="G475" s="30">
        <f>(AC475*Settings!$F$2)+(AF475*Settings!$F$5)+(AG475*Settings!$F$6)+(AH475*Settings!$F$7)+(AI475*Settings!$F$8)+(AJ475*Settings!$F$9)+(AK475*Settings!$F$10)+(AL475*Settings!$F$11)+(AM475*Settings!$F$12)+(AN475*Settings!$F$13)+(AO475*Settings!$F$14)+(AP475*Settings!$F$15)+(AQ475*Settings!$F$16)+(AR475*Settings!$F$17)</f>
        <v>236.59999999999997</v>
      </c>
      <c r="H475" s="31">
        <f>VLOOKUP(B475,'Standard Deviations'!$A1:$D651,4,FALSE)</f>
        <v>-2.664902946431186</v>
      </c>
      <c r="I475" s="32">
        <f ca="1">IF(Settings!$J$16="no",VLOOKUP(B475,SP!A1:I161,IF(Settings!$J$13="points",6,9),FALSE),VLOOKUP(B475,'SP+RP'!$A1:$I251,IF(Settings!$J$13="points",6,9),FALSE))</f>
        <v>-1.7973208817477468</v>
      </c>
      <c r="J475" s="31"/>
      <c r="K475" s="31">
        <f ca="1">J475-A475</f>
        <v>-474</v>
      </c>
      <c r="L475" s="31"/>
      <c r="M475" s="31"/>
      <c r="N475" s="31"/>
      <c r="O475" s="31"/>
      <c r="P475" s="31"/>
      <c r="Q475" s="31"/>
      <c r="R475" s="33"/>
      <c r="S475" s="33"/>
      <c r="T475" s="31"/>
      <c r="U475" s="31"/>
      <c r="V475" s="31"/>
      <c r="W475" s="31"/>
      <c r="X475" s="31"/>
      <c r="Y475" s="33"/>
      <c r="Z475" s="33"/>
      <c r="AA475" s="31"/>
      <c r="AB475" s="31"/>
      <c r="AC475" s="31">
        <f>VLOOKUP($B475,Pitchers!$A1:$S251,4,FALSE)</f>
        <v>111.66833333333334</v>
      </c>
      <c r="AD475" s="33">
        <f>VLOOKUP($B475,Pitchers!$A1:$S251,5,FALSE)</f>
        <v>4.3852852942493392</v>
      </c>
      <c r="AE475" s="33">
        <f>VLOOKUP($B475,Pitchers!$A1:$S251,6,FALSE)</f>
        <v>1.3000179101804452</v>
      </c>
      <c r="AF475" s="31">
        <f>VLOOKUP($B475,Pitchers!$A1:$S251,7,FALSE)</f>
        <v>112.96166666666666</v>
      </c>
      <c r="AG475" s="31">
        <f>VLOOKUP($B475,Pitchers!$A1:$S251,8,FALSE)</f>
        <v>6.958333333333333</v>
      </c>
      <c r="AH475" s="31">
        <f>VLOOKUP($B475,Pitchers!$A1:$S251,9,FALSE)</f>
        <v>0</v>
      </c>
      <c r="AI475" s="31">
        <f>VLOOKUP($B475,Pitchers!$A1:$S251,10,FALSE)</f>
        <v>54.410833333333329</v>
      </c>
      <c r="AJ475" s="31">
        <f>VLOOKUP($B475,Pitchers!$A1:$S251,11,FALSE)</f>
        <v>105.47500000000001</v>
      </c>
      <c r="AK475" s="31">
        <f>VLOOKUP($B475,Pitchers!$A1:$S251,12,FALSE)</f>
        <v>39.695833333333333</v>
      </c>
      <c r="AL475" s="31">
        <f>VLOOKUP($B475,Pitchers!$A1:$S251,13,FALSE)</f>
        <v>16.066666666666666</v>
      </c>
      <c r="AM475" s="31">
        <f>VLOOKUP($B475,Pitchers!$A1:$S251,14,FALSE)</f>
        <v>27.111666666666668</v>
      </c>
      <c r="AN475" s="31">
        <f>VLOOKUP($B475,Pitchers!$A1:$S251,15,FALSE)</f>
        <v>21.411666666666665</v>
      </c>
      <c r="AO475" s="31">
        <f>VLOOKUP($B475,Pitchers!$A1:$S251,16,FALSE)</f>
        <v>6.8024999999999993</v>
      </c>
      <c r="AP475" s="31">
        <f>VLOOKUP($B475,Pitchers!$A1:$S251,17,FALSE)</f>
        <v>10</v>
      </c>
      <c r="AQ475" s="31">
        <f>VLOOKUP($B475,Pitchers!$A1:$S251,18,FALSE)</f>
        <v>0</v>
      </c>
      <c r="AR475" s="31">
        <f>VLOOKUP($B475,Pitchers!$A1:$S251,19,FALSE)</f>
        <v>0</v>
      </c>
    </row>
    <row r="476" spans="1:44" ht="20.100000000000001" customHeight="1">
      <c r="A476" s="25">
        <f ca="1">RANK(I476,I$2:I$651)</f>
        <v>475</v>
      </c>
      <c r="B476" s="26" t="s">
        <v>756</v>
      </c>
      <c r="C476" s="27" t="s">
        <v>63</v>
      </c>
      <c r="D476" s="27" t="s">
        <v>74</v>
      </c>
      <c r="E476" s="42" t="s">
        <v>34</v>
      </c>
      <c r="F476" s="43">
        <f ca="1">VLOOKUP(B476,RP!A1:I91,IF(Settings!$J$13="points",4,7),FALSE)</f>
        <v>81</v>
      </c>
      <c r="G476" s="30">
        <f>(AC476*Settings!$F$2)+(AF476*Settings!$F$5)+(AG476*Settings!$F$6)+(AH476*Settings!$F$7)+(AI476*Settings!$F$8)+(AJ476*Settings!$F$9)+(AK476*Settings!$F$10)+(AL476*Settings!$F$11)+(AM476*Settings!$F$12)+(AN476*Settings!$F$13)+(AO476*Settings!$F$14)+(AP476*Settings!$F$15)+(AQ476*Settings!$F$16)+(AR476*Settings!$F$17)</f>
        <v>143.2270833333333</v>
      </c>
      <c r="H476" s="31">
        <f>VLOOKUP(B476,'Standard Deviations'!$A1:$D651,4,FALSE)</f>
        <v>-2.6908662343677245</v>
      </c>
      <c r="I476" s="32">
        <f ca="1">IF(Settings!$J$16="no",VLOOKUP(B476,RP!A1:I91,IF(Settings!$J$13="points",6,9),FALSE),VLOOKUP(B476,'SP+RP'!$A1:$I251,IF(Settings!$J$13="points",6,9),FALSE))</f>
        <v>-1.8232826261123285</v>
      </c>
      <c r="J476" s="31"/>
      <c r="K476" s="31">
        <f ca="1">J476-A476</f>
        <v>-475</v>
      </c>
      <c r="L476" s="31"/>
      <c r="M476" s="31"/>
      <c r="N476" s="31"/>
      <c r="O476" s="31"/>
      <c r="P476" s="31"/>
      <c r="Q476" s="31"/>
      <c r="R476" s="33"/>
      <c r="S476" s="33"/>
      <c r="T476" s="31"/>
      <c r="U476" s="31"/>
      <c r="V476" s="31"/>
      <c r="W476" s="31"/>
      <c r="X476" s="31"/>
      <c r="Y476" s="33"/>
      <c r="Z476" s="33"/>
      <c r="AA476" s="31"/>
      <c r="AB476" s="31"/>
      <c r="AC476" s="31">
        <f>VLOOKUP($B476,Pitchers!$A1:$S251,4,FALSE)</f>
        <v>52.18333333333333</v>
      </c>
      <c r="AD476" s="33">
        <f>VLOOKUP($B476,Pitchers!$A1:$S251,5,FALSE)</f>
        <v>3.7346694346854048</v>
      </c>
      <c r="AE476" s="33">
        <f>VLOOKUP($B476,Pitchers!$A1:$S251,6,FALSE)</f>
        <v>1.2836154583200257</v>
      </c>
      <c r="AF476" s="31">
        <f>VLOOKUP($B476,Pitchers!$A1:$S251,7,FALSE)</f>
        <v>59.520833333333329</v>
      </c>
      <c r="AG476" s="31">
        <f>VLOOKUP($B476,Pitchers!$A1:$S251,8,FALSE)</f>
        <v>1.9958333333333333</v>
      </c>
      <c r="AH476" s="31">
        <f>VLOOKUP($B476,Pitchers!$A1:$S251,9,FALSE)</f>
        <v>6.708333333333333</v>
      </c>
      <c r="AI476" s="31">
        <f>VLOOKUP($B476,Pitchers!$A1:$S251,10,FALSE)</f>
        <v>21.654166666666669</v>
      </c>
      <c r="AJ476" s="31">
        <f>VLOOKUP($B476,Pitchers!$A1:$S251,11,FALSE)</f>
        <v>42.116666666666667</v>
      </c>
      <c r="AK476" s="31">
        <f>VLOOKUP($B476,Pitchers!$A1:$S251,12,FALSE)</f>
        <v>24.866666666666667</v>
      </c>
      <c r="AL476" s="31">
        <f>VLOOKUP($B476,Pitchers!$A1:$S251,13,FALSE)</f>
        <v>5.125</v>
      </c>
      <c r="AM476" s="31">
        <f>VLOOKUP($B476,Pitchers!$A1:$S251,14,FALSE)</f>
        <v>52.283333333333331</v>
      </c>
      <c r="AN476" s="31">
        <f>VLOOKUP($B476,Pitchers!$A1:$S251,15,FALSE)</f>
        <v>0</v>
      </c>
      <c r="AO476" s="31">
        <f>VLOOKUP($B476,Pitchers!$A1:$S251,16,FALSE)</f>
        <v>3.0750000000000002</v>
      </c>
      <c r="AP476" s="31">
        <f>VLOOKUP($B476,Pitchers!$A1:$S251,17,FALSE)</f>
        <v>0</v>
      </c>
      <c r="AQ476" s="31">
        <f>VLOOKUP($B476,Pitchers!$A1:$S251,18,FALSE)</f>
        <v>12.3</v>
      </c>
      <c r="AR476" s="31">
        <f>VLOOKUP($B476,Pitchers!$A1:$S251,19,FALSE)</f>
        <v>8.1999999999999993</v>
      </c>
    </row>
    <row r="477" spans="1:44" ht="18.600000000000001" customHeight="1">
      <c r="A477" s="25">
        <f ca="1">RANK(I477,I$2:I$651)</f>
        <v>476</v>
      </c>
      <c r="B477" s="26" t="s">
        <v>583</v>
      </c>
      <c r="C477" s="27" t="s">
        <v>134</v>
      </c>
      <c r="D477" s="27" t="s">
        <v>74</v>
      </c>
      <c r="E477" s="42" t="s">
        <v>34</v>
      </c>
      <c r="F477" s="43">
        <f ca="1">VLOOKUP(B477,RP!A1:I91,IF(Settings!$J$13="points",4,7),FALSE)</f>
        <v>82</v>
      </c>
      <c r="G477" s="30">
        <f>(AC477*Settings!$F$2)+(AF477*Settings!$F$5)+(AG477*Settings!$F$6)+(AH477*Settings!$F$7)+(AI477*Settings!$F$8)+(AJ477*Settings!$F$9)+(AK477*Settings!$F$10)+(AL477*Settings!$F$11)+(AM477*Settings!$F$12)+(AN477*Settings!$F$13)+(AO477*Settings!$F$14)+(AP477*Settings!$F$15)+(AQ477*Settings!$F$16)+(AR477*Settings!$F$17)</f>
        <v>118.49722222222221</v>
      </c>
      <c r="H477" s="31">
        <f>VLOOKUP(B477,'Standard Deviations'!$A1:$D651,4,FALSE)</f>
        <v>-2.6915208131009942</v>
      </c>
      <c r="I477" s="32">
        <f ca="1">IF(Settings!$J$16="no",VLOOKUP(B477,RP!A1:I91,IF(Settings!$J$13="points",6,9),FALSE),VLOOKUP(B477,'SP+RP'!$A1:$I251,IF(Settings!$J$13="points",6,9),FALSE))</f>
        <v>-1.8239361408472567</v>
      </c>
      <c r="J477" s="31"/>
      <c r="K477" s="31">
        <f ca="1">J477-A477</f>
        <v>-476</v>
      </c>
      <c r="L477" s="31"/>
      <c r="M477" s="31"/>
      <c r="N477" s="31"/>
      <c r="O477" s="31"/>
      <c r="P477" s="31"/>
      <c r="Q477" s="31"/>
      <c r="R477" s="33"/>
      <c r="S477" s="33"/>
      <c r="T477" s="31"/>
      <c r="U477" s="31"/>
      <c r="V477" s="31"/>
      <c r="W477" s="31"/>
      <c r="X477" s="31"/>
      <c r="Y477" s="33"/>
      <c r="Z477" s="33"/>
      <c r="AA477" s="31"/>
      <c r="AB477" s="31"/>
      <c r="AC477" s="31">
        <f>VLOOKUP($B477,Pitchers!$A1:$S251,4,FALSE)</f>
        <v>54.975555555555552</v>
      </c>
      <c r="AD477" s="33">
        <f>VLOOKUP($B477,Pitchers!$A1:$S251,5,FALSE)</f>
        <v>3.7975059622458471</v>
      </c>
      <c r="AE477" s="33">
        <f>VLOOKUP($B477,Pitchers!$A1:$S251,6,FALSE)</f>
        <v>1.2367921096244796</v>
      </c>
      <c r="AF477" s="31">
        <f>VLOOKUP($B477,Pitchers!$A1:$S251,7,FALSE)</f>
        <v>63.425555555555555</v>
      </c>
      <c r="AG477" s="31">
        <f>VLOOKUP($B477,Pitchers!$A1:$S251,8,FALSE)</f>
        <v>3.0100000000000002</v>
      </c>
      <c r="AH477" s="31">
        <f>VLOOKUP($B477,Pitchers!$A1:$S251,9,FALSE)</f>
        <v>1.0666666666666667</v>
      </c>
      <c r="AI477" s="31">
        <f>VLOOKUP($B477,Pitchers!$A1:$S251,10,FALSE)</f>
        <v>23.196666666666669</v>
      </c>
      <c r="AJ477" s="31">
        <f>VLOOKUP($B477,Pitchers!$A1:$S251,11,FALSE)</f>
        <v>45.418888888888887</v>
      </c>
      <c r="AK477" s="31">
        <f>VLOOKUP($B477,Pitchers!$A1:$S251,12,FALSE)</f>
        <v>22.574444444444442</v>
      </c>
      <c r="AL477" s="31">
        <f>VLOOKUP($B477,Pitchers!$A1:$S251,13,FALSE)</f>
        <v>7</v>
      </c>
      <c r="AM477" s="31">
        <f>VLOOKUP($B477,Pitchers!$A1:$S251,14,FALSE)</f>
        <v>57.164444444444449</v>
      </c>
      <c r="AN477" s="31">
        <f>VLOOKUP($B477,Pitchers!$A1:$S251,15,FALSE)</f>
        <v>0</v>
      </c>
      <c r="AO477" s="31">
        <f>VLOOKUP($B477,Pitchers!$A1:$S251,16,FALSE)</f>
        <v>3.0977777777777775</v>
      </c>
      <c r="AP477" s="31">
        <f>VLOOKUP($B477,Pitchers!$A1:$S251,17,FALSE)</f>
        <v>0</v>
      </c>
      <c r="AQ477" s="31">
        <f>VLOOKUP($B477,Pitchers!$A1:$S251,18,FALSE)</f>
        <v>14.5</v>
      </c>
      <c r="AR477" s="31">
        <f>VLOOKUP($B477,Pitchers!$A1:$S251,19,FALSE)</f>
        <v>2</v>
      </c>
    </row>
    <row r="478" spans="1:44" ht="20.100000000000001" customHeight="1">
      <c r="A478" s="25">
        <f ca="1">RANK(I478,I$2:I$651)</f>
        <v>477</v>
      </c>
      <c r="B478" s="26" t="s">
        <v>412</v>
      </c>
      <c r="C478" s="27" t="s">
        <v>123</v>
      </c>
      <c r="D478" s="27" t="s">
        <v>74</v>
      </c>
      <c r="E478" s="28" t="s">
        <v>23</v>
      </c>
      <c r="F478" s="29">
        <f ca="1">VLOOKUP(B478,OF!A1:I139,IF(Settings!$J$13="points",4,7),FALSE)</f>
        <v>106</v>
      </c>
      <c r="G478" s="30">
        <f>(M478*Settings!$B$2)+(N478*Settings!$B$3)+(O478*Settings!$B$4)+(P478*Settings!$B$5)+(Q478*Settings!$B$6)+((T478-U478-V478-O478)*Settings!$B$9)+(U478*Settings!$B$10)+(V478*Settings!$B$11)+(W478*Settings!$B$12)+(X478*Settings!$B$13)+(AA478*Settings!$B$16)</f>
        <v>193.02500000000001</v>
      </c>
      <c r="H478" s="31">
        <f>VLOOKUP(B478,'Standard Deviations'!$A1:$D651,4,FALSE)</f>
        <v>-2.0063619713447509</v>
      </c>
      <c r="I478" s="32">
        <f ca="1">VLOOKUP(B478,OF!A1:I139,IF(Settings!$J$13="points",6,9),FALSE)</f>
        <v>-1.8494299915070112</v>
      </c>
      <c r="J478" s="31"/>
      <c r="K478" s="31">
        <f ca="1">J478-A478</f>
        <v>-477</v>
      </c>
      <c r="L478" s="31"/>
      <c r="M478" s="31">
        <f>VLOOKUP($B478,Hitters!$A1:$R401,4,FALSE)</f>
        <v>281.66666666666669</v>
      </c>
      <c r="N478" s="31">
        <f>VLOOKUP($B478,Hitters!$A1:$R401,5,FALSE)</f>
        <v>36.725000000000001</v>
      </c>
      <c r="O478" s="31">
        <f>VLOOKUP($B478,Hitters!$A1:$R401,6,FALSE)</f>
        <v>13.304444444444444</v>
      </c>
      <c r="P478" s="31">
        <f>VLOOKUP($B478,Hitters!$A1:$R401,7,FALSE)</f>
        <v>41.531666666666666</v>
      </c>
      <c r="Q478" s="31">
        <f>VLOOKUP($B478,Hitters!$A1:$R401,8,FALSE)</f>
        <v>1</v>
      </c>
      <c r="R478" s="33">
        <f>VLOOKUP($B478,Hitters!$A$1:$R$401,14,FALSE)</f>
        <v>0.24659171597633134</v>
      </c>
      <c r="S478" s="33">
        <f>VLOOKUP($B478,Hitters!$A$1:$R$401,15,FALSE)</f>
        <v>0.3111854760085373</v>
      </c>
      <c r="T478" s="31">
        <f>VLOOKUP($B478,Hitters!$A$1:$R$401,9,FALSE)</f>
        <v>69.456666666666663</v>
      </c>
      <c r="U478" s="31">
        <f>VLOOKUP($B478,Hitters!$A$1:$R$401,10,FALSE)</f>
        <v>14.294444444444444</v>
      </c>
      <c r="V478" s="31">
        <f>VLOOKUP($B478,Hitters!$A$1:$R$401,11,FALSE)</f>
        <v>0.51666666666666672</v>
      </c>
      <c r="W478" s="31">
        <f>VLOOKUP($B478,Hitters!$A$1:$R$401,12,FALSE)</f>
        <v>21.916666666666668</v>
      </c>
      <c r="X478" s="31">
        <f>VLOOKUP($B478,Hitters!$A$1:$R$401,13,FALSE)</f>
        <v>67.692222222222213</v>
      </c>
      <c r="Y478" s="33">
        <f>VLOOKUP($B478,Hitters!$A$1:$R$401,16,FALSE)</f>
        <v>0.44271400394477317</v>
      </c>
      <c r="Z478" s="33">
        <f>VLOOKUP($B478,Hitters!$A$1:$R$401,17,FALSE)</f>
        <v>0.75389947995331053</v>
      </c>
      <c r="AA478" s="31">
        <f>VLOOKUP($B478,Hitters!$A1:$R401,18,FALSE)</f>
        <v>0</v>
      </c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</row>
    <row r="479" spans="1:44" ht="18.600000000000001" customHeight="1">
      <c r="A479" s="25">
        <f ca="1">RANK(I479,I$2:I$651)</f>
        <v>478</v>
      </c>
      <c r="B479" s="26" t="s">
        <v>391</v>
      </c>
      <c r="C479" s="27" t="s">
        <v>63</v>
      </c>
      <c r="D479" s="27" t="s">
        <v>74</v>
      </c>
      <c r="E479" s="36" t="s">
        <v>31</v>
      </c>
      <c r="F479" s="37">
        <f ca="1">VLOOKUP(B479,SP!A1:I161,IF(Settings!$J$13="points",4,7),FALSE)</f>
        <v>133</v>
      </c>
      <c r="G479" s="30">
        <f>(AC479*Settings!$F$2)+(AF479*Settings!$F$5)+(AG479*Settings!$F$6)+(AH479*Settings!$F$7)+(AI479*Settings!$F$8)+(AJ479*Settings!$F$9)+(AK479*Settings!$F$10)+(AL479*Settings!$F$11)+(AM479*Settings!$F$12)+(AN479*Settings!$F$13)+(AO479*Settings!$F$14)+(AP479*Settings!$F$15)+(AQ479*Settings!$F$16)+(AR479*Settings!$F$17)</f>
        <v>246.77111111111105</v>
      </c>
      <c r="H479" s="31">
        <f>VLOOKUP(B479,'Standard Deviations'!$A1:$D651,4,FALSE)</f>
        <v>-2.719644044662838</v>
      </c>
      <c r="I479" s="32">
        <f ca="1">IF(Settings!$J$16="no",VLOOKUP(B479,SP!A1:I161,IF(Settings!$J$13="points",6,9),FALSE),VLOOKUP(B479,'SP+RP'!$A1:$I251,IF(Settings!$J$13="points",6,9),FALSE))</f>
        <v>-1.8520614938031139</v>
      </c>
      <c r="J479" s="31"/>
      <c r="K479" s="31">
        <f ca="1">J479-A479</f>
        <v>-478</v>
      </c>
      <c r="L479" s="31"/>
      <c r="M479" s="31"/>
      <c r="N479" s="31"/>
      <c r="O479" s="31"/>
      <c r="P479" s="31"/>
      <c r="Q479" s="31"/>
      <c r="R479" s="33"/>
      <c r="S479" s="33"/>
      <c r="T479" s="31"/>
      <c r="U479" s="31"/>
      <c r="V479" s="31"/>
      <c r="W479" s="31"/>
      <c r="X479" s="31"/>
      <c r="Y479" s="33"/>
      <c r="Z479" s="33"/>
      <c r="AA479" s="31"/>
      <c r="AB479" s="31"/>
      <c r="AC479" s="31">
        <f>VLOOKUP($B479,Pitchers!$A1:$S251,4,FALSE)</f>
        <v>123.01777777777778</v>
      </c>
      <c r="AD479" s="33">
        <f>VLOOKUP($B479,Pitchers!$A1:$S251,5,FALSE)</f>
        <v>4.2158134325662058</v>
      </c>
      <c r="AE479" s="33">
        <f>VLOOKUP($B479,Pitchers!$A1:$S251,6,FALSE)</f>
        <v>1.3307200404638897</v>
      </c>
      <c r="AF479" s="31">
        <f>VLOOKUP($B479,Pitchers!$A1:$S251,7,FALSE)</f>
        <v>107.71111111111111</v>
      </c>
      <c r="AG479" s="31">
        <f>VLOOKUP($B479,Pitchers!$A1:$S251,8,FALSE)</f>
        <v>6.3500000000000005</v>
      </c>
      <c r="AH479" s="31">
        <f>VLOOKUP($B479,Pitchers!$A1:$S251,9,FALSE)</f>
        <v>1.4000000000000001</v>
      </c>
      <c r="AI479" s="31">
        <f>VLOOKUP($B479,Pitchers!$A1:$S251,10,FALSE)</f>
        <v>57.624444444444443</v>
      </c>
      <c r="AJ479" s="31">
        <f>VLOOKUP($B479,Pitchers!$A1:$S251,11,FALSE)</f>
        <v>117.32222222222224</v>
      </c>
      <c r="AK479" s="31">
        <f>VLOOKUP($B479,Pitchers!$A1:$S251,12,FALSE)</f>
        <v>46.379999999999995</v>
      </c>
      <c r="AL479" s="31">
        <f>VLOOKUP($B479,Pitchers!$A1:$S251,13,FALSE)</f>
        <v>16.433333333333334</v>
      </c>
      <c r="AM479" s="31">
        <f>VLOOKUP($B479,Pitchers!$A1:$S251,14,FALSE)</f>
        <v>32.996666666666663</v>
      </c>
      <c r="AN479" s="31">
        <f>VLOOKUP($B479,Pitchers!$A1:$S251,15,FALSE)</f>
        <v>18.896666666666665</v>
      </c>
      <c r="AO479" s="31">
        <f>VLOOKUP($B479,Pitchers!$A1:$S251,16,FALSE)</f>
        <v>6.0122222222222232</v>
      </c>
      <c r="AP479" s="31">
        <f>VLOOKUP($B479,Pitchers!$A1:$S251,17,FALSE)</f>
        <v>7</v>
      </c>
      <c r="AQ479" s="31">
        <f>VLOOKUP($B479,Pitchers!$A1:$S251,18,FALSE)</f>
        <v>2</v>
      </c>
      <c r="AR479" s="31">
        <f>VLOOKUP($B479,Pitchers!$A1:$S251,19,FALSE)</f>
        <v>0</v>
      </c>
    </row>
    <row r="480" spans="1:44" ht="18.600000000000001" customHeight="1">
      <c r="A480" s="25">
        <f ca="1">RANK(I480,I$2:I$651)</f>
        <v>479</v>
      </c>
      <c r="B480" s="26" t="s">
        <v>628</v>
      </c>
      <c r="C480" s="27" t="s">
        <v>76</v>
      </c>
      <c r="D480" s="27" t="s">
        <v>69</v>
      </c>
      <c r="E480" s="42" t="s">
        <v>34</v>
      </c>
      <c r="F480" s="43">
        <f ca="1">VLOOKUP(B480,RP!A1:I91,IF(Settings!$J$13="points",4,7),FALSE)</f>
        <v>83</v>
      </c>
      <c r="G480" s="30">
        <f>(AC480*Settings!$F$2)+(AF480*Settings!$F$5)+(AG480*Settings!$F$6)+(AH480*Settings!$F$7)+(AI480*Settings!$F$8)+(AJ480*Settings!$F$9)+(AK480*Settings!$F$10)+(AL480*Settings!$F$11)+(AM480*Settings!$F$12)+(AN480*Settings!$F$13)+(AO480*Settings!$F$14)+(AP480*Settings!$F$15)+(AQ480*Settings!$F$16)+(AR480*Settings!$F$17)</f>
        <v>122.0708333333333</v>
      </c>
      <c r="H480" s="31">
        <f>VLOOKUP(B480,'Standard Deviations'!$A1:$D651,4,FALSE)</f>
        <v>-2.7215707005569674</v>
      </c>
      <c r="I480" s="32">
        <f ca="1">IF(Settings!$J$16="no",VLOOKUP(B480,RP!A1:I91,IF(Settings!$J$13="points",6,9),FALSE),VLOOKUP(B480,'SP+RP'!$A1:$I251,IF(Settings!$J$13="points",6,9),FALSE))</f>
        <v>-1.853989333713153</v>
      </c>
      <c r="J480" s="31"/>
      <c r="K480" s="31">
        <f ca="1">J480-A480</f>
        <v>-479</v>
      </c>
      <c r="L480" s="31"/>
      <c r="M480" s="31"/>
      <c r="N480" s="31"/>
      <c r="O480" s="31"/>
      <c r="P480" s="31"/>
      <c r="Q480" s="31"/>
      <c r="R480" s="33"/>
      <c r="S480" s="33"/>
      <c r="T480" s="31"/>
      <c r="U480" s="31"/>
      <c r="V480" s="31"/>
      <c r="W480" s="31"/>
      <c r="X480" s="31"/>
      <c r="Y480" s="33"/>
      <c r="Z480" s="33"/>
      <c r="AA480" s="31"/>
      <c r="AB480" s="31"/>
      <c r="AC480" s="31">
        <f>VLOOKUP($B480,Pitchers!$A1:$S251,4,FALSE)</f>
        <v>57.979166666666664</v>
      </c>
      <c r="AD480" s="33">
        <f>VLOOKUP($B480,Pitchers!$A1:$S251,5,FALSE)</f>
        <v>3.8165432985986341</v>
      </c>
      <c r="AE480" s="33">
        <f>VLOOKUP($B480,Pitchers!$A1:$S251,6,FALSE)</f>
        <v>1.231304347826087</v>
      </c>
      <c r="AF480" s="31">
        <f>VLOOKUP($B480,Pitchers!$A1:$S251,7,FALSE)</f>
        <v>65.076666666666668</v>
      </c>
      <c r="AG480" s="31">
        <f>VLOOKUP($B480,Pitchers!$A1:$S251,8,FALSE)</f>
        <v>3.2149999999999999</v>
      </c>
      <c r="AH480" s="31">
        <f>VLOOKUP($B480,Pitchers!$A1:$S251,9,FALSE)</f>
        <v>0</v>
      </c>
      <c r="AI480" s="31">
        <f>VLOOKUP($B480,Pitchers!$A1:$S251,10,FALSE)</f>
        <v>24.586666666666662</v>
      </c>
      <c r="AJ480" s="31">
        <f>VLOOKUP($B480,Pitchers!$A1:$S251,11,FALSE)</f>
        <v>49.65</v>
      </c>
      <c r="AK480" s="31">
        <f>VLOOKUP($B480,Pitchers!$A1:$S251,12,FALSE)</f>
        <v>21.74</v>
      </c>
      <c r="AL480" s="31">
        <f>VLOOKUP($B480,Pitchers!$A1:$S251,13,FALSE)</f>
        <v>7</v>
      </c>
      <c r="AM480" s="31">
        <f>VLOOKUP($B480,Pitchers!$A1:$S251,14,FALSE)</f>
        <v>54.386666666666663</v>
      </c>
      <c r="AN480" s="31">
        <f>VLOOKUP($B480,Pitchers!$A1:$S251,15,FALSE)</f>
        <v>0.5</v>
      </c>
      <c r="AO480" s="31">
        <f>VLOOKUP($B480,Pitchers!$A1:$S251,16,FALSE)</f>
        <v>2.186666666666667</v>
      </c>
      <c r="AP480" s="31">
        <f>VLOOKUP($B480,Pitchers!$A1:$S251,17,FALSE)</f>
        <v>0</v>
      </c>
      <c r="AQ480" s="31">
        <f>VLOOKUP($B480,Pitchers!$A1:$S251,18,FALSE)</f>
        <v>6</v>
      </c>
      <c r="AR480" s="31">
        <f>VLOOKUP($B480,Pitchers!$A1:$S251,19,FALSE)</f>
        <v>1</v>
      </c>
    </row>
    <row r="481" spans="1:44" ht="20.100000000000001" customHeight="1">
      <c r="A481" s="25">
        <f ca="1">RANK(I481,I$2:I$651)</f>
        <v>480</v>
      </c>
      <c r="B481" s="26" t="s">
        <v>617</v>
      </c>
      <c r="C481" s="27" t="s">
        <v>123</v>
      </c>
      <c r="D481" s="27" t="s">
        <v>74</v>
      </c>
      <c r="E481" s="48" t="s">
        <v>11</v>
      </c>
      <c r="F481" s="49">
        <f ca="1">VLOOKUP(B481,'2B'!A1:I50,IF(Settings!$J$13="points",4,7),FALSE)</f>
        <v>36</v>
      </c>
      <c r="G481" s="30">
        <f>(M481*Settings!$B$2)+(N481*Settings!$B$3)+(O481*Settings!$B$4)+(P481*Settings!$B$5)+(Q481*Settings!$B$6)+((T481-U481-V481-O481)*Settings!$B$9)+(U481*Settings!$B$10)+(V481*Settings!$B$11)+(W481*Settings!$B$12)+(X481*Settings!$B$13)+(AA481*Settings!$B$16)</f>
        <v>200.97555555555556</v>
      </c>
      <c r="H481" s="31">
        <f>VLOOKUP(B481,'Standard Deviations'!$A1:$D651,4,FALSE)</f>
        <v>-1.85267460618103</v>
      </c>
      <c r="I481" s="32">
        <f ca="1">IF(Settings!$J$16="no",VLOOKUP(B481,'2B'!A1:I50,IF(Settings!$J$13="points",6,9),FALSE),VLOOKUP(B481,'2B+SS'!$A1:$I94,IF(Settings!$J$13="points",6,9),FALSE))</f>
        <v>-1.8587136164528411</v>
      </c>
      <c r="J481" s="31"/>
      <c r="K481" s="31">
        <f ca="1">J481-A481</f>
        <v>-480</v>
      </c>
      <c r="L481" s="31"/>
      <c r="M481" s="31">
        <f>VLOOKUP($B481,Hitters!$A1:$R401,4,FALSE)</f>
        <v>319.77777777777777</v>
      </c>
      <c r="N481" s="31">
        <f>VLOOKUP($B481,Hitters!$A1:$R401,5,FALSE)</f>
        <v>42.731111111111112</v>
      </c>
      <c r="O481" s="31">
        <f>VLOOKUP($B481,Hitters!$A1:$R401,6,FALSE)</f>
        <v>14.911111111111111</v>
      </c>
      <c r="P481" s="31">
        <f>VLOOKUP($B481,Hitters!$A1:$R401,7,FALSE)</f>
        <v>44.984444444444442</v>
      </c>
      <c r="Q481" s="31">
        <f>VLOOKUP($B481,Hitters!$A1:$R401,8,FALSE)</f>
        <v>2.3322222222222222</v>
      </c>
      <c r="R481" s="33">
        <f>VLOOKUP($B481,Hitters!$A$1:$R$401,14,FALSE)</f>
        <v>0.2337560806115358</v>
      </c>
      <c r="S481" s="33">
        <f>VLOOKUP($B481,Hitters!$A$1:$R$401,15,FALSE)</f>
        <v>0.30318474083563263</v>
      </c>
      <c r="T481" s="31">
        <f>VLOOKUP($B481,Hitters!$A$1:$R$401,9,FALSE)</f>
        <v>74.75</v>
      </c>
      <c r="U481" s="31">
        <f>VLOOKUP($B481,Hitters!$A$1:$R$401,10,FALSE)</f>
        <v>14.555555555555555</v>
      </c>
      <c r="V481" s="31">
        <f>VLOOKUP($B481,Hitters!$A$1:$R$401,11,FALSE)</f>
        <v>0.98333333333333339</v>
      </c>
      <c r="W481" s="31">
        <f>VLOOKUP($B481,Hitters!$A$1:$R$401,12,FALSE)</f>
        <v>26.650000000000002</v>
      </c>
      <c r="X481" s="31">
        <f>VLOOKUP($B481,Hitters!$A$1:$R$401,13,FALSE)</f>
        <v>108.12</v>
      </c>
      <c r="Y481" s="33">
        <f>VLOOKUP($B481,Hitters!$A$1:$R$401,16,FALSE)</f>
        <v>0.42531271716469771</v>
      </c>
      <c r="Z481" s="33">
        <f>VLOOKUP($B481,Hitters!$A$1:$R$401,17,FALSE)</f>
        <v>0.72849745800033028</v>
      </c>
      <c r="AA481" s="31">
        <f>VLOOKUP($B481,Hitters!$A1:$R401,18,FALSE)</f>
        <v>0</v>
      </c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</row>
    <row r="482" spans="1:44" ht="20.100000000000001" customHeight="1">
      <c r="A482" s="25">
        <f ca="1">RANK(I482,I$2:I$651)</f>
        <v>481</v>
      </c>
      <c r="B482" s="26" t="s">
        <v>597</v>
      </c>
      <c r="C482" s="27" t="s">
        <v>99</v>
      </c>
      <c r="D482" s="27" t="s">
        <v>69</v>
      </c>
      <c r="E482" s="42" t="s">
        <v>34</v>
      </c>
      <c r="F482" s="43">
        <f ca="1">VLOOKUP(B482,RP!A1:I91,IF(Settings!$J$13="points",4,7),FALSE)</f>
        <v>84</v>
      </c>
      <c r="G482" s="30">
        <f>(AC482*Settings!$F$2)+(AF482*Settings!$F$5)+(AG482*Settings!$F$6)+(AH482*Settings!$F$7)+(AI482*Settings!$F$8)+(AJ482*Settings!$F$9)+(AK482*Settings!$F$10)+(AL482*Settings!$F$11)+(AM482*Settings!$F$12)+(AN482*Settings!$F$13)+(AO482*Settings!$F$14)+(AP482*Settings!$F$15)+(AQ482*Settings!$F$16)+(AR482*Settings!$F$17)</f>
        <v>136.38125000000002</v>
      </c>
      <c r="H482" s="31">
        <f>VLOOKUP(B482,'Standard Deviations'!$A1:$D651,4,FALSE)</f>
        <v>-2.7287457631938441</v>
      </c>
      <c r="I482" s="32">
        <f ca="1">IF(Settings!$J$16="no",VLOOKUP(B482,RP!A1:I91,IF(Settings!$J$13="points",6,9),FALSE),VLOOKUP(B482,'SP+RP'!$A1:$I251,IF(Settings!$J$13="points",6,9),FALSE))</f>
        <v>-1.8611649680159559</v>
      </c>
      <c r="J482" s="31"/>
      <c r="K482" s="31">
        <f ca="1">J482-A482</f>
        <v>-481</v>
      </c>
      <c r="L482" s="31"/>
      <c r="M482" s="31"/>
      <c r="N482" s="31"/>
      <c r="O482" s="31"/>
      <c r="P482" s="31"/>
      <c r="Q482" s="31"/>
      <c r="R482" s="33"/>
      <c r="S482" s="33"/>
      <c r="T482" s="31"/>
      <c r="U482" s="31"/>
      <c r="V482" s="31"/>
      <c r="W482" s="31"/>
      <c r="X482" s="31"/>
      <c r="Y482" s="33"/>
      <c r="Z482" s="33"/>
      <c r="AA482" s="31"/>
      <c r="AB482" s="31"/>
      <c r="AC482" s="31">
        <f>VLOOKUP($B482,Pitchers!$A1:$S251,4,FALSE)</f>
        <v>61.171666666666674</v>
      </c>
      <c r="AD482" s="33">
        <f>VLOOKUP($B482,Pitchers!$A1:$S251,5,FALSE)</f>
        <v>3.7586028390049857</v>
      </c>
      <c r="AE482" s="33">
        <f>VLOOKUP($B482,Pitchers!$A1:$S251,6,FALSE)</f>
        <v>1.2826471950521754</v>
      </c>
      <c r="AF482" s="31">
        <f>VLOOKUP($B482,Pitchers!$A1:$S251,7,FALSE)</f>
        <v>77.599166666666676</v>
      </c>
      <c r="AG482" s="31">
        <f>VLOOKUP($B482,Pitchers!$A1:$S251,8,FALSE)</f>
        <v>3.7666666666666671</v>
      </c>
      <c r="AH482" s="31">
        <f>VLOOKUP($B482,Pitchers!$A1:$S251,9,FALSE)</f>
        <v>0</v>
      </c>
      <c r="AI482" s="31">
        <f>VLOOKUP($B482,Pitchers!$A1:$S251,10,FALSE)</f>
        <v>25.546666666666667</v>
      </c>
      <c r="AJ482" s="31">
        <f>VLOOKUP($B482,Pitchers!$A1:$S251,11,FALSE)</f>
        <v>49.136666666666663</v>
      </c>
      <c r="AK482" s="31">
        <f>VLOOKUP($B482,Pitchers!$A1:$S251,12,FALSE)</f>
        <v>29.324999999999999</v>
      </c>
      <c r="AL482" s="31">
        <f>VLOOKUP($B482,Pitchers!$A1:$S251,13,FALSE)</f>
        <v>6.7666666666666666</v>
      </c>
      <c r="AM482" s="31">
        <f>VLOOKUP($B482,Pitchers!$A1:$S251,14,FALSE)</f>
        <v>38.928333333333335</v>
      </c>
      <c r="AN482" s="31">
        <f>VLOOKUP($B482,Pitchers!$A1:$S251,15,FALSE)</f>
        <v>5.4716666666666667</v>
      </c>
      <c r="AO482" s="31">
        <f>VLOOKUP($B482,Pitchers!$A1:$S251,16,FALSE)</f>
        <v>3.4583333333333335</v>
      </c>
      <c r="AP482" s="31">
        <f>VLOOKUP($B482,Pitchers!$A1:$S251,17,FALSE)</f>
        <v>3</v>
      </c>
      <c r="AQ482" s="31">
        <f>VLOOKUP($B482,Pitchers!$A1:$S251,18,FALSE)</f>
        <v>4</v>
      </c>
      <c r="AR482" s="31">
        <f>VLOOKUP($B482,Pitchers!$A1:$S251,19,FALSE)</f>
        <v>1</v>
      </c>
    </row>
    <row r="483" spans="1:44" ht="18.600000000000001" customHeight="1">
      <c r="A483" s="25">
        <f ca="1">RANK(I483,I$2:I$651)</f>
        <v>482</v>
      </c>
      <c r="B483" s="26" t="s">
        <v>561</v>
      </c>
      <c r="C483" s="27" t="s">
        <v>137</v>
      </c>
      <c r="D483" s="27" t="s">
        <v>74</v>
      </c>
      <c r="E483" s="34" t="s">
        <v>15</v>
      </c>
      <c r="F483" s="35">
        <f ca="1">VLOOKUP(B483,'3B'!A1:I55,IF(Settings!$J$13="points",4,7),FALSE)</f>
        <v>31</v>
      </c>
      <c r="G483" s="30">
        <f>(M483*Settings!$B$2)+(N483*Settings!$B$3)+(O483*Settings!$B$4)+(P483*Settings!$B$5)+(Q483*Settings!$B$6)+((T483-U483-V483-O483)*Settings!$B$9)+(U483*Settings!$B$10)+(V483*Settings!$B$11)+(W483*Settings!$B$12)+(X483*Settings!$B$13)+(AA483*Settings!$B$16)</f>
        <v>225.54388888888892</v>
      </c>
      <c r="H483" s="31">
        <f>VLOOKUP(B483,'Standard Deviations'!$A1:$D651,4,FALSE)</f>
        <v>-1.6454525425925841</v>
      </c>
      <c r="I483" s="32">
        <f ca="1">IF(Settings!$J$15="no",VLOOKUP(B483,'3B'!A1:I55,IF(Settings!$J$13="points",6,9),FALSE),VLOOKUP(B483,'1B+3B'!$A1:$I104,IF(Settings!$J$13="points",6,9),FALSE))</f>
        <v>-1.8709367042561424</v>
      </c>
      <c r="J483" s="31"/>
      <c r="K483" s="31">
        <f ca="1">J483-A483</f>
        <v>-482</v>
      </c>
      <c r="L483" s="31"/>
      <c r="M483" s="31">
        <f>VLOOKUP($B483,Hitters!$A1:$R401,4,FALSE)</f>
        <v>368.24444444444447</v>
      </c>
      <c r="N483" s="31">
        <f>VLOOKUP($B483,Hitters!$A1:$R401,5,FALSE)</f>
        <v>44.206666666666671</v>
      </c>
      <c r="O483" s="31">
        <f>VLOOKUP($B483,Hitters!$A1:$R401,6,FALSE)</f>
        <v>13.445</v>
      </c>
      <c r="P483" s="31">
        <f>VLOOKUP($B483,Hitters!$A1:$R401,7,FALSE)</f>
        <v>46.023333333333333</v>
      </c>
      <c r="Q483" s="31">
        <f>VLOOKUP($B483,Hitters!$A1:$R401,8,FALSE)</f>
        <v>5.9655555555555564</v>
      </c>
      <c r="R483" s="33">
        <f>VLOOKUP($B483,Hitters!$A$1:$R$401,14,FALSE)</f>
        <v>0.22912316697845633</v>
      </c>
      <c r="S483" s="33">
        <f>VLOOKUP($B483,Hitters!$A$1:$R$401,15,FALSE)</f>
        <v>0.29727241456874909</v>
      </c>
      <c r="T483" s="31">
        <f>VLOOKUP($B483,Hitters!$A$1:$R$401,9,FALSE)</f>
        <v>84.373333333333335</v>
      </c>
      <c r="U483" s="31">
        <f>VLOOKUP($B483,Hitters!$A$1:$R$401,10,FALSE)</f>
        <v>16.83111111111111</v>
      </c>
      <c r="V483" s="31">
        <f>VLOOKUP($B483,Hitters!$A$1:$R$401,11,FALSE)</f>
        <v>2.3533333333333335</v>
      </c>
      <c r="W483" s="31">
        <f>VLOOKUP($B483,Hitters!$A$1:$R$401,12,FALSE)</f>
        <v>29.621111111111109</v>
      </c>
      <c r="X483" s="31">
        <f>VLOOKUP($B483,Hitters!$A$1:$R$401,13,FALSE)</f>
        <v>104.96888888888888</v>
      </c>
      <c r="Y483" s="33">
        <f>VLOOKUP($B483,Hitters!$A$1:$R$401,16,FALSE)</f>
        <v>0.3971441071751855</v>
      </c>
      <c r="Z483" s="33">
        <f>VLOOKUP($B483,Hitters!$A$1:$R$401,17,FALSE)</f>
        <v>0.69441652174393464</v>
      </c>
      <c r="AA483" s="31">
        <f>VLOOKUP($B483,Hitters!$A1:$R401,18,FALSE)</f>
        <v>0</v>
      </c>
      <c r="AB483" s="31"/>
      <c r="AC483" s="31"/>
      <c r="AD483" s="33"/>
      <c r="AE483" s="33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</row>
    <row r="484" spans="1:44" ht="20.100000000000001" customHeight="1">
      <c r="A484" s="25">
        <f ca="1">RANK(I484,I$2:I$651)</f>
        <v>483</v>
      </c>
      <c r="B484" s="26" t="s">
        <v>632</v>
      </c>
      <c r="C484" s="27" t="s">
        <v>97</v>
      </c>
      <c r="D484" s="27" t="s">
        <v>74</v>
      </c>
      <c r="E484" s="38" t="s">
        <v>27</v>
      </c>
      <c r="F484" s="39">
        <f ca="1">VLOOKUP(B484,SS!A1:I45,IF(Settings!$J$13="points",4,7),FALSE)</f>
        <v>31</v>
      </c>
      <c r="G484" s="30">
        <f>(M484*Settings!$B$2)+(N484*Settings!$B$3)+(O484*Settings!$B$4)+(P484*Settings!$B$5)+(Q484*Settings!$B$6)+((T484-U484-V484-O484)*Settings!$B$9)+(U484*Settings!$B$10)+(V484*Settings!$B$11)+(W484*Settings!$B$12)+(X484*Settings!$B$13)+(AA484*Settings!$B$16)</f>
        <v>207.99333333333337</v>
      </c>
      <c r="H484" s="31">
        <f>VLOOKUP(B484,'Standard Deviations'!$A1:$D651,4,FALSE)</f>
        <v>-1.871920442455733</v>
      </c>
      <c r="I484" s="32">
        <f ca="1">IF(Settings!$J$16="no",VLOOKUP(B484,SS!A1:I45,IF(Settings!$J$13="points",6,9),FALSE),VLOOKUP(B484,'2B+SS'!$A1:$I94,IF(Settings!$J$13="points",6,9),FALSE))</f>
        <v>-1.8779598396490889</v>
      </c>
      <c r="J484" s="31"/>
      <c r="K484" s="31">
        <f ca="1">J484-A484</f>
        <v>-483</v>
      </c>
      <c r="L484" s="31"/>
      <c r="M484" s="31">
        <f>VLOOKUP($B484,Hitters!$A1:$R401,4,FALSE)</f>
        <v>338.53333333333336</v>
      </c>
      <c r="N484" s="31">
        <f>VLOOKUP($B484,Hitters!$A1:$R401,5,FALSE)</f>
        <v>41.05</v>
      </c>
      <c r="O484" s="31">
        <f>VLOOKUP($B484,Hitters!$A1:$R401,6,FALSE)</f>
        <v>6.080000000000001</v>
      </c>
      <c r="P484" s="31">
        <f>VLOOKUP($B484,Hitters!$A1:$R401,7,FALSE)</f>
        <v>34.366666666666667</v>
      </c>
      <c r="Q484" s="31">
        <f>VLOOKUP($B484,Hitters!$A1:$R401,8,FALSE)</f>
        <v>11.290000000000001</v>
      </c>
      <c r="R484" s="33">
        <f>VLOOKUP($B484,Hitters!$A$1:$R$401,14,FALSE)</f>
        <v>0.24092654588420637</v>
      </c>
      <c r="S484" s="33">
        <f>VLOOKUP($B484,Hitters!$A$1:$R$401,15,FALSE)</f>
        <v>0.31763540102644422</v>
      </c>
      <c r="T484" s="31">
        <f>VLOOKUP($B484,Hitters!$A$1:$R$401,9,FALSE)</f>
        <v>81.561666666666667</v>
      </c>
      <c r="U484" s="31">
        <f>VLOOKUP($B484,Hitters!$A$1:$R$401,10,FALSE)</f>
        <v>15.921666666666667</v>
      </c>
      <c r="V484" s="31">
        <f>VLOOKUP($B484,Hitters!$A$1:$R$401,11,FALSE)</f>
        <v>1.0325</v>
      </c>
      <c r="W484" s="31">
        <f>VLOOKUP($B484,Hitters!$A$1:$R$401,12,FALSE)</f>
        <v>32.744999999999997</v>
      </c>
      <c r="X484" s="31">
        <f>VLOOKUP($B484,Hitters!$A$1:$R$401,13,FALSE)</f>
        <v>81.073333333333338</v>
      </c>
      <c r="Y484" s="33">
        <f>VLOOKUP($B484,Hitters!$A$1:$R$401,16,FALSE)</f>
        <v>0.34793717999212287</v>
      </c>
      <c r="Z484" s="33">
        <f>VLOOKUP($B484,Hitters!$A$1:$R$401,17,FALSE)</f>
        <v>0.66557258101856709</v>
      </c>
      <c r="AA484" s="31">
        <f>VLOOKUP($B484,Hitters!$A1:$R401,18,FALSE)</f>
        <v>0</v>
      </c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</row>
    <row r="485" spans="1:44" ht="20.100000000000001" customHeight="1">
      <c r="A485" s="25">
        <f ca="1">RANK(I485,I$2:I$651)</f>
        <v>484</v>
      </c>
      <c r="B485" s="26" t="s">
        <v>459</v>
      </c>
      <c r="C485" s="27" t="s">
        <v>217</v>
      </c>
      <c r="D485" s="27" t="s">
        <v>74</v>
      </c>
      <c r="E485" s="28" t="s">
        <v>23</v>
      </c>
      <c r="F485" s="29">
        <f ca="1">VLOOKUP(B485,OF!A1:I139,IF(Settings!$J$13="points",4,7),FALSE)</f>
        <v>107</v>
      </c>
      <c r="G485" s="30">
        <f>(M485*Settings!$B$2)+(N485*Settings!$B$3)+(O485*Settings!$B$4)+(P485*Settings!$B$5)+(Q485*Settings!$B$6)+((T485-U485-V485-O485)*Settings!$B$9)+(U485*Settings!$B$10)+(V485*Settings!$B$11)+(W485*Settings!$B$12)+(X485*Settings!$B$13)+(AA485*Settings!$B$16)</f>
        <v>168.10888888888888</v>
      </c>
      <c r="H485" s="31">
        <f>VLOOKUP(B485,'Standard Deviations'!$A1:$D651,4,FALSE)</f>
        <v>-2.0726193107203885</v>
      </c>
      <c r="I485" s="32">
        <f ca="1">VLOOKUP(B485,OF!A1:I139,IF(Settings!$J$13="points",6,9),FALSE)</f>
        <v>-1.9156925603886144</v>
      </c>
      <c r="J485" s="31"/>
      <c r="K485" s="31">
        <f ca="1">J485-A485</f>
        <v>-484</v>
      </c>
      <c r="L485" s="31"/>
      <c r="M485" s="31">
        <f>VLOOKUP($B485,Hitters!$A1:$R401,4,FALSE)</f>
        <v>232.93333333333331</v>
      </c>
      <c r="N485" s="31">
        <f>VLOOKUP($B485,Hitters!$A1:$R401,5,FALSE)</f>
        <v>35.094444444444441</v>
      </c>
      <c r="O485" s="31">
        <f>VLOOKUP($B485,Hitters!$A1:$R401,6,FALSE)</f>
        <v>6.88</v>
      </c>
      <c r="P485" s="31">
        <f>VLOOKUP($B485,Hitters!$A1:$R401,7,FALSE)</f>
        <v>25.886666666666667</v>
      </c>
      <c r="Q485" s="31">
        <f>VLOOKUP($B485,Hitters!$A1:$R401,8,FALSE)</f>
        <v>10.697777777777778</v>
      </c>
      <c r="R485" s="33">
        <f>VLOOKUP($B485,Hitters!$A$1:$R$401,14,FALSE)</f>
        <v>0.24942759015455068</v>
      </c>
      <c r="S485" s="33">
        <f>VLOOKUP($B485,Hitters!$A$1:$R$401,15,FALSE)</f>
        <v>0.34135485125698589</v>
      </c>
      <c r="T485" s="31">
        <f>VLOOKUP($B485,Hitters!$A$1:$R$401,9,FALSE)</f>
        <v>58.1</v>
      </c>
      <c r="U485" s="31">
        <f>VLOOKUP($B485,Hitters!$A$1:$R$401,10,FALSE)</f>
        <v>10.985555555555555</v>
      </c>
      <c r="V485" s="31">
        <f>VLOOKUP($B485,Hitters!$A$1:$R$401,11,FALSE)</f>
        <v>1.0216666666666667</v>
      </c>
      <c r="W485" s="31">
        <f>VLOOKUP($B485,Hitters!$A$1:$R$401,12,FALSE)</f>
        <v>29.101666666666663</v>
      </c>
      <c r="X485" s="31">
        <f>VLOOKUP($B485,Hitters!$A$1:$R$401,13,FALSE)</f>
        <v>70.276666666666657</v>
      </c>
      <c r="Y485" s="33">
        <f>VLOOKUP($B485,Hitters!$A$1:$R$401,16,FALSE)</f>
        <v>0.39397061629460028</v>
      </c>
      <c r="Z485" s="33">
        <f>VLOOKUP($B485,Hitters!$A$1:$R$401,17,FALSE)</f>
        <v>0.73532546755158612</v>
      </c>
      <c r="AA485" s="31">
        <f>VLOOKUP($B485,Hitters!$A1:$R401,18,FALSE)</f>
        <v>0</v>
      </c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</row>
    <row r="486" spans="1:44" ht="20.100000000000001" customHeight="1">
      <c r="A486" s="25">
        <f ca="1">RANK(I486,I$2:I$651)</f>
        <v>485</v>
      </c>
      <c r="B486" s="26" t="s">
        <v>485</v>
      </c>
      <c r="C486" s="27" t="s">
        <v>120</v>
      </c>
      <c r="D486" s="27" t="s">
        <v>74</v>
      </c>
      <c r="E486" s="34" t="s">
        <v>15</v>
      </c>
      <c r="F486" s="35">
        <f ca="1">VLOOKUP(B486,'3B'!A1:I55,IF(Settings!$J$13="points",4,7),FALSE)</f>
        <v>32</v>
      </c>
      <c r="G486" s="30">
        <f>(M486*Settings!$B$2)+(N486*Settings!$B$3)+(O486*Settings!$B$4)+(P486*Settings!$B$5)+(Q486*Settings!$B$6)+((T486-U486-V486-O486)*Settings!$B$9)+(U486*Settings!$B$10)+(V486*Settings!$B$11)+(W486*Settings!$B$12)+(X486*Settings!$B$13)+(AA486*Settings!$B$16)</f>
        <v>216.32611111111106</v>
      </c>
      <c r="H486" s="31">
        <f>VLOOKUP(B486,'Standard Deviations'!$A1:$D651,4,FALSE)</f>
        <v>-1.7124033904344553</v>
      </c>
      <c r="I486" s="32">
        <f ca="1">IF(Settings!$J$15="no",VLOOKUP(B486,'3B'!A1:I55,IF(Settings!$J$13="points",6,9),FALSE),VLOOKUP(B486,'1B+3B'!$A1:$I104,IF(Settings!$J$13="points",6,9),FALSE))</f>
        <v>-1.937877720045164</v>
      </c>
      <c r="J486" s="31"/>
      <c r="K486" s="31">
        <f ca="1">J486-A486</f>
        <v>-485</v>
      </c>
      <c r="L486" s="31"/>
      <c r="M486" s="31">
        <f>VLOOKUP($B486,Hitters!$A1:$R401,4,FALSE)</f>
        <v>339.31666666666666</v>
      </c>
      <c r="N486" s="31">
        <f>VLOOKUP($B486,Hitters!$A1:$R401,5,FALSE)</f>
        <v>42.343333333333334</v>
      </c>
      <c r="O486" s="31">
        <f>VLOOKUP($B486,Hitters!$A1:$R401,6,FALSE)</f>
        <v>14.013333333333334</v>
      </c>
      <c r="P486" s="31">
        <f>VLOOKUP($B486,Hitters!$A1:$R401,7,FALSE)</f>
        <v>47.919999999999995</v>
      </c>
      <c r="Q486" s="31">
        <f>VLOOKUP($B486,Hitters!$A1:$R401,8,FALSE)</f>
        <v>1.0049999999999999</v>
      </c>
      <c r="R486" s="33">
        <f>VLOOKUP($B486,Hitters!$A$1:$R$401,14,FALSE)</f>
        <v>0.23998722923522769</v>
      </c>
      <c r="S486" s="33">
        <f>VLOOKUP($B486,Hitters!$A$1:$R$401,15,FALSE)</f>
        <v>0.31335511561957691</v>
      </c>
      <c r="T486" s="31">
        <f>VLOOKUP($B486,Hitters!$A$1:$R$401,9,FALSE)</f>
        <v>81.431666666666672</v>
      </c>
      <c r="U486" s="31">
        <f>VLOOKUP($B486,Hitters!$A$1:$R$401,10,FALSE)</f>
        <v>16.186666666666667</v>
      </c>
      <c r="V486" s="31">
        <f>VLOOKUP($B486,Hitters!$A$1:$R$401,11,FALSE)</f>
        <v>0.98444444444444434</v>
      </c>
      <c r="W486" s="31">
        <f>VLOOKUP($B486,Hitters!$A$1:$R$401,12,FALSE)</f>
        <v>30.87</v>
      </c>
      <c r="X486" s="31">
        <f>VLOOKUP($B486,Hitters!$A$1:$R$401,13,FALSE)</f>
        <v>96.8888888888889</v>
      </c>
      <c r="Y486" s="33">
        <f>VLOOKUP($B486,Hitters!$A$1:$R$401,16,FALSE)</f>
        <v>0.41738952469833163</v>
      </c>
      <c r="Z486" s="33">
        <f>VLOOKUP($B486,Hitters!$A$1:$R$401,17,FALSE)</f>
        <v>0.73074464031790853</v>
      </c>
      <c r="AA486" s="31">
        <f>VLOOKUP($B486,Hitters!$A1:$R401,18,FALSE)</f>
        <v>0</v>
      </c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</row>
    <row r="487" spans="1:44" ht="18.600000000000001" customHeight="1">
      <c r="A487" s="25">
        <f ca="1">RANK(I487,I$2:I$651)</f>
        <v>486</v>
      </c>
      <c r="B487" s="26" t="s">
        <v>624</v>
      </c>
      <c r="C487" s="27" t="s">
        <v>217</v>
      </c>
      <c r="D487" s="27" t="s">
        <v>74</v>
      </c>
      <c r="E487" s="34" t="s">
        <v>15</v>
      </c>
      <c r="F487" s="35">
        <f ca="1">VLOOKUP(B487,'3B'!A1:I55,IF(Settings!$J$13="points",4,7),FALSE)</f>
        <v>33</v>
      </c>
      <c r="G487" s="30">
        <f>(M487*Settings!$B$2)+(N487*Settings!$B$3)+(O487*Settings!$B$4)+(P487*Settings!$B$5)+(Q487*Settings!$B$6)+((T487-U487-V487-O487)*Settings!$B$9)+(U487*Settings!$B$10)+(V487*Settings!$B$11)+(W487*Settings!$B$12)+(X487*Settings!$B$13)+(AA487*Settings!$B$16)</f>
        <v>229.38249999999996</v>
      </c>
      <c r="H487" s="31">
        <f>VLOOKUP(B487,'Standard Deviations'!$A1:$D651,4,FALSE)</f>
        <v>-1.7206841007622811</v>
      </c>
      <c r="I487" s="32">
        <f ca="1">IF(Settings!$J$15="no",VLOOKUP(B487,'3B'!A1:I55,IF(Settings!$J$13="points",6,9),FALSE),VLOOKUP(B487,'1B+3B'!$A1:$I104,IF(Settings!$J$13="points",6,9),FALSE))</f>
        <v>-1.9461586345526367</v>
      </c>
      <c r="J487" s="31"/>
      <c r="K487" s="31">
        <f ca="1">J487-A487</f>
        <v>-486</v>
      </c>
      <c r="L487" s="31"/>
      <c r="M487" s="31">
        <f>VLOOKUP($B487,Hitters!$A1:$R401,4,FALSE)</f>
        <v>376.48888888888888</v>
      </c>
      <c r="N487" s="31">
        <f>VLOOKUP($B487,Hitters!$A1:$R401,5,FALSE)</f>
        <v>48.445555555555558</v>
      </c>
      <c r="O487" s="31">
        <f>VLOOKUP($B487,Hitters!$A1:$R401,6,FALSE)</f>
        <v>14.686666666666667</v>
      </c>
      <c r="P487" s="31">
        <f>VLOOKUP($B487,Hitters!$A1:$R401,7,FALSE)</f>
        <v>50.449999999999996</v>
      </c>
      <c r="Q487" s="31">
        <f>VLOOKUP($B487,Hitters!$A1:$R401,8,FALSE)</f>
        <v>1.9733333333333334</v>
      </c>
      <c r="R487" s="33">
        <f>VLOOKUP($B487,Hitters!$A$1:$R$401,14,FALSE)</f>
        <v>0.22801027033408094</v>
      </c>
      <c r="S487" s="33">
        <f>VLOOKUP($B487,Hitters!$A$1:$R$401,15,FALSE)</f>
        <v>0.30978606690572469</v>
      </c>
      <c r="T487" s="31">
        <f>VLOOKUP($B487,Hitters!$A$1:$R$401,9,FALSE)</f>
        <v>85.84333333333332</v>
      </c>
      <c r="U487" s="31">
        <f>VLOOKUP($B487,Hitters!$A$1:$R$401,10,FALSE)</f>
        <v>18.211111111111112</v>
      </c>
      <c r="V487" s="31">
        <f>VLOOKUP($B487,Hitters!$A$1:$R$401,11,FALSE)</f>
        <v>1</v>
      </c>
      <c r="W487" s="31">
        <f>VLOOKUP($B487,Hitters!$A$1:$R$401,12,FALSE)</f>
        <v>38.573333333333331</v>
      </c>
      <c r="X487" s="31">
        <f>VLOOKUP($B487,Hitters!$A$1:$R$401,13,FALSE)</f>
        <v>124.295</v>
      </c>
      <c r="Y487" s="33">
        <f>VLOOKUP($B487,Hitters!$A$1:$R$401,16,FALSE)</f>
        <v>0.39872211073072839</v>
      </c>
      <c r="Z487" s="33">
        <f>VLOOKUP($B487,Hitters!$A$1:$R$401,17,FALSE)</f>
        <v>0.70850817763645302</v>
      </c>
      <c r="AA487" s="31">
        <f>VLOOKUP($B487,Hitters!$A1:$R401,18,FALSE)</f>
        <v>0</v>
      </c>
      <c r="AB487" s="31"/>
      <c r="AC487" s="31"/>
      <c r="AD487" s="33"/>
      <c r="AE487" s="33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</row>
    <row r="488" spans="1:44" ht="18.600000000000001" customHeight="1">
      <c r="A488" s="25">
        <f ca="1">RANK(I488,I$2:I$651)</f>
        <v>487</v>
      </c>
      <c r="B488" s="26" t="s">
        <v>446</v>
      </c>
      <c r="C488" s="27" t="s">
        <v>68</v>
      </c>
      <c r="D488" s="27" t="s">
        <v>69</v>
      </c>
      <c r="E488" s="34" t="s">
        <v>15</v>
      </c>
      <c r="F488" s="35">
        <f ca="1">VLOOKUP(B488,'3B'!A1:I55,IF(Settings!$J$13="points",4,7),FALSE)</f>
        <v>34</v>
      </c>
      <c r="G488" s="30">
        <f>(M488*Settings!$B$2)+(N488*Settings!$B$3)+(O488*Settings!$B$4)+(P488*Settings!$B$5)+(Q488*Settings!$B$6)+((T488-U488-V488-O488)*Settings!$B$9)+(U488*Settings!$B$10)+(V488*Settings!$B$11)+(W488*Settings!$B$12)+(X488*Settings!$B$13)+(AA488*Settings!$B$16)</f>
        <v>244.55000000000007</v>
      </c>
      <c r="H488" s="31">
        <f>VLOOKUP(B488,'Standard Deviations'!$A1:$D651,4,FALSE)</f>
        <v>-1.7436447846633236</v>
      </c>
      <c r="I488" s="32">
        <f ca="1">IF(Settings!$J$15="no",VLOOKUP(B488,'3B'!A1:I55,IF(Settings!$J$13="points",6,9),FALSE),VLOOKUP(B488,'1B+3B'!$A1:$I104,IF(Settings!$J$13="points",6,9),FALSE))</f>
        <v>-1.9691245804049917</v>
      </c>
      <c r="J488" s="31"/>
      <c r="K488" s="31">
        <f ca="1">J488-A488</f>
        <v>-487</v>
      </c>
      <c r="L488" s="31"/>
      <c r="M488" s="31">
        <f>VLOOKUP($B488,Hitters!$A1:$R401,4,FALSE)</f>
        <v>372.53333333333336</v>
      </c>
      <c r="N488" s="31">
        <f>VLOOKUP($B488,Hitters!$A1:$R401,5,FALSE)</f>
        <v>49.788333333333334</v>
      </c>
      <c r="O488" s="31">
        <f>VLOOKUP($B488,Hitters!$A1:$R401,6,FALSE)</f>
        <v>15.411666666666669</v>
      </c>
      <c r="P488" s="31">
        <f>VLOOKUP($B488,Hitters!$A1:$R401,7,FALSE)</f>
        <v>50.836666666666666</v>
      </c>
      <c r="Q488" s="31">
        <f>VLOOKUP($B488,Hitters!$A1:$R401,8,FALSE)</f>
        <v>1.0116666666666667</v>
      </c>
      <c r="R488" s="33">
        <f>VLOOKUP($B488,Hitters!$A$1:$R$401,14,FALSE)</f>
        <v>0.22694166070150321</v>
      </c>
      <c r="S488" s="33">
        <f>VLOOKUP($B488,Hitters!$A$1:$R$401,15,FALSE)</f>
        <v>0.32355188899087606</v>
      </c>
      <c r="T488" s="31">
        <f>VLOOKUP($B488,Hitters!$A$1:$R$401,9,FALSE)</f>
        <v>84.543333333333337</v>
      </c>
      <c r="U488" s="31">
        <f>VLOOKUP($B488,Hitters!$A$1:$R$401,10,FALSE)</f>
        <v>17.893333333333334</v>
      </c>
      <c r="V488" s="31">
        <f>VLOOKUP($B488,Hitters!$A$1:$R$401,11,FALSE)</f>
        <v>6.6666666666666654E-3</v>
      </c>
      <c r="W488" s="31">
        <f>VLOOKUP($B488,Hitters!$A$1:$R$401,12,FALSE)</f>
        <v>47.455555555555556</v>
      </c>
      <c r="X488" s="31">
        <f>VLOOKUP($B488,Hitters!$A$1:$R$401,13,FALSE)</f>
        <v>108.47777777777777</v>
      </c>
      <c r="Y488" s="33">
        <f>VLOOKUP($B488,Hitters!$A$1:$R$401,16,FALSE)</f>
        <v>0.39911864710093053</v>
      </c>
      <c r="Z488" s="33">
        <f>VLOOKUP($B488,Hitters!$A$1:$R$401,17,FALSE)</f>
        <v>0.72267053609180665</v>
      </c>
      <c r="AA488" s="31">
        <f>VLOOKUP($B488,Hitters!$A1:$R401,18,FALSE)</f>
        <v>0</v>
      </c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</row>
    <row r="489" spans="1:44" ht="20.100000000000001" customHeight="1">
      <c r="A489" s="25">
        <f ca="1">RANK(I489,I$2:I$651)</f>
        <v>488</v>
      </c>
      <c r="B489" s="26" t="s">
        <v>580</v>
      </c>
      <c r="C489" s="27" t="s">
        <v>117</v>
      </c>
      <c r="D489" s="27" t="s">
        <v>69</v>
      </c>
      <c r="E489" s="34" t="s">
        <v>15</v>
      </c>
      <c r="F489" s="35">
        <f ca="1">VLOOKUP(B489,'3B'!A1:I55,IF(Settings!$J$13="points",4,7),FALSE)</f>
        <v>35</v>
      </c>
      <c r="G489" s="30">
        <f>(M489*Settings!$B$2)+(N489*Settings!$B$3)+(O489*Settings!$B$4)+(P489*Settings!$B$5)+(Q489*Settings!$B$6)+((T489-U489-V489-O489)*Settings!$B$9)+(U489*Settings!$B$10)+(V489*Settings!$B$11)+(W489*Settings!$B$12)+(X489*Settings!$B$13)+(AA489*Settings!$B$16)</f>
        <v>213.82888888888888</v>
      </c>
      <c r="H489" s="31">
        <f>VLOOKUP(B489,'Standard Deviations'!$A1:$D651,4,FALSE)</f>
        <v>-1.8125773902493612</v>
      </c>
      <c r="I489" s="32">
        <f ca="1">IF(Settings!$J$15="no",VLOOKUP(B489,'3B'!A1:I55,IF(Settings!$J$13="points",6,9),FALSE),VLOOKUP(B489,'1B+3B'!$A1:$I104,IF(Settings!$J$13="points",6,9),FALSE))</f>
        <v>-2.0380551312298429</v>
      </c>
      <c r="J489" s="31"/>
      <c r="K489" s="31">
        <f ca="1">J489-A489</f>
        <v>-488</v>
      </c>
      <c r="L489" s="31"/>
      <c r="M489" s="31">
        <f>VLOOKUP($B489,Hitters!$A1:$R401,4,FALSE)</f>
        <v>360.57777777777778</v>
      </c>
      <c r="N489" s="31">
        <f>VLOOKUP($B489,Hitters!$A1:$R401,5,FALSE)</f>
        <v>43.053333333333335</v>
      </c>
      <c r="O489" s="31">
        <f>VLOOKUP($B489,Hitters!$A1:$R401,6,FALSE)</f>
        <v>1.1783333333333332</v>
      </c>
      <c r="P489" s="31">
        <f>VLOOKUP($B489,Hitters!$A1:$R401,7,FALSE)</f>
        <v>28.257777777777779</v>
      </c>
      <c r="Q489" s="31">
        <f>VLOOKUP($B489,Hitters!$A1:$R401,8,FALSE)</f>
        <v>12.593333333333334</v>
      </c>
      <c r="R489" s="33">
        <f>VLOOKUP($B489,Hitters!$A$1:$R$401,14,FALSE)</f>
        <v>0.25388882041168492</v>
      </c>
      <c r="S489" s="33">
        <f>VLOOKUP($B489,Hitters!$A$1:$R$401,15,FALSE)</f>
        <v>0.31869205131957334</v>
      </c>
      <c r="T489" s="31">
        <f>VLOOKUP($B489,Hitters!$A$1:$R$401,9,FALSE)</f>
        <v>91.546666666666667</v>
      </c>
      <c r="U489" s="31">
        <f>VLOOKUP($B489,Hitters!$A$1:$R$401,10,FALSE)</f>
        <v>14.903333333333334</v>
      </c>
      <c r="V489" s="31">
        <f>VLOOKUP($B489,Hitters!$A$1:$R$401,11,FALSE)</f>
        <v>2.9922222222222223</v>
      </c>
      <c r="W489" s="31">
        <f>VLOOKUP($B489,Hitters!$A$1:$R$401,12,FALSE)</f>
        <v>28.655555555555555</v>
      </c>
      <c r="X489" s="31">
        <f>VLOOKUP($B489,Hitters!$A$1:$R$401,13,FALSE)</f>
        <v>54.587777777777774</v>
      </c>
      <c r="Y489" s="33">
        <f>VLOOKUP($B489,Hitters!$A$1:$R$401,16,FALSE)</f>
        <v>0.32162116356464937</v>
      </c>
      <c r="Z489" s="33">
        <f>VLOOKUP($B489,Hitters!$A$1:$R$401,17,FALSE)</f>
        <v>0.64031321488422277</v>
      </c>
      <c r="AA489" s="31">
        <f>VLOOKUP($B489,Hitters!$A1:$R401,18,FALSE)</f>
        <v>0</v>
      </c>
      <c r="AB489" s="31"/>
      <c r="AC489" s="31"/>
      <c r="AD489" s="33"/>
      <c r="AE489" s="33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</row>
    <row r="490" spans="1:44" ht="18.600000000000001" customHeight="1">
      <c r="A490" s="25">
        <f ca="1">RANK(I490,I$2:I$651)</f>
        <v>489</v>
      </c>
      <c r="B490" s="26" t="s">
        <v>481</v>
      </c>
      <c r="C490" s="27" t="s">
        <v>99</v>
      </c>
      <c r="D490" s="27" t="s">
        <v>69</v>
      </c>
      <c r="E490" s="36" t="s">
        <v>31</v>
      </c>
      <c r="F490" s="37">
        <f ca="1">VLOOKUP(B490,SP!A1:I161,IF(Settings!$J$13="points",4,7),FALSE)</f>
        <v>134</v>
      </c>
      <c r="G490" s="30">
        <f>(AC490*Settings!$F$2)+(AF490*Settings!$F$5)+(AG490*Settings!$F$6)+(AH490*Settings!$F$7)+(AI490*Settings!$F$8)+(AJ490*Settings!$F$9)+(AK490*Settings!$F$10)+(AL490*Settings!$F$11)+(AM490*Settings!$F$12)+(AN490*Settings!$F$13)+(AO490*Settings!$F$14)+(AP490*Settings!$F$15)+(AQ490*Settings!$F$16)+(AR490*Settings!$F$17)</f>
        <v>185.28655555555562</v>
      </c>
      <c r="H490" s="31">
        <f>VLOOKUP(B490,'Standard Deviations'!$A1:$D651,4,FALSE)</f>
        <v>-2.9308951181424314</v>
      </c>
      <c r="I490" s="32">
        <f ca="1">IF(Settings!$J$16="no",VLOOKUP(B490,SP!A1:I161,IF(Settings!$J$13="points",6,9),FALSE),VLOOKUP(B490,'SP+RP'!$A1:$I251,IF(Settings!$J$13="points",6,9),FALSE))</f>
        <v>-2.0633175631737131</v>
      </c>
      <c r="J490" s="31"/>
      <c r="K490" s="31">
        <f ca="1">J490-A490</f>
        <v>-489</v>
      </c>
      <c r="L490" s="31"/>
      <c r="M490" s="31"/>
      <c r="N490" s="31"/>
      <c r="O490" s="31"/>
      <c r="P490" s="31"/>
      <c r="Q490" s="31"/>
      <c r="R490" s="33"/>
      <c r="S490" s="33"/>
      <c r="T490" s="31"/>
      <c r="U490" s="31"/>
      <c r="V490" s="31"/>
      <c r="W490" s="31"/>
      <c r="X490" s="31"/>
      <c r="Y490" s="33"/>
      <c r="Z490" s="33"/>
      <c r="AA490" s="31"/>
      <c r="AB490" s="31"/>
      <c r="AC490" s="31">
        <f>VLOOKUP($B490,Pitchers!$A1:$S251,4,FALSE)</f>
        <v>96.364444444444459</v>
      </c>
      <c r="AD490" s="33">
        <f>VLOOKUP($B490,Pitchers!$A1:$S251,5,FALSE)</f>
        <v>4.2836961534913751</v>
      </c>
      <c r="AE490" s="33">
        <f>VLOOKUP($B490,Pitchers!$A1:$S251,6,FALSE)</f>
        <v>1.2333156535374963</v>
      </c>
      <c r="AF490" s="31">
        <f>VLOOKUP($B490,Pitchers!$A1:$S251,7,FALSE)</f>
        <v>81.376666666666665</v>
      </c>
      <c r="AG490" s="31">
        <f>VLOOKUP($B490,Pitchers!$A1:$S251,8,FALSE)</f>
        <v>5.0122222222222224</v>
      </c>
      <c r="AH490" s="31">
        <f>VLOOKUP($B490,Pitchers!$A1:$S251,9,FALSE)</f>
        <v>3.3333333333333333E-2</v>
      </c>
      <c r="AI490" s="31">
        <f>VLOOKUP($B490,Pitchers!$A1:$S251,10,FALSE)</f>
        <v>45.866222222222227</v>
      </c>
      <c r="AJ490" s="31">
        <f>VLOOKUP($B490,Pitchers!$A1:$S251,11,FALSE)</f>
        <v>91.971111111111099</v>
      </c>
      <c r="AK490" s="31">
        <f>VLOOKUP($B490,Pitchers!$A1:$S251,12,FALSE)</f>
        <v>26.876666666666665</v>
      </c>
      <c r="AL490" s="31">
        <f>VLOOKUP($B490,Pitchers!$A1:$S251,13,FALSE)</f>
        <v>15.299999999999999</v>
      </c>
      <c r="AM490" s="31">
        <f>VLOOKUP($B490,Pitchers!$A1:$S251,14,FALSE)</f>
        <v>38.093333333333334</v>
      </c>
      <c r="AN490" s="31">
        <f>VLOOKUP($B490,Pitchers!$A1:$S251,15,FALSE)</f>
        <v>13.302222222222222</v>
      </c>
      <c r="AO490" s="31">
        <f>VLOOKUP($B490,Pitchers!$A1:$S251,16,FALSE)</f>
        <v>6.0200000000000005</v>
      </c>
      <c r="AP490" s="31">
        <f>VLOOKUP($B490,Pitchers!$A1:$S251,17,FALSE)</f>
        <v>5</v>
      </c>
      <c r="AQ490" s="31">
        <f>VLOOKUP($B490,Pitchers!$A1:$S251,18,FALSE)</f>
        <v>1.5</v>
      </c>
      <c r="AR490" s="31">
        <f>VLOOKUP($B490,Pitchers!$A1:$S251,19,FALSE)</f>
        <v>0</v>
      </c>
    </row>
    <row r="491" spans="1:44" ht="18.600000000000001" customHeight="1">
      <c r="A491" s="25">
        <f ca="1">RANK(I491,I$2:I$651)</f>
        <v>490</v>
      </c>
      <c r="B491" s="26" t="s">
        <v>532</v>
      </c>
      <c r="C491" s="27" t="s">
        <v>217</v>
      </c>
      <c r="D491" s="27" t="s">
        <v>74</v>
      </c>
      <c r="E491" s="34" t="s">
        <v>15</v>
      </c>
      <c r="F491" s="35">
        <f ca="1">VLOOKUP(B491,'3B'!A1:I55,IF(Settings!$J$13="points",4,7),FALSE)</f>
        <v>36</v>
      </c>
      <c r="G491" s="30">
        <f>(M491*Settings!$B$2)+(N491*Settings!$B$3)+(O491*Settings!$B$4)+(P491*Settings!$B$5)+(Q491*Settings!$B$6)+((T491-U491-V491-O491)*Settings!$B$9)+(U491*Settings!$B$10)+(V491*Settings!$B$11)+(W491*Settings!$B$12)+(X491*Settings!$B$13)+(AA491*Settings!$B$16)</f>
        <v>203.34777777777782</v>
      </c>
      <c r="H491" s="31">
        <f>VLOOKUP(B491,'Standard Deviations'!$A1:$D651,4,FALSE)</f>
        <v>-1.8892410348374034</v>
      </c>
      <c r="I491" s="32">
        <f ca="1">IF(Settings!$J$15="no",VLOOKUP(B491,'3B'!A1:I55,IF(Settings!$J$13="points",6,9),FALSE),VLOOKUP(B491,'1B+3B'!$A1:$I104,IF(Settings!$J$13="points",6,9),FALSE))</f>
        <v>-2.1147189875582448</v>
      </c>
      <c r="J491" s="31"/>
      <c r="K491" s="31">
        <f ca="1">J491-A491</f>
        <v>-490</v>
      </c>
      <c r="L491" s="31"/>
      <c r="M491" s="31">
        <f>VLOOKUP($B491,Hitters!$A1:$R401,4,FALSE)</f>
        <v>323.36666666666673</v>
      </c>
      <c r="N491" s="31">
        <f>VLOOKUP($B491,Hitters!$A1:$R401,5,FALSE)</f>
        <v>43.251666666666665</v>
      </c>
      <c r="O491" s="31">
        <f>VLOOKUP($B491,Hitters!$A1:$R401,6,FALSE)</f>
        <v>11.634444444444446</v>
      </c>
      <c r="P491" s="31">
        <f>VLOOKUP($B491,Hitters!$A1:$R401,7,FALSE)</f>
        <v>40.82</v>
      </c>
      <c r="Q491" s="31">
        <f>VLOOKUP($B491,Hitters!$A1:$R401,8,FALSE)</f>
        <v>1.28</v>
      </c>
      <c r="R491" s="33">
        <f>VLOOKUP($B491,Hitters!$A$1:$R$401,14,FALSE)</f>
        <v>0.2470003092464694</v>
      </c>
      <c r="S491" s="33">
        <f>VLOOKUP($B491,Hitters!$A$1:$R$401,15,FALSE)</f>
        <v>0.33683185137135097</v>
      </c>
      <c r="T491" s="31">
        <f>VLOOKUP($B491,Hitters!$A$1:$R$401,9,FALSE)</f>
        <v>79.87166666666667</v>
      </c>
      <c r="U491" s="31">
        <f>VLOOKUP($B491,Hitters!$A$1:$R$401,10,FALSE)</f>
        <v>15.588888888888889</v>
      </c>
      <c r="V491" s="31">
        <f>VLOOKUP($B491,Hitters!$A$1:$R$401,11,FALSE)</f>
        <v>1.0016666666666667</v>
      </c>
      <c r="W491" s="31">
        <f>VLOOKUP($B491,Hitters!$A$1:$R$401,12,FALSE)</f>
        <v>39.00333333333333</v>
      </c>
      <c r="X491" s="31">
        <f>VLOOKUP($B491,Hitters!$A$1:$R$401,13,FALSE)</f>
        <v>109.30888888888889</v>
      </c>
      <c r="Y491" s="33">
        <f>VLOOKUP($B491,Hitters!$A$1:$R$401,16,FALSE)</f>
        <v>0.40934096141291271</v>
      </c>
      <c r="Z491" s="33">
        <f>VLOOKUP($B491,Hitters!$A$1:$R$401,17,FALSE)</f>
        <v>0.74617281278426373</v>
      </c>
      <c r="AA491" s="31">
        <f>VLOOKUP($B491,Hitters!$A1:$R401,18,FALSE)</f>
        <v>0</v>
      </c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</row>
    <row r="492" spans="1:44" ht="18.600000000000001" customHeight="1">
      <c r="A492" s="25">
        <f ca="1">RANK(I492,I$2:I$651)</f>
        <v>491</v>
      </c>
      <c r="B492" s="26" t="s">
        <v>648</v>
      </c>
      <c r="C492" s="27" t="s">
        <v>134</v>
      </c>
      <c r="D492" s="27" t="s">
        <v>74</v>
      </c>
      <c r="E492" s="42" t="s">
        <v>34</v>
      </c>
      <c r="F492" s="43">
        <f ca="1">VLOOKUP(B492,RP!A1:I91,IF(Settings!$J$13="points",4,7),FALSE)</f>
        <v>85</v>
      </c>
      <c r="G492" s="30">
        <f>(AC492*Settings!$F$2)+(AF492*Settings!$F$5)+(AG492*Settings!$F$6)+(AH492*Settings!$F$7)+(AI492*Settings!$F$8)+(AJ492*Settings!$F$9)+(AK492*Settings!$F$10)+(AL492*Settings!$F$11)+(AM492*Settings!$F$12)+(AN492*Settings!$F$13)+(AO492*Settings!$F$14)+(AP492*Settings!$F$15)+(AQ492*Settings!$F$16)+(AR492*Settings!$F$17)</f>
        <v>161.06777777777774</v>
      </c>
      <c r="H492" s="31">
        <f>VLOOKUP(B492,'Standard Deviations'!$A1:$D651,4,FALSE)</f>
        <v>-2.9871211866312275</v>
      </c>
      <c r="I492" s="32">
        <f ca="1">IF(Settings!$J$16="no",VLOOKUP(B492,RP!A1:I91,IF(Settings!$J$13="points",6,9),FALSE),VLOOKUP(B492,'SP+RP'!$A1:$I251,IF(Settings!$J$13="points",6,9),FALSE))</f>
        <v>-2.1195428819533677</v>
      </c>
      <c r="J492" s="31"/>
      <c r="K492" s="31">
        <f ca="1">J492-A492</f>
        <v>-491</v>
      </c>
      <c r="L492" s="31"/>
      <c r="M492" s="31"/>
      <c r="N492" s="31"/>
      <c r="O492" s="31"/>
      <c r="P492" s="31"/>
      <c r="Q492" s="31"/>
      <c r="R492" s="33"/>
      <c r="S492" s="33"/>
      <c r="T492" s="31"/>
      <c r="U492" s="31"/>
      <c r="V492" s="31"/>
      <c r="W492" s="31"/>
      <c r="X492" s="31"/>
      <c r="Y492" s="33"/>
      <c r="Z492" s="33"/>
      <c r="AA492" s="31"/>
      <c r="AB492" s="31"/>
      <c r="AC492" s="31">
        <f>VLOOKUP($B492,Pitchers!$A1:$S251,4,FALSE)</f>
        <v>60.835555555555565</v>
      </c>
      <c r="AD492" s="33">
        <f>VLOOKUP($B492,Pitchers!$A1:$S251,5,FALSE)</f>
        <v>3.682057276446522</v>
      </c>
      <c r="AE492" s="33">
        <f>VLOOKUP($B492,Pitchers!$A1:$S251,6,FALSE)</f>
        <v>1.3775935125657508</v>
      </c>
      <c r="AF492" s="31">
        <f>VLOOKUP($B492,Pitchers!$A1:$S251,7,FALSE)</f>
        <v>77.086666666666659</v>
      </c>
      <c r="AG492" s="31">
        <f>VLOOKUP($B492,Pitchers!$A1:$S251,8,FALSE)</f>
        <v>3.1455555555555557</v>
      </c>
      <c r="AH492" s="31">
        <f>VLOOKUP($B492,Pitchers!$A1:$S251,9,FALSE)</f>
        <v>6.0333333333333341</v>
      </c>
      <c r="AI492" s="31">
        <f>VLOOKUP($B492,Pitchers!$A1:$S251,10,FALSE)</f>
        <v>24.888888888888889</v>
      </c>
      <c r="AJ492" s="31">
        <f>VLOOKUP($B492,Pitchers!$A1:$S251,11,FALSE)</f>
        <v>49.506666666666661</v>
      </c>
      <c r="AK492" s="31">
        <f>VLOOKUP($B492,Pitchers!$A1:$S251,12,FALSE)</f>
        <v>34.300000000000004</v>
      </c>
      <c r="AL492" s="31">
        <f>VLOOKUP($B492,Pitchers!$A1:$S251,13,FALSE)</f>
        <v>5</v>
      </c>
      <c r="AM492" s="31">
        <f>VLOOKUP($B492,Pitchers!$A1:$S251,14,FALSE)</f>
        <v>63.586666666666666</v>
      </c>
      <c r="AN492" s="31">
        <f>VLOOKUP($B492,Pitchers!$A1:$S251,15,FALSE)</f>
        <v>0</v>
      </c>
      <c r="AO492" s="31">
        <f>VLOOKUP($B492,Pitchers!$A1:$S251,16,FALSE)</f>
        <v>3.1077777777777782</v>
      </c>
      <c r="AP492" s="31">
        <f>VLOOKUP($B492,Pitchers!$A1:$S251,17,FALSE)</f>
        <v>0</v>
      </c>
      <c r="AQ492" s="31">
        <f>VLOOKUP($B492,Pitchers!$A1:$S251,18,FALSE)</f>
        <v>13</v>
      </c>
      <c r="AR492" s="31">
        <f>VLOOKUP($B492,Pitchers!$A1:$S251,19,FALSE)</f>
        <v>2</v>
      </c>
    </row>
    <row r="493" spans="1:44" ht="20.100000000000001" customHeight="1">
      <c r="A493" s="25">
        <f ca="1">RANK(I493,I$2:I$651)</f>
        <v>492</v>
      </c>
      <c r="B493" s="26" t="s">
        <v>424</v>
      </c>
      <c r="C493" s="27" t="s">
        <v>114</v>
      </c>
      <c r="D493" s="27" t="s">
        <v>69</v>
      </c>
      <c r="E493" s="28" t="s">
        <v>23</v>
      </c>
      <c r="F493" s="29">
        <f ca="1">VLOOKUP(B493,OF!A1:I139,IF(Settings!$J$13="points",4,7),FALSE)</f>
        <v>108</v>
      </c>
      <c r="G493" s="30">
        <f>(M493*Settings!$B$2)+(N493*Settings!$B$3)+(O493*Settings!$B$4)+(P493*Settings!$B$5)+(Q493*Settings!$B$6)+((T493-U493-V493-O493)*Settings!$B$9)+(U493*Settings!$B$10)+(V493*Settings!$B$11)+(W493*Settings!$B$12)+(X493*Settings!$B$13)+(AA493*Settings!$B$16)</f>
        <v>190.7244444444444</v>
      </c>
      <c r="H493" s="31">
        <f>VLOOKUP(B493,'Standard Deviations'!$A1:$D651,4,FALSE)</f>
        <v>-2.2970432031506736</v>
      </c>
      <c r="I493" s="32">
        <f ca="1">VLOOKUP(B493,OF!A1:I139,IF(Settings!$J$13="points",6,9),FALSE)</f>
        <v>-2.1401141105627826</v>
      </c>
      <c r="J493" s="31"/>
      <c r="K493" s="31">
        <f ca="1">J493-A493</f>
        <v>-492</v>
      </c>
      <c r="L493" s="31"/>
      <c r="M493" s="31">
        <f>VLOOKUP($B493,Hitters!$A1:$R401,4,FALSE)</f>
        <v>290.66666666666669</v>
      </c>
      <c r="N493" s="31">
        <f>VLOOKUP($B493,Hitters!$A1:$R401,5,FALSE)</f>
        <v>35.313333333333333</v>
      </c>
      <c r="O493" s="31">
        <f>VLOOKUP($B493,Hitters!$A1:$R401,6,FALSE)</f>
        <v>12.637777777777778</v>
      </c>
      <c r="P493" s="31">
        <f>VLOOKUP($B493,Hitters!$A1:$R401,7,FALSE)</f>
        <v>40.922222222222224</v>
      </c>
      <c r="Q493" s="31">
        <f>VLOOKUP($B493,Hitters!$A1:$R401,8,FALSE)</f>
        <v>0.65333333333333332</v>
      </c>
      <c r="R493" s="33">
        <f>VLOOKUP($B493,Hitters!$A$1:$R$401,14,FALSE)</f>
        <v>0.24534021406727827</v>
      </c>
      <c r="S493" s="33">
        <f>VLOOKUP($B493,Hitters!$A$1:$R$401,15,FALSE)</f>
        <v>0.31283315474656503</v>
      </c>
      <c r="T493" s="31">
        <f>VLOOKUP($B493,Hitters!$A$1:$R$401,9,FALSE)</f>
        <v>71.312222222222218</v>
      </c>
      <c r="U493" s="31">
        <f>VLOOKUP($B493,Hitters!$A$1:$R$401,10,FALSE)</f>
        <v>13.562222222222223</v>
      </c>
      <c r="V493" s="31">
        <f>VLOOKUP($B493,Hitters!$A$1:$R$401,11,FALSE)</f>
        <v>2.1666666666666667E-2</v>
      </c>
      <c r="W493" s="31">
        <f>VLOOKUP($B493,Hitters!$A$1:$R$401,12,FALSE)</f>
        <v>23.928888888888888</v>
      </c>
      <c r="X493" s="31">
        <f>VLOOKUP($B493,Hitters!$A$1:$R$401,13,FALSE)</f>
        <v>67.155555555555551</v>
      </c>
      <c r="Y493" s="33">
        <f>VLOOKUP($B493,Hitters!$A$1:$R$401,16,FALSE)</f>
        <v>0.42258409785932716</v>
      </c>
      <c r="Z493" s="33">
        <f>VLOOKUP($B493,Hitters!$A$1:$R$401,17,FALSE)</f>
        <v>0.73541725260589219</v>
      </c>
      <c r="AA493" s="31">
        <f>VLOOKUP($B493,Hitters!$A1:$R401,18,FALSE)</f>
        <v>0</v>
      </c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</row>
    <row r="494" spans="1:44" ht="20.100000000000001" customHeight="1">
      <c r="A494" s="25">
        <f ca="1">RANK(I494,I$2:I$651)</f>
        <v>493</v>
      </c>
      <c r="B494" s="26" t="s">
        <v>565</v>
      </c>
      <c r="C494" s="27" t="s">
        <v>134</v>
      </c>
      <c r="D494" s="27" t="s">
        <v>74</v>
      </c>
      <c r="E494" s="28" t="s">
        <v>23</v>
      </c>
      <c r="F494" s="29">
        <f ca="1">VLOOKUP(B494,OF!A1:I139,IF(Settings!$J$13="points",4,7),FALSE)</f>
        <v>109</v>
      </c>
      <c r="G494" s="30">
        <f>(M494*Settings!$B$2)+(N494*Settings!$B$3)+(O494*Settings!$B$4)+(P494*Settings!$B$5)+(Q494*Settings!$B$6)+((T494-U494-V494-O494)*Settings!$B$9)+(U494*Settings!$B$10)+(V494*Settings!$B$11)+(W494*Settings!$B$12)+(X494*Settings!$B$13)+(AA494*Settings!$B$16)</f>
        <v>185.76111111111112</v>
      </c>
      <c r="H494" s="31">
        <f>VLOOKUP(B494,'Standard Deviations'!$A1:$D651,4,FALSE)</f>
        <v>-2.3379225215963588</v>
      </c>
      <c r="I494" s="32">
        <f ca="1">VLOOKUP(B494,OF!A1:I139,IF(Settings!$J$13="points",6,9),FALSE)</f>
        <v>-2.1809925077990528</v>
      </c>
      <c r="J494" s="31"/>
      <c r="K494" s="31">
        <f ca="1">J494-A494</f>
        <v>-493</v>
      </c>
      <c r="L494" s="31"/>
      <c r="M494" s="31">
        <f>VLOOKUP($B494,Hitters!$A1:$R401,4,FALSE)</f>
        <v>284.5</v>
      </c>
      <c r="N494" s="31">
        <f>VLOOKUP($B494,Hitters!$A1:$R401,5,FALSE)</f>
        <v>36.411111111111111</v>
      </c>
      <c r="O494" s="31">
        <f>VLOOKUP($B494,Hitters!$A1:$R401,6,FALSE)</f>
        <v>11.744999999999999</v>
      </c>
      <c r="P494" s="31">
        <f>VLOOKUP($B494,Hitters!$A1:$R401,7,FALSE)</f>
        <v>39.656666666666666</v>
      </c>
      <c r="Q494" s="31">
        <f>VLOOKUP($B494,Hitters!$A1:$R401,8,FALSE)</f>
        <v>1.9855555555555557</v>
      </c>
      <c r="R494" s="33">
        <f>VLOOKUP($B494,Hitters!$A$1:$R$401,14,FALSE)</f>
        <v>0.24321421597344267</v>
      </c>
      <c r="S494" s="33">
        <f>VLOOKUP($B494,Hitters!$A$1:$R$401,15,FALSE)</f>
        <v>0.31373819223825389</v>
      </c>
      <c r="T494" s="31">
        <f>VLOOKUP($B494,Hitters!$A$1:$R$401,9,FALSE)</f>
        <v>69.194444444444443</v>
      </c>
      <c r="U494" s="31">
        <f>VLOOKUP($B494,Hitters!$A$1:$R$401,10,FALSE)</f>
        <v>11.815</v>
      </c>
      <c r="V494" s="31">
        <f>VLOOKUP($B494,Hitters!$A$1:$R$401,11,FALSE)</f>
        <v>2</v>
      </c>
      <c r="W494" s="31">
        <f>VLOOKUP($B494,Hitters!$A$1:$R$401,12,FALSE)</f>
        <v>24.725555555555555</v>
      </c>
      <c r="X494" s="31">
        <f>VLOOKUP($B494,Hitters!$A$1:$R$401,13,FALSE)</f>
        <v>78.495555555555555</v>
      </c>
      <c r="Y494" s="33">
        <f>VLOOKUP($B494,Hitters!$A$1:$R$401,16,FALSE)</f>
        <v>0.42265182581527044</v>
      </c>
      <c r="Z494" s="33">
        <f>VLOOKUP($B494,Hitters!$A$1:$R$401,17,FALSE)</f>
        <v>0.73639001805352433</v>
      </c>
      <c r="AA494" s="31">
        <f>VLOOKUP($B494,Hitters!$A1:$R401,18,FALSE)</f>
        <v>0</v>
      </c>
      <c r="AB494" s="31"/>
      <c r="AC494" s="31"/>
      <c r="AD494" s="33"/>
      <c r="AE494" s="33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</row>
    <row r="495" spans="1:44" ht="18.600000000000001" customHeight="1">
      <c r="A495" s="25">
        <f ca="1">RANK(I495,I$2:I$651)</f>
        <v>494</v>
      </c>
      <c r="B495" s="26" t="s">
        <v>511</v>
      </c>
      <c r="C495" s="27" t="s">
        <v>134</v>
      </c>
      <c r="D495" s="27" t="s">
        <v>74</v>
      </c>
      <c r="E495" s="36" t="s">
        <v>31</v>
      </c>
      <c r="F495" s="37">
        <f ca="1">VLOOKUP(B495,SP!A1:I161,IF(Settings!$J$13="points",4,7),FALSE)</f>
        <v>135</v>
      </c>
      <c r="G495" s="30">
        <f>(AC495*Settings!$F$2)+(AF495*Settings!$F$5)+(AG495*Settings!$F$6)+(AH495*Settings!$F$7)+(AI495*Settings!$F$8)+(AJ495*Settings!$F$9)+(AK495*Settings!$F$10)+(AL495*Settings!$F$11)+(AM495*Settings!$F$12)+(AN495*Settings!$F$13)+(AO495*Settings!$F$14)+(AP495*Settings!$F$15)+(AQ495*Settings!$F$16)+(AR495*Settings!$F$17)</f>
        <v>271.83191111111114</v>
      </c>
      <c r="H495" s="31">
        <f>VLOOKUP(B495,'Standard Deviations'!$A1:$D651,4,FALSE)</f>
        <v>-3.0703328454153587</v>
      </c>
      <c r="I495" s="32">
        <f ca="1">IF(Settings!$J$16="no",VLOOKUP(B495,SP!A1:I161,IF(Settings!$J$13="points",6,9),FALSE),VLOOKUP(B495,'SP+RP'!$A1:$I251,IF(Settings!$J$13="points",6,9),FALSE))</f>
        <v>-2.2027499995529309</v>
      </c>
      <c r="J495" s="31"/>
      <c r="K495" s="31">
        <f ca="1">J495-A495</f>
        <v>-494</v>
      </c>
      <c r="L495" s="31"/>
      <c r="M495" s="31"/>
      <c r="N495" s="31"/>
      <c r="O495" s="31"/>
      <c r="P495" s="31"/>
      <c r="Q495" s="31"/>
      <c r="R495" s="33"/>
      <c r="S495" s="33"/>
      <c r="T495" s="31"/>
      <c r="U495" s="31"/>
      <c r="V495" s="31"/>
      <c r="W495" s="31"/>
      <c r="X495" s="31"/>
      <c r="Y495" s="33"/>
      <c r="Z495" s="33"/>
      <c r="AA495" s="31"/>
      <c r="AB495" s="31"/>
      <c r="AC495" s="31">
        <f>VLOOKUP($B495,Pitchers!$A1:$S251,4,FALSE)</f>
        <v>150.3422222222222</v>
      </c>
      <c r="AD495" s="33">
        <f>VLOOKUP($B495,Pitchers!$A1:$S251,5,FALSE)</f>
        <v>4.4288809235226303</v>
      </c>
      <c r="AE495" s="33">
        <f>VLOOKUP($B495,Pitchers!$A1:$S251,6,FALSE)</f>
        <v>1.338106394300411</v>
      </c>
      <c r="AF495" s="31">
        <f>VLOOKUP($B495,Pitchers!$A1:$S251,7,FALSE)</f>
        <v>103.94111111111111</v>
      </c>
      <c r="AG495" s="31">
        <f>VLOOKUP($B495,Pitchers!$A1:$S251,8,FALSE)</f>
        <v>8</v>
      </c>
      <c r="AH495" s="31">
        <f>VLOOKUP($B495,Pitchers!$A1:$S251,9,FALSE)</f>
        <v>0</v>
      </c>
      <c r="AI495" s="31">
        <f>VLOOKUP($B495,Pitchers!$A1:$S251,10,FALSE)</f>
        <v>73.983088888888886</v>
      </c>
      <c r="AJ495" s="31">
        <f>VLOOKUP($B495,Pitchers!$A1:$S251,11,FALSE)</f>
        <v>160.995</v>
      </c>
      <c r="AK495" s="31">
        <f>VLOOKUP($B495,Pitchers!$A1:$S251,12,FALSE)</f>
        <v>40.178888888888885</v>
      </c>
      <c r="AL495" s="31">
        <f>VLOOKUP($B495,Pitchers!$A1:$S251,13,FALSE)</f>
        <v>20.566666666666666</v>
      </c>
      <c r="AM495" s="31">
        <f>VLOOKUP($B495,Pitchers!$A1:$S251,14,FALSE)</f>
        <v>24.943333333333332</v>
      </c>
      <c r="AN495" s="31">
        <f>VLOOKUP($B495,Pitchers!$A1:$S251,15,FALSE)</f>
        <v>24.932222222222222</v>
      </c>
      <c r="AO495" s="31">
        <f>VLOOKUP($B495,Pitchers!$A1:$S251,16,FALSE)</f>
        <v>9.6016666666666666</v>
      </c>
      <c r="AP495" s="31">
        <f>VLOOKUP($B495,Pitchers!$A1:$S251,17,FALSE)</f>
        <v>12</v>
      </c>
      <c r="AQ495" s="31">
        <f>VLOOKUP($B495,Pitchers!$A1:$S251,18,FALSE)</f>
        <v>0</v>
      </c>
      <c r="AR495" s="31">
        <f>VLOOKUP($B495,Pitchers!$A1:$S251,19,FALSE)</f>
        <v>0</v>
      </c>
    </row>
    <row r="496" spans="1:44" ht="18.600000000000001" customHeight="1">
      <c r="A496" s="25">
        <f ca="1">RANK(I496,I$2:I$651)</f>
        <v>495</v>
      </c>
      <c r="B496" s="26" t="s">
        <v>664</v>
      </c>
      <c r="C496" s="27" t="s">
        <v>84</v>
      </c>
      <c r="D496" s="27" t="s">
        <v>69</v>
      </c>
      <c r="E496" s="48" t="s">
        <v>11</v>
      </c>
      <c r="F496" s="49">
        <f ca="1">VLOOKUP(B496,'2B'!A1:I50,IF(Settings!$J$13="points",4,7),FALSE)</f>
        <v>37</v>
      </c>
      <c r="G496" s="30">
        <f>(M496*Settings!$B$2)+(N496*Settings!$B$3)+(O496*Settings!$B$4)+(P496*Settings!$B$5)+(Q496*Settings!$B$6)+((T496-U496-V496-O496)*Settings!$B$9)+(U496*Settings!$B$10)+(V496*Settings!$B$11)+(W496*Settings!$B$12)+(X496*Settings!$B$13)+(AA496*Settings!$B$16)</f>
        <v>199.38166666666666</v>
      </c>
      <c r="H496" s="31">
        <f>VLOOKUP(B496,'Standard Deviations'!$A1:$D651,4,FALSE)</f>
        <v>-2.2112405285821652</v>
      </c>
      <c r="I496" s="32">
        <f ca="1">IF(Settings!$J$16="no",VLOOKUP(B496,'2B'!A1:I50,IF(Settings!$J$13="points",6,9),FALSE),VLOOKUP(B496,'2B+SS'!$A1:$I94,IF(Settings!$J$13="points",6,9),FALSE))</f>
        <v>-2.2172844732700772</v>
      </c>
      <c r="J496" s="31"/>
      <c r="K496" s="31">
        <f ca="1">J496-A496</f>
        <v>-495</v>
      </c>
      <c r="L496" s="31"/>
      <c r="M496" s="31">
        <f>VLOOKUP($B496,Hitters!$A1:$R401,4,FALSE)</f>
        <v>344.52222222222218</v>
      </c>
      <c r="N496" s="31">
        <f>VLOOKUP($B496,Hitters!$A1:$R401,5,FALSE)</f>
        <v>39.402222222222221</v>
      </c>
      <c r="O496" s="31">
        <f>VLOOKUP($B496,Hitters!$A1:$R401,6,FALSE)</f>
        <v>2.0099999999999998</v>
      </c>
      <c r="P496" s="31">
        <f>VLOOKUP($B496,Hitters!$A1:$R401,7,FALSE)</f>
        <v>29.352222222222224</v>
      </c>
      <c r="Q496" s="31">
        <f>VLOOKUP($B496,Hitters!$A1:$R401,8,FALSE)</f>
        <v>6.169999999999999</v>
      </c>
      <c r="R496" s="33">
        <f>VLOOKUP($B496,Hitters!$A$1:$R$401,14,FALSE)</f>
        <v>0.26402747766633339</v>
      </c>
      <c r="S496" s="33">
        <f>VLOOKUP($B496,Hitters!$A$1:$R$401,15,FALSE)</f>
        <v>0.31317140520177922</v>
      </c>
      <c r="T496" s="31">
        <f>VLOOKUP($B496,Hitters!$A$1:$R$401,9,FALSE)</f>
        <v>90.963333333333324</v>
      </c>
      <c r="U496" s="31">
        <f>VLOOKUP($B496,Hitters!$A$1:$R$401,10,FALSE)</f>
        <v>16.551111111111112</v>
      </c>
      <c r="V496" s="31">
        <f>VLOOKUP($B496,Hitters!$A$1:$R$401,11,FALSE)</f>
        <v>1.6688888888888889</v>
      </c>
      <c r="W496" s="31">
        <f>VLOOKUP($B496,Hitters!$A$1:$R$401,12,FALSE)</f>
        <v>19.18</v>
      </c>
      <c r="X496" s="31">
        <f>VLOOKUP($B496,Hitters!$A$1:$R$401,13,FALSE)</f>
        <v>35.550000000000004</v>
      </c>
      <c r="Y496" s="33">
        <f>VLOOKUP($B496,Hitters!$A$1:$R$401,16,FALSE)</f>
        <v>0.33925887702776791</v>
      </c>
      <c r="Z496" s="33">
        <f>VLOOKUP($B496,Hitters!$A$1:$R$401,17,FALSE)</f>
        <v>0.65243028222954713</v>
      </c>
      <c r="AA496" s="31">
        <f>VLOOKUP($B496,Hitters!$A1:$R401,18,FALSE)</f>
        <v>0</v>
      </c>
      <c r="AB496" s="31"/>
      <c r="AC496" s="31"/>
      <c r="AD496" s="33"/>
      <c r="AE496" s="33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</row>
    <row r="497" spans="1:44" ht="18.600000000000001" customHeight="1">
      <c r="A497" s="25">
        <f ca="1">RANK(I497,I$2:I$651)</f>
        <v>496</v>
      </c>
      <c r="B497" s="26" t="s">
        <v>577</v>
      </c>
      <c r="C497" s="27" t="s">
        <v>68</v>
      </c>
      <c r="D497" s="27" t="s">
        <v>69</v>
      </c>
      <c r="E497" s="38" t="s">
        <v>27</v>
      </c>
      <c r="F497" s="39">
        <f ca="1">VLOOKUP(B497,SS!A1:I45,IF(Settings!$J$13="points",4,7),FALSE)</f>
        <v>32</v>
      </c>
      <c r="G497" s="30">
        <f>(M497*Settings!$B$2)+(N497*Settings!$B$3)+(O497*Settings!$B$4)+(P497*Settings!$B$5)+(Q497*Settings!$B$6)+((T497-U497-V497-O497)*Settings!$B$9)+(U497*Settings!$B$10)+(V497*Settings!$B$11)+(W497*Settings!$B$12)+(X497*Settings!$B$13)+(AA497*Settings!$B$16)</f>
        <v>161.92333333333335</v>
      </c>
      <c r="H497" s="31">
        <f>VLOOKUP(B497,'Standard Deviations'!$A1:$D651,4,FALSE)</f>
        <v>-2.2180058602721977</v>
      </c>
      <c r="I497" s="32">
        <f ca="1">IF(Settings!$J$16="no",VLOOKUP(B497,SS!A1:I45,IF(Settings!$J$13="points",6,9),FALSE),VLOOKUP(B497,'2B+SS'!$A1:$I94,IF(Settings!$J$13="points",6,9),FALSE))</f>
        <v>-2.2240457215348735</v>
      </c>
      <c r="J497" s="31"/>
      <c r="K497" s="31">
        <f ca="1">J497-A497</f>
        <v>-496</v>
      </c>
      <c r="L497" s="31"/>
      <c r="M497" s="31">
        <f>VLOOKUP($B497,Hitters!$A1:$R401,4,FALSE)</f>
        <v>259.5</v>
      </c>
      <c r="N497" s="31">
        <f>VLOOKUP($B497,Hitters!$A1:$R401,5,FALSE)</f>
        <v>31.001666666666665</v>
      </c>
      <c r="O497" s="31">
        <f>VLOOKUP($B497,Hitters!$A1:$R401,6,FALSE)</f>
        <v>2.7133333333333334</v>
      </c>
      <c r="P497" s="31">
        <f>VLOOKUP($B497,Hitters!$A1:$R401,7,FALSE)</f>
        <v>23.570000000000004</v>
      </c>
      <c r="Q497" s="31">
        <f>VLOOKUP($B497,Hitters!$A1:$R401,8,FALSE)</f>
        <v>10.48</v>
      </c>
      <c r="R497" s="33">
        <f>VLOOKUP($B497,Hitters!$A$1:$R$401,14,FALSE)</f>
        <v>0.26285806037251119</v>
      </c>
      <c r="S497" s="33">
        <f>VLOOKUP($B497,Hitters!$A$1:$R$401,15,FALSE)</f>
        <v>0.31579390298756504</v>
      </c>
      <c r="T497" s="31">
        <f>VLOOKUP($B497,Hitters!$A$1:$R$401,9,FALSE)</f>
        <v>68.211666666666659</v>
      </c>
      <c r="U497" s="31">
        <f>VLOOKUP($B497,Hitters!$A$1:$R$401,10,FALSE)</f>
        <v>11.196666666666667</v>
      </c>
      <c r="V497" s="31">
        <f>VLOOKUP($B497,Hitters!$A$1:$R$401,11,FALSE)</f>
        <v>1.01</v>
      </c>
      <c r="W497" s="31">
        <f>VLOOKUP($B497,Hitters!$A$1:$R$401,12,FALSE)</f>
        <v>15.985000000000001</v>
      </c>
      <c r="X497" s="31">
        <f>VLOOKUP($B497,Hitters!$A$1:$R$401,13,FALSE)</f>
        <v>38.323333333333331</v>
      </c>
      <c r="Y497" s="33">
        <f>VLOOKUP($B497,Hitters!$A$1:$R$401,16,FALSE)</f>
        <v>0.34515735388567764</v>
      </c>
      <c r="Z497" s="33">
        <f>VLOOKUP($B497,Hitters!$A$1:$R$401,17,FALSE)</f>
        <v>0.66095125687324274</v>
      </c>
      <c r="AA497" s="31">
        <f>VLOOKUP($B497,Hitters!$A1:$R401,18,FALSE)</f>
        <v>0</v>
      </c>
      <c r="AB497" s="31"/>
      <c r="AC497" s="31"/>
      <c r="AD497" s="33"/>
      <c r="AE497" s="33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</row>
    <row r="498" spans="1:44" ht="18.600000000000001" customHeight="1">
      <c r="A498" s="25">
        <f ca="1">RANK(I498,I$2:I$651)</f>
        <v>497</v>
      </c>
      <c r="B498" s="26" t="s">
        <v>637</v>
      </c>
      <c r="C498" s="27"/>
      <c r="D498" s="27" t="s">
        <v>69</v>
      </c>
      <c r="E498" s="38" t="s">
        <v>27</v>
      </c>
      <c r="F498" s="39">
        <f ca="1">VLOOKUP(B498,SS!A1:I45,IF(Settings!$J$13="points",4,7),FALSE)</f>
        <v>33</v>
      </c>
      <c r="G498" s="30">
        <f>(M498*Settings!$B$2)+(N498*Settings!$B$3)+(O498*Settings!$B$4)+(P498*Settings!$B$5)+(Q498*Settings!$B$6)+((T498-U498-V498-O498)*Settings!$B$9)+(U498*Settings!$B$10)+(V498*Settings!$B$11)+(W498*Settings!$B$12)+(X498*Settings!$B$13)+(AA498*Settings!$B$16)</f>
        <v>173.42888888888888</v>
      </c>
      <c r="H498" s="31">
        <f>VLOOKUP(B498,'Standard Deviations'!$A1:$D651,4,FALSE)</f>
        <v>-2.2190814345754521</v>
      </c>
      <c r="I498" s="32">
        <f ca="1">IF(Settings!$J$16="no",VLOOKUP(B498,SS!A1:I45,IF(Settings!$J$13="points",6,9),FALSE),VLOOKUP(B498,'2B+SS'!$A1:$I94,IF(Settings!$J$13="points",6,9),FALSE))</f>
        <v>-2.2251217578333229</v>
      </c>
      <c r="J498" s="31"/>
      <c r="K498" s="31">
        <f ca="1">J498-A498</f>
        <v>-497</v>
      </c>
      <c r="L498" s="31"/>
      <c r="M498" s="31">
        <f>VLOOKUP($B498,Hitters!$A1:$R401,4,FALSE)</f>
        <v>300.33333333333337</v>
      </c>
      <c r="N498" s="31">
        <f>VLOOKUP($B498,Hitters!$A1:$R401,5,FALSE)</f>
        <v>33.106666666666662</v>
      </c>
      <c r="O498" s="31">
        <f>VLOOKUP($B498,Hitters!$A1:$R401,6,FALSE)</f>
        <v>3.5522222222222219</v>
      </c>
      <c r="P498" s="31">
        <f>VLOOKUP($B498,Hitters!$A1:$R401,7,FALSE)</f>
        <v>31.341666666666665</v>
      </c>
      <c r="Q498" s="31">
        <f>VLOOKUP($B498,Hitters!$A1:$R401,8,FALSE)</f>
        <v>2.4766666666666666</v>
      </c>
      <c r="R498" s="33">
        <f>VLOOKUP($B498,Hitters!$A$1:$R$401,14,FALSE)</f>
        <v>0.27401775804661482</v>
      </c>
      <c r="S498" s="33">
        <f>VLOOKUP($B498,Hitters!$A$1:$R$401,15,FALSE)</f>
        <v>0.31352612845404731</v>
      </c>
      <c r="T498" s="31">
        <f>VLOOKUP($B498,Hitters!$A$1:$R$401,9,FALSE)</f>
        <v>82.296666666666667</v>
      </c>
      <c r="U498" s="31">
        <f>VLOOKUP($B498,Hitters!$A$1:$R$401,10,FALSE)</f>
        <v>17.489999999999998</v>
      </c>
      <c r="V498" s="31">
        <f>VLOOKUP($B498,Hitters!$A$1:$R$401,11,FALSE)</f>
        <v>0.99333333333333329</v>
      </c>
      <c r="W498" s="31">
        <f>VLOOKUP($B498,Hitters!$A$1:$R$401,12,FALSE)</f>
        <v>12.520000000000001</v>
      </c>
      <c r="X498" s="31">
        <f>VLOOKUP($B498,Hitters!$A$1:$R$401,13,FALSE)</f>
        <v>41.845555555555556</v>
      </c>
      <c r="Y498" s="33">
        <f>VLOOKUP($B498,Hitters!$A$1:$R$401,16,FALSE)</f>
        <v>0.37435072142064368</v>
      </c>
      <c r="Z498" s="33">
        <f>VLOOKUP($B498,Hitters!$A$1:$R$401,17,FALSE)</f>
        <v>0.687876849874691</v>
      </c>
      <c r="AA498" s="31">
        <f>VLOOKUP($B498,Hitters!$A1:$R401,18,FALSE)</f>
        <v>0</v>
      </c>
      <c r="AB498" s="31"/>
      <c r="AC498" s="31"/>
      <c r="AD498" s="33"/>
      <c r="AE498" s="33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</row>
    <row r="499" spans="1:44" ht="18.600000000000001" customHeight="1">
      <c r="A499" s="25">
        <f ca="1">RANK(I499,I$2:I$651)</f>
        <v>498</v>
      </c>
      <c r="B499" s="26" t="s">
        <v>558</v>
      </c>
      <c r="C499" s="27" t="s">
        <v>103</v>
      </c>
      <c r="D499" s="27" t="s">
        <v>69</v>
      </c>
      <c r="E499" s="48" t="s">
        <v>11</v>
      </c>
      <c r="F499" s="49">
        <f ca="1">VLOOKUP(B499,'2B'!A1:I50,IF(Settings!$J$13="points",4,7),FALSE)</f>
        <v>38</v>
      </c>
      <c r="G499" s="30">
        <f>(M499*Settings!$B$2)+(N499*Settings!$B$3)+(O499*Settings!$B$4)+(P499*Settings!$B$5)+(Q499*Settings!$B$6)+((T499-U499-V499-O499)*Settings!$B$9)+(U499*Settings!$B$10)+(V499*Settings!$B$11)+(W499*Settings!$B$12)+(X499*Settings!$B$13)+(AA499*Settings!$B$16)</f>
        <v>164.23555555555555</v>
      </c>
      <c r="H499" s="31">
        <f>VLOOKUP(B499,'Standard Deviations'!$A1:$D651,4,FALSE)</f>
        <v>-2.2432658952028235</v>
      </c>
      <c r="I499" s="32">
        <f ca="1">IF(Settings!$J$16="no",VLOOKUP(B499,'2B'!A1:I50,IF(Settings!$J$13="points",6,9),FALSE),VLOOKUP(B499,'2B+SS'!$A1:$I94,IF(Settings!$J$13="points",6,9),FALSE))</f>
        <v>-2.2493033740484791</v>
      </c>
      <c r="J499" s="31"/>
      <c r="K499" s="31">
        <f ca="1">J499-A499</f>
        <v>-498</v>
      </c>
      <c r="L499" s="31"/>
      <c r="M499" s="31">
        <f>VLOOKUP($B499,Hitters!$A1:$R401,4,FALSE)</f>
        <v>219.5</v>
      </c>
      <c r="N499" s="31">
        <f>VLOOKUP($B499,Hitters!$A1:$R401,5,FALSE)</f>
        <v>31.704444444444444</v>
      </c>
      <c r="O499" s="31">
        <f>VLOOKUP($B499,Hitters!$A1:$R401,6,FALSE)</f>
        <v>9.1966666666666672</v>
      </c>
      <c r="P499" s="31">
        <f>VLOOKUP($B499,Hitters!$A1:$R401,7,FALSE)</f>
        <v>31.021111111111111</v>
      </c>
      <c r="Q499" s="31">
        <f>VLOOKUP($B499,Hitters!$A1:$R401,8,FALSE)</f>
        <v>8.8488888888888884</v>
      </c>
      <c r="R499" s="33">
        <f>VLOOKUP($B499,Hitters!$A$1:$R$401,14,FALSE)</f>
        <v>0.24410022779043283</v>
      </c>
      <c r="S499" s="33">
        <f>VLOOKUP($B499,Hitters!$A$1:$R$401,15,FALSE)</f>
        <v>0.31812889040634273</v>
      </c>
      <c r="T499" s="31">
        <f>VLOOKUP($B499,Hitters!$A$1:$R$401,9,FALSE)</f>
        <v>53.580000000000005</v>
      </c>
      <c r="U499" s="31">
        <f>VLOOKUP($B499,Hitters!$A$1:$R$401,10,FALSE)</f>
        <v>12.623333333333333</v>
      </c>
      <c r="V499" s="31">
        <f>VLOOKUP($B499,Hitters!$A$1:$R$401,11,FALSE)</f>
        <v>1.0150000000000001</v>
      </c>
      <c r="W499" s="31">
        <f>VLOOKUP($B499,Hitters!$A$1:$R$401,12,FALSE)</f>
        <v>20.391111111111112</v>
      </c>
      <c r="X499" s="31">
        <f>VLOOKUP($B499,Hitters!$A$1:$R$401,13,FALSE)</f>
        <v>64.804444444444442</v>
      </c>
      <c r="Y499" s="33">
        <f>VLOOKUP($B499,Hitters!$A$1:$R$401,16,FALSE)</f>
        <v>0.43655277145026583</v>
      </c>
      <c r="Z499" s="33">
        <f>VLOOKUP($B499,Hitters!$A$1:$R$401,17,FALSE)</f>
        <v>0.75468166185660857</v>
      </c>
      <c r="AA499" s="31">
        <f>VLOOKUP($B499,Hitters!$A1:$R401,18,FALSE)</f>
        <v>0</v>
      </c>
      <c r="AB499" s="31"/>
      <c r="AC499" s="31"/>
      <c r="AD499" s="33"/>
      <c r="AE499" s="33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</row>
    <row r="500" spans="1:44" ht="18.600000000000001" customHeight="1">
      <c r="A500" s="25">
        <f ca="1">RANK(I500,I$2:I$651)</f>
        <v>499</v>
      </c>
      <c r="B500" s="26" t="s">
        <v>518</v>
      </c>
      <c r="C500" s="27" t="s">
        <v>140</v>
      </c>
      <c r="D500" s="27" t="s">
        <v>69</v>
      </c>
      <c r="E500" s="36" t="s">
        <v>31</v>
      </c>
      <c r="F500" s="37">
        <f ca="1">VLOOKUP(B500,SP!A1:I161,IF(Settings!$J$13="points",4,7),FALSE)</f>
        <v>136</v>
      </c>
      <c r="G500" s="30">
        <f>(AC500*Settings!$F$2)+(AF500*Settings!$F$5)+(AG500*Settings!$F$6)+(AH500*Settings!$F$7)+(AI500*Settings!$F$8)+(AJ500*Settings!$F$9)+(AK500*Settings!$F$10)+(AL500*Settings!$F$11)+(AM500*Settings!$F$12)+(AN500*Settings!$F$13)+(AO500*Settings!$F$14)+(AP500*Settings!$F$15)+(AQ500*Settings!$F$16)+(AR500*Settings!$F$17)</f>
        <v>261.50563333333332</v>
      </c>
      <c r="H500" s="31">
        <f>VLOOKUP(B500,'Standard Deviations'!$A1:$D651,4,FALSE)</f>
        <v>-3.1225844691879612</v>
      </c>
      <c r="I500" s="32">
        <f ca="1">IF(Settings!$J$16="no",VLOOKUP(B500,SP!A1:I161,IF(Settings!$J$13="points",6,9),FALSE),VLOOKUP(B500,'SP+RP'!$A1:$I251,IF(Settings!$J$13="points",6,9),FALSE))</f>
        <v>-2.2549997845545078</v>
      </c>
      <c r="J500" s="31"/>
      <c r="K500" s="31">
        <f ca="1">J500-A500</f>
        <v>-499</v>
      </c>
      <c r="L500" s="31"/>
      <c r="M500" s="31"/>
      <c r="N500" s="31"/>
      <c r="O500" s="31"/>
      <c r="P500" s="31"/>
      <c r="Q500" s="31"/>
      <c r="R500" s="33"/>
      <c r="S500" s="33"/>
      <c r="T500" s="31"/>
      <c r="U500" s="31"/>
      <c r="V500" s="31"/>
      <c r="W500" s="31"/>
      <c r="X500" s="31"/>
      <c r="Y500" s="33"/>
      <c r="Z500" s="33"/>
      <c r="AA500" s="31"/>
      <c r="AB500" s="31"/>
      <c r="AC500" s="31">
        <f>VLOOKUP($B500,Pitchers!$A1:$S251,4,FALSE)</f>
        <v>145.49166666666667</v>
      </c>
      <c r="AD500" s="33">
        <f>VLOOKUP($B500,Pitchers!$A1:$S251,5,FALSE)</f>
        <v>4.3280953090096794</v>
      </c>
      <c r="AE500" s="33">
        <f>VLOOKUP($B500,Pitchers!$A1:$S251,6,FALSE)</f>
        <v>1.3424480210779539</v>
      </c>
      <c r="AF500" s="31">
        <f>VLOOKUP($B500,Pitchers!$A1:$S251,7,FALSE)</f>
        <v>106.625</v>
      </c>
      <c r="AG500" s="31">
        <f>VLOOKUP($B500,Pitchers!$A1:$S251,8,FALSE)</f>
        <v>7</v>
      </c>
      <c r="AH500" s="31">
        <f>VLOOKUP($B500,Pitchers!$A1:$S251,9,FALSE)</f>
        <v>0</v>
      </c>
      <c r="AI500" s="31">
        <f>VLOOKUP($B500,Pitchers!$A1:$S251,10,FALSE)</f>
        <v>69.966866666666661</v>
      </c>
      <c r="AJ500" s="31">
        <f>VLOOKUP($B500,Pitchers!$A1:$S251,11,FALSE)</f>
        <v>152.97166666666666</v>
      </c>
      <c r="AK500" s="31">
        <f>VLOOKUP($B500,Pitchers!$A1:$S251,12,FALSE)</f>
        <v>42.343333333333334</v>
      </c>
      <c r="AL500" s="31">
        <f>VLOOKUP($B500,Pitchers!$A1:$S251,13,FALSE)</f>
        <v>17.933333333333334</v>
      </c>
      <c r="AM500" s="31">
        <f>VLOOKUP($B500,Pitchers!$A1:$S251,14,FALSE)</f>
        <v>27.231666666666666</v>
      </c>
      <c r="AN500" s="31">
        <f>VLOOKUP($B500,Pitchers!$A1:$S251,15,FALSE)</f>
        <v>26.89833333333333</v>
      </c>
      <c r="AO500" s="31">
        <f>VLOOKUP($B500,Pitchers!$A1:$S251,16,FALSE)</f>
        <v>10.200000000000001</v>
      </c>
      <c r="AP500" s="31">
        <f>VLOOKUP($B500,Pitchers!$A1:$S251,17,FALSE)</f>
        <v>13</v>
      </c>
      <c r="AQ500" s="31">
        <f>VLOOKUP($B500,Pitchers!$A1:$S251,18,FALSE)</f>
        <v>0</v>
      </c>
      <c r="AR500" s="31">
        <f>VLOOKUP($B500,Pitchers!$A1:$S251,19,FALSE)</f>
        <v>0</v>
      </c>
    </row>
    <row r="501" spans="1:44" ht="18.600000000000001" customHeight="1">
      <c r="A501" s="25">
        <f ca="1">RANK(I501,I$2:I$651)</f>
        <v>500</v>
      </c>
      <c r="B501" s="26" t="s">
        <v>453</v>
      </c>
      <c r="C501" s="27" t="s">
        <v>137</v>
      </c>
      <c r="D501" s="27" t="s">
        <v>74</v>
      </c>
      <c r="E501" s="36" t="s">
        <v>31</v>
      </c>
      <c r="F501" s="37">
        <f ca="1">VLOOKUP(B501,SP!A1:I161,IF(Settings!$J$13="points",4,7),FALSE)</f>
        <v>137</v>
      </c>
      <c r="G501" s="30">
        <f>(AC501*Settings!$F$2)+(AF501*Settings!$F$5)+(AG501*Settings!$F$6)+(AH501*Settings!$F$7)+(AI501*Settings!$F$8)+(AJ501*Settings!$F$9)+(AK501*Settings!$F$10)+(AL501*Settings!$F$11)+(AM501*Settings!$F$12)+(AN501*Settings!$F$13)+(AO501*Settings!$F$14)+(AP501*Settings!$F$15)+(AQ501*Settings!$F$16)+(AR501*Settings!$F$17)</f>
        <v>281.63403333333349</v>
      </c>
      <c r="H501" s="31">
        <f>VLOOKUP(B501,'Standard Deviations'!$A1:$D651,4,FALSE)</f>
        <v>-3.1501043022140922</v>
      </c>
      <c r="I501" s="32">
        <f ca="1">IF(Settings!$J$16="no",VLOOKUP(B501,SP!A1:I161,IF(Settings!$J$13="points",6,9),FALSE),VLOOKUP(B501,'SP+RP'!$A1:$I251,IF(Settings!$J$13="points",6,9),FALSE))</f>
        <v>-2.2825268575422135</v>
      </c>
      <c r="J501" s="31"/>
      <c r="K501" s="31">
        <f ca="1">J501-A501</f>
        <v>-500</v>
      </c>
      <c r="L501" s="31"/>
      <c r="M501" s="31"/>
      <c r="N501" s="31"/>
      <c r="O501" s="31"/>
      <c r="P501" s="31"/>
      <c r="Q501" s="31"/>
      <c r="R501" s="33"/>
      <c r="S501" s="33"/>
      <c r="T501" s="31"/>
      <c r="U501" s="31"/>
      <c r="V501" s="31"/>
      <c r="W501" s="31"/>
      <c r="X501" s="31"/>
      <c r="Y501" s="33"/>
      <c r="Z501" s="33"/>
      <c r="AA501" s="31"/>
      <c r="AB501" s="31"/>
      <c r="AC501" s="31">
        <f>VLOOKUP($B501,Pitchers!$A1:$S251,4,FALSE)</f>
        <v>156.04499999999999</v>
      </c>
      <c r="AD501" s="33">
        <f>VLOOKUP($B501,Pitchers!$A1:$S251,5,FALSE)</f>
        <v>4.3885013938287036</v>
      </c>
      <c r="AE501" s="33">
        <f>VLOOKUP($B501,Pitchers!$A1:$S251,6,FALSE)</f>
        <v>1.4187467290418363</v>
      </c>
      <c r="AF501" s="31">
        <f>VLOOKUP($B501,Pitchers!$A1:$S251,7,FALSE)</f>
        <v>137.68333333333334</v>
      </c>
      <c r="AG501" s="31">
        <f>VLOOKUP($B501,Pitchers!$A1:$S251,8,FALSE)</f>
        <v>7.996666666666667</v>
      </c>
      <c r="AH501" s="31">
        <f>VLOOKUP($B501,Pitchers!$A1:$S251,9,FALSE)</f>
        <v>0</v>
      </c>
      <c r="AI501" s="31">
        <f>VLOOKUP($B501,Pitchers!$A1:$S251,10,FALSE)</f>
        <v>76.089299999999994</v>
      </c>
      <c r="AJ501" s="31">
        <f>VLOOKUP($B501,Pitchers!$A1:$S251,11,FALSE)</f>
        <v>159.42499999999998</v>
      </c>
      <c r="AK501" s="31">
        <f>VLOOKUP($B501,Pitchers!$A1:$S251,12,FALSE)</f>
        <v>61.963333333333331</v>
      </c>
      <c r="AL501" s="31">
        <f>VLOOKUP($B501,Pitchers!$A1:$S251,13,FALSE)</f>
        <v>16.733333333333334</v>
      </c>
      <c r="AM501" s="31">
        <f>VLOOKUP($B501,Pitchers!$A1:$S251,14,FALSE)</f>
        <v>29.103333333333335</v>
      </c>
      <c r="AN501" s="31">
        <f>VLOOKUP($B501,Pitchers!$A1:$S251,15,FALSE)</f>
        <v>29.103333333333335</v>
      </c>
      <c r="AO501" s="31">
        <f>VLOOKUP($B501,Pitchers!$A1:$S251,16,FALSE)</f>
        <v>10.568333333333333</v>
      </c>
      <c r="AP501" s="31">
        <f>VLOOKUP($B501,Pitchers!$A1:$S251,17,FALSE)</f>
        <v>13</v>
      </c>
      <c r="AQ501" s="31">
        <f>VLOOKUP($B501,Pitchers!$A1:$S251,18,FALSE)</f>
        <v>0</v>
      </c>
      <c r="AR501" s="31">
        <f>VLOOKUP($B501,Pitchers!$A1:$S251,19,FALSE)</f>
        <v>0</v>
      </c>
    </row>
    <row r="502" spans="1:44" ht="18.600000000000001" customHeight="1">
      <c r="A502" s="25">
        <f ca="1">RANK(I502,I$2:I$651)</f>
        <v>501</v>
      </c>
      <c r="B502" s="26" t="s">
        <v>569</v>
      </c>
      <c r="C502" s="27" t="s">
        <v>97</v>
      </c>
      <c r="D502" s="27" t="s">
        <v>74</v>
      </c>
      <c r="E502" s="34" t="s">
        <v>15</v>
      </c>
      <c r="F502" s="35">
        <f ca="1">VLOOKUP(B502,'3B'!A1:I55,IF(Settings!$J$13="points",4,7),FALSE)</f>
        <v>37</v>
      </c>
      <c r="G502" s="30">
        <f>(M502*Settings!$B$2)+(N502*Settings!$B$3)+(O502*Settings!$B$4)+(P502*Settings!$B$5)+(Q502*Settings!$B$6)+((T502-U502-V502-O502)*Settings!$B$9)+(U502*Settings!$B$10)+(V502*Settings!$B$11)+(W502*Settings!$B$12)+(X502*Settings!$B$13)+(AA502*Settings!$B$16)</f>
        <v>220.23388888888891</v>
      </c>
      <c r="H502" s="31">
        <f>VLOOKUP(B502,'Standard Deviations'!$A1:$D651,4,FALSE)</f>
        <v>-2.0609201183144892</v>
      </c>
      <c r="I502" s="32">
        <f ca="1">IF(Settings!$J$15="no",VLOOKUP(B502,'3B'!A1:I55,IF(Settings!$J$13="points",6,9),FALSE),VLOOKUP(B502,'1B+3B'!$A1:$I104,IF(Settings!$J$13="points",6,9),FALSE))</f>
        <v>-2.286401644447281</v>
      </c>
      <c r="J502" s="31"/>
      <c r="K502" s="31">
        <f ca="1">J502-A502</f>
        <v>-501</v>
      </c>
      <c r="L502" s="31"/>
      <c r="M502" s="31">
        <f>VLOOKUP($B502,Hitters!$A1:$R401,4,FALSE)</f>
        <v>364.12222222222226</v>
      </c>
      <c r="N502" s="31">
        <f>VLOOKUP($B502,Hitters!$A1:$R401,5,FALSE)</f>
        <v>45.582222222222221</v>
      </c>
      <c r="O502" s="31">
        <f>VLOOKUP($B502,Hitters!$A1:$R401,6,FALSE)</f>
        <v>12.049999999999999</v>
      </c>
      <c r="P502" s="31">
        <f>VLOOKUP($B502,Hitters!$A1:$R401,7,FALSE)</f>
        <v>44.581111111111113</v>
      </c>
      <c r="Q502" s="31">
        <f>VLOOKUP($B502,Hitters!$A1:$R401,8,FALSE)</f>
        <v>2.5088888888888889</v>
      </c>
      <c r="R502" s="33">
        <f>VLOOKUP($B502,Hitters!$A$1:$R$401,14,FALSE)</f>
        <v>0.23401788166366602</v>
      </c>
      <c r="S502" s="33">
        <f>VLOOKUP($B502,Hitters!$A$1:$R$401,15,FALSE)</f>
        <v>0.31759195515049121</v>
      </c>
      <c r="T502" s="31">
        <f>VLOOKUP($B502,Hitters!$A$1:$R$401,9,FALSE)</f>
        <v>85.211111111111109</v>
      </c>
      <c r="U502" s="31">
        <f>VLOOKUP($B502,Hitters!$A$1:$R$401,10,FALSE)</f>
        <v>17.003333333333334</v>
      </c>
      <c r="V502" s="31">
        <f>VLOOKUP($B502,Hitters!$A$1:$R$401,11,FALSE)</f>
        <v>0.99888888888888883</v>
      </c>
      <c r="W502" s="31">
        <f>VLOOKUP($B502,Hitters!$A$1:$R$401,12,FALSE)</f>
        <v>38.880000000000003</v>
      </c>
      <c r="X502" s="31">
        <f>VLOOKUP($B502,Hitters!$A$1:$R$401,13,FALSE)</f>
        <v>108.37888888888888</v>
      </c>
      <c r="Y502" s="33">
        <f>VLOOKUP($B502,Hitters!$A$1:$R$401,16,FALSE)</f>
        <v>0.38548106557627165</v>
      </c>
      <c r="Z502" s="33">
        <f>VLOOKUP($B502,Hitters!$A$1:$R$401,17,FALSE)</f>
        <v>0.70307302072676281</v>
      </c>
      <c r="AA502" s="31">
        <f>VLOOKUP($B502,Hitters!$A1:$R401,18,FALSE)</f>
        <v>0</v>
      </c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</row>
    <row r="503" spans="1:44" ht="18.600000000000001" customHeight="1">
      <c r="A503" s="25">
        <f ca="1">RANK(I503,I$2:I$651)</f>
        <v>502</v>
      </c>
      <c r="B503" s="26" t="s">
        <v>483</v>
      </c>
      <c r="C503" s="27" t="s">
        <v>63</v>
      </c>
      <c r="D503" s="27" t="s">
        <v>74</v>
      </c>
      <c r="E503" s="46" t="s">
        <v>19</v>
      </c>
      <c r="F503" s="47">
        <f ca="1">VLOOKUP(B503,'C'!A1:I54,IF(Settings!$J$13="points",4,7),FALSE)</f>
        <v>21</v>
      </c>
      <c r="G503" s="30">
        <f>(M503*Settings!$B$2)+(N503*Settings!$B$3)+(O503*Settings!$B$4)+(P503*Settings!$B$5)+(Q503*Settings!$B$6)+((T503-U503-V503-O503)*Settings!$B$9)+(U503*Settings!$B$10)+(V503*Settings!$B$11)+(W503*Settings!$B$12)+(X503*Settings!$B$13)+(AA503*Settings!$B$16)</f>
        <v>177.35999999999999</v>
      </c>
      <c r="H503" s="31">
        <f>VLOOKUP(B503,'Standard Deviations'!$A1:$D651,4,FALSE)</f>
        <v>-3.0877515541670855</v>
      </c>
      <c r="I503" s="32">
        <f ca="1">VLOOKUP(B503,'C'!A1:I54,IF(Settings!$J$13="points",6,9),FALSE)</f>
        <v>-2.3012250888959307</v>
      </c>
      <c r="J503" s="31"/>
      <c r="K503" s="31">
        <f ca="1">J503-A503</f>
        <v>-502</v>
      </c>
      <c r="L503" s="31"/>
      <c r="M503" s="31">
        <f>VLOOKUP($B503,Hitters!$A1:$R401,4,FALSE)</f>
        <v>285.65000000000003</v>
      </c>
      <c r="N503" s="31">
        <f>VLOOKUP($B503,Hitters!$A1:$R401,5,FALSE)</f>
        <v>34.125</v>
      </c>
      <c r="O503" s="31">
        <f>VLOOKUP($B503,Hitters!$A1:$R401,6,FALSE)</f>
        <v>5.4950000000000001</v>
      </c>
      <c r="P503" s="31">
        <f>VLOOKUP($B503,Hitters!$A1:$R401,7,FALSE)</f>
        <v>33.026666666666664</v>
      </c>
      <c r="Q503" s="31">
        <f>VLOOKUP($B503,Hitters!$A1:$R401,8,FALSE)</f>
        <v>1.9866666666666666</v>
      </c>
      <c r="R503" s="33">
        <f>VLOOKUP($B503,Hitters!$A$1:$R$401,14,FALSE)</f>
        <v>0.25167746076200476</v>
      </c>
      <c r="S503" s="33">
        <f>VLOOKUP($B503,Hitters!$A$1:$R$401,15,FALSE)</f>
        <v>0.32535246228563242</v>
      </c>
      <c r="T503" s="31">
        <f>VLOOKUP($B503,Hitters!$A$1:$R$401,9,FALSE)</f>
        <v>71.891666666666666</v>
      </c>
      <c r="U503" s="31">
        <f>VLOOKUP($B503,Hitters!$A$1:$R$401,10,FALSE)</f>
        <v>14.44</v>
      </c>
      <c r="V503" s="31">
        <f>VLOOKUP($B503,Hitters!$A$1:$R$401,11,FALSE)</f>
        <v>0.98333333333333339</v>
      </c>
      <c r="W503" s="31">
        <f>VLOOKUP($B503,Hitters!$A$1:$R$401,12,FALSE)</f>
        <v>26.808333333333334</v>
      </c>
      <c r="X503" s="31">
        <f>VLOOKUP($B503,Hitters!$A$1:$R$401,13,FALSE)</f>
        <v>50.713333333333331</v>
      </c>
      <c r="Y503" s="33">
        <f>VLOOKUP($B503,Hitters!$A$1:$R$401,16,FALSE)</f>
        <v>0.36682420211214189</v>
      </c>
      <c r="Z503" s="33">
        <f>VLOOKUP($B503,Hitters!$A$1:$R$401,17,FALSE)</f>
        <v>0.69217666439777426</v>
      </c>
      <c r="AA503" s="31">
        <f>VLOOKUP($B503,Hitters!$A1:$R401,18,FALSE)</f>
        <v>0</v>
      </c>
      <c r="AB503" s="31"/>
      <c r="AC503" s="31"/>
      <c r="AD503" s="33"/>
      <c r="AE503" s="33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</row>
    <row r="504" spans="1:44" ht="18.600000000000001" customHeight="1">
      <c r="A504" s="25">
        <f ca="1">RANK(I504,I$2:I$651)</f>
        <v>503</v>
      </c>
      <c r="B504" s="26" t="s">
        <v>563</v>
      </c>
      <c r="C504" s="27" t="s">
        <v>140</v>
      </c>
      <c r="D504" s="27" t="s">
        <v>69</v>
      </c>
      <c r="E504" s="34" t="s">
        <v>15</v>
      </c>
      <c r="F504" s="35">
        <f ca="1">VLOOKUP(B504,'3B'!A1:I55,IF(Settings!$J$13="points",4,7),FALSE)</f>
        <v>38</v>
      </c>
      <c r="G504" s="30">
        <f>(M504*Settings!$B$2)+(N504*Settings!$B$3)+(O504*Settings!$B$4)+(P504*Settings!$B$5)+(Q504*Settings!$B$6)+((T504-U504-V504-O504)*Settings!$B$9)+(U504*Settings!$B$10)+(V504*Settings!$B$11)+(W504*Settings!$B$12)+(X504*Settings!$B$13)+(AA504*Settings!$B$16)</f>
        <v>218.28388888888887</v>
      </c>
      <c r="H504" s="31">
        <f>VLOOKUP(B504,'Standard Deviations'!$A1:$D651,4,FALSE)</f>
        <v>-2.0935750580813455</v>
      </c>
      <c r="I504" s="32">
        <f ca="1">IF(Settings!$J$15="no",VLOOKUP(B504,'3B'!A1:I55,IF(Settings!$J$13="points",6,9),FALSE),VLOOKUP(B504,'1B+3B'!$A1:$I104,IF(Settings!$J$13="points",6,9),FALSE))</f>
        <v>-2.3190567331825482</v>
      </c>
      <c r="J504" s="31"/>
      <c r="K504" s="31">
        <f ca="1">J504-A504</f>
        <v>-503</v>
      </c>
      <c r="L504" s="31"/>
      <c r="M504" s="31">
        <f>VLOOKUP($B504,Hitters!$A1:$R401,4,FALSE)</f>
        <v>349.76666666666665</v>
      </c>
      <c r="N504" s="31">
        <f>VLOOKUP($B504,Hitters!$A1:$R401,5,FALSE)</f>
        <v>42.768888888888888</v>
      </c>
      <c r="O504" s="31">
        <f>VLOOKUP($B504,Hitters!$A1:$R401,6,FALSE)</f>
        <v>7.9833333333333334</v>
      </c>
      <c r="P504" s="31">
        <f>VLOOKUP($B504,Hitters!$A1:$R401,7,FALSE)</f>
        <v>36.594444444444441</v>
      </c>
      <c r="Q504" s="31">
        <f>VLOOKUP($B504,Hitters!$A1:$R401,8,FALSE)</f>
        <v>11.448888888888888</v>
      </c>
      <c r="R504" s="33">
        <f>VLOOKUP($B504,Hitters!$A$1:$R$401,14,FALSE)</f>
        <v>0.22821563582070589</v>
      </c>
      <c r="S504" s="33">
        <f>VLOOKUP($B504,Hitters!$A$1:$R$401,15,FALSE)</f>
        <v>0.31702636076056456</v>
      </c>
      <c r="T504" s="31">
        <f>VLOOKUP($B504,Hitters!$A$1:$R$401,9,FALSE)</f>
        <v>79.822222222222223</v>
      </c>
      <c r="U504" s="31">
        <f>VLOOKUP($B504,Hitters!$A$1:$R$401,10,FALSE)</f>
        <v>17.648888888888887</v>
      </c>
      <c r="V504" s="31">
        <f>VLOOKUP($B504,Hitters!$A$1:$R$401,11,FALSE)</f>
        <v>1.9822222222222223</v>
      </c>
      <c r="W504" s="31">
        <f>VLOOKUP($B504,Hitters!$A$1:$R$401,12,FALSE)</f>
        <v>39.984999999999992</v>
      </c>
      <c r="X504" s="31">
        <f>VLOOKUP($B504,Hitters!$A$1:$R$401,13,FALSE)</f>
        <v>98.695555555555572</v>
      </c>
      <c r="Y504" s="33">
        <f>VLOOKUP($B504,Hitters!$A$1:$R$401,16,FALSE)</f>
        <v>0.35848343340004452</v>
      </c>
      <c r="Z504" s="33">
        <f>VLOOKUP($B504,Hitters!$A$1:$R$401,17,FALSE)</f>
        <v>0.67550979416060908</v>
      </c>
      <c r="AA504" s="31">
        <f>VLOOKUP($B504,Hitters!$A1:$R401,18,FALSE)</f>
        <v>0</v>
      </c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</row>
    <row r="505" spans="1:44" ht="20.100000000000001" customHeight="1">
      <c r="A505" s="25">
        <f ca="1">RANK(I505,I$2:I$651)</f>
        <v>504</v>
      </c>
      <c r="B505" s="26" t="s">
        <v>451</v>
      </c>
      <c r="C505" s="27" t="s">
        <v>99</v>
      </c>
      <c r="D505" s="27" t="s">
        <v>69</v>
      </c>
      <c r="E505" s="28" t="s">
        <v>23</v>
      </c>
      <c r="F505" s="29">
        <f ca="1">VLOOKUP(B505,OF!A1:I139,IF(Settings!$J$13="points",4,7),FALSE)</f>
        <v>110</v>
      </c>
      <c r="G505" s="30">
        <f>(M505*Settings!$B$2)+(N505*Settings!$B$3)+(O505*Settings!$B$4)+(P505*Settings!$B$5)+(Q505*Settings!$B$6)+((T505-U505-V505-O505)*Settings!$B$9)+(U505*Settings!$B$10)+(V505*Settings!$B$11)+(W505*Settings!$B$12)+(X505*Settings!$B$13)+(AA505*Settings!$B$16)</f>
        <v>194.07333333333332</v>
      </c>
      <c r="H505" s="31">
        <f>VLOOKUP(B505,'Standard Deviations'!$A1:$D651,4,FALSE)</f>
        <v>-2.4816052188749977</v>
      </c>
      <c r="I505" s="32">
        <f ca="1">VLOOKUP(B505,OF!A1:I139,IF(Settings!$J$13="points",6,9),FALSE)</f>
        <v>-2.3246767610175429</v>
      </c>
      <c r="J505" s="31"/>
      <c r="K505" s="31">
        <f ca="1">J505-A505</f>
        <v>-504</v>
      </c>
      <c r="L505" s="31"/>
      <c r="M505" s="31">
        <f>VLOOKUP($B505,Hitters!$A1:$R401,4,FALSE)</f>
        <v>328.46666666666664</v>
      </c>
      <c r="N505" s="31">
        <f>VLOOKUP($B505,Hitters!$A1:$R401,5,FALSE)</f>
        <v>39.345000000000006</v>
      </c>
      <c r="O505" s="31">
        <f>VLOOKUP($B505,Hitters!$A1:$R401,6,FALSE)</f>
        <v>12.186666666666667</v>
      </c>
      <c r="P505" s="31">
        <f>VLOOKUP($B505,Hitters!$A1:$R401,7,FALSE)</f>
        <v>42.62777777777778</v>
      </c>
      <c r="Q505" s="31">
        <f>VLOOKUP($B505,Hitters!$A1:$R401,8,FALSE)</f>
        <v>2.4355555555555557</v>
      </c>
      <c r="R505" s="33">
        <f>VLOOKUP($B505,Hitters!$A$1:$R$401,14,FALSE)</f>
        <v>0.23299844394831201</v>
      </c>
      <c r="S505" s="33">
        <f>VLOOKUP($B505,Hitters!$A$1:$R$401,15,FALSE)</f>
        <v>0.30672887788862474</v>
      </c>
      <c r="T505" s="31">
        <f>VLOOKUP($B505,Hitters!$A$1:$R$401,9,FALSE)</f>
        <v>76.532222222222217</v>
      </c>
      <c r="U505" s="31">
        <f>VLOOKUP($B505,Hitters!$A$1:$R$401,10,FALSE)</f>
        <v>16.555555555555557</v>
      </c>
      <c r="V505" s="31">
        <f>VLOOKUP($B505,Hitters!$A$1:$R$401,11,FALSE)</f>
        <v>1.0733333333333333</v>
      </c>
      <c r="W505" s="31">
        <f>VLOOKUP($B505,Hitters!$A$1:$R$401,12,FALSE)</f>
        <v>29.627777777777776</v>
      </c>
      <c r="X505" s="31">
        <f>VLOOKUP($B505,Hitters!$A$1:$R$401,13,FALSE)</f>
        <v>108.38555555555554</v>
      </c>
      <c r="Y505" s="33">
        <f>VLOOKUP($B505,Hitters!$A$1:$R$401,16,FALSE)</f>
        <v>0.40124145862932148</v>
      </c>
      <c r="Z505" s="33">
        <f>VLOOKUP($B505,Hitters!$A$1:$R$401,17,FALSE)</f>
        <v>0.70797033651794616</v>
      </c>
      <c r="AA505" s="31">
        <f>VLOOKUP($B505,Hitters!$A1:$R401,18,FALSE)</f>
        <v>0</v>
      </c>
      <c r="AB505" s="31"/>
      <c r="AC505" s="31"/>
      <c r="AD505" s="33"/>
      <c r="AE505" s="33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</row>
    <row r="506" spans="1:44" ht="20.100000000000001" customHeight="1">
      <c r="A506" s="25">
        <f ca="1">RANK(I506,I$2:I$651)</f>
        <v>505</v>
      </c>
      <c r="B506" s="26" t="s">
        <v>757</v>
      </c>
      <c r="C506" s="27" t="s">
        <v>140</v>
      </c>
      <c r="D506" s="27" t="s">
        <v>74</v>
      </c>
      <c r="E506" s="36" t="s">
        <v>31</v>
      </c>
      <c r="F506" s="37">
        <f ca="1">VLOOKUP(B506,SP!A1:I161,IF(Settings!$J$13="points",4,7),FALSE)</f>
        <v>138</v>
      </c>
      <c r="G506" s="30">
        <f>(AC506*Settings!$F$2)+(AF506*Settings!$F$5)+(AG506*Settings!$F$6)+(AH506*Settings!$F$7)+(AI506*Settings!$F$8)+(AJ506*Settings!$F$9)+(AK506*Settings!$F$10)+(AL506*Settings!$F$11)+(AM506*Settings!$F$12)+(AN506*Settings!$F$13)+(AO506*Settings!$F$14)+(AP506*Settings!$F$15)+(AQ506*Settings!$F$16)+(AR506*Settings!$F$17)</f>
        <v>248.79083333333335</v>
      </c>
      <c r="H506" s="31">
        <f>VLOOKUP(B506,'Standard Deviations'!$A1:$D651,4,FALSE)</f>
        <v>-3.2034251117554562</v>
      </c>
      <c r="I506" s="32">
        <f ca="1">IF(Settings!$J$16="no",VLOOKUP(B506,SP!A1:I161,IF(Settings!$J$13="points",6,9),FALSE),VLOOKUP(B506,'SP+RP'!$A1:$I251,IF(Settings!$J$13="points",6,9),FALSE))</f>
        <v>-2.3358456780676269</v>
      </c>
      <c r="J506" s="31"/>
      <c r="K506" s="31">
        <f ca="1">J506-A506</f>
        <v>-505</v>
      </c>
      <c r="L506" s="31"/>
      <c r="M506" s="31"/>
      <c r="N506" s="31"/>
      <c r="O506" s="31"/>
      <c r="P506" s="31"/>
      <c r="Q506" s="31"/>
      <c r="R506" s="33"/>
      <c r="S506" s="33"/>
      <c r="T506" s="31"/>
      <c r="U506" s="31"/>
      <c r="V506" s="31"/>
      <c r="W506" s="31"/>
      <c r="X506" s="31"/>
      <c r="Y506" s="33"/>
      <c r="Z506" s="33"/>
      <c r="AA506" s="31"/>
      <c r="AB506" s="31"/>
      <c r="AC506" s="31">
        <f>VLOOKUP($B506,Pitchers!$A1:$S251,4,FALSE)</f>
        <v>136.54499999999999</v>
      </c>
      <c r="AD506" s="33">
        <f>VLOOKUP($B506,Pitchers!$A1:$S251,5,FALSE)</f>
        <v>4.3282434362298146</v>
      </c>
      <c r="AE506" s="33">
        <f>VLOOKUP($B506,Pitchers!$A1:$S251,6,FALSE)</f>
        <v>1.3670706848780012</v>
      </c>
      <c r="AF506" s="31">
        <f>VLOOKUP($B506,Pitchers!$A1:$S251,7,FALSE)</f>
        <v>119.84166666666665</v>
      </c>
      <c r="AG506" s="31">
        <f>VLOOKUP($B506,Pitchers!$A1:$S251,8,FALSE)</f>
        <v>6.6883333333333335</v>
      </c>
      <c r="AH506" s="31">
        <f>VLOOKUP($B506,Pitchers!$A1:$S251,9,FALSE)</f>
        <v>0</v>
      </c>
      <c r="AI506" s="31">
        <f>VLOOKUP($B506,Pitchers!$A1:$S251,10,FALSE)</f>
        <v>65.666666666666671</v>
      </c>
      <c r="AJ506" s="31">
        <f>VLOOKUP($B506,Pitchers!$A1:$S251,11,FALSE)</f>
        <v>127</v>
      </c>
      <c r="AK506" s="31">
        <f>VLOOKUP($B506,Pitchers!$A1:$S251,12,FALSE)</f>
        <v>59.666666666666664</v>
      </c>
      <c r="AL506" s="31">
        <f>VLOOKUP($B506,Pitchers!$A1:$S251,13,FALSE)</f>
        <v>16.666666666666668</v>
      </c>
      <c r="AM506" s="31">
        <f>VLOOKUP($B506,Pitchers!$A1:$S251,14,FALSE)</f>
        <v>26.391666666666666</v>
      </c>
      <c r="AN506" s="31">
        <f>VLOOKUP($B506,Pitchers!$A1:$S251,15,FALSE)</f>
        <v>23.724999999999998</v>
      </c>
      <c r="AO506" s="31">
        <f>VLOOKUP($B506,Pitchers!$A1:$S251,16,FALSE)</f>
        <v>9.0499999999999989</v>
      </c>
      <c r="AP506" s="31">
        <f>VLOOKUP($B506,Pitchers!$A1:$S251,17,FALSE)</f>
        <v>10</v>
      </c>
      <c r="AQ506" s="31">
        <f>VLOOKUP($B506,Pitchers!$A1:$S251,18,FALSE)</f>
        <v>0</v>
      </c>
      <c r="AR506" s="31">
        <f>VLOOKUP($B506,Pitchers!$A1:$S251,19,FALSE)</f>
        <v>0</v>
      </c>
    </row>
    <row r="507" spans="1:44" ht="20.100000000000001" customHeight="1">
      <c r="A507" s="25">
        <f ca="1">RANK(I507,I$2:I$651)</f>
        <v>506</v>
      </c>
      <c r="B507" s="26" t="s">
        <v>425</v>
      </c>
      <c r="C507" s="27" t="s">
        <v>223</v>
      </c>
      <c r="D507" s="27" t="s">
        <v>74</v>
      </c>
      <c r="E507" s="38" t="s">
        <v>27</v>
      </c>
      <c r="F507" s="39">
        <f ca="1">VLOOKUP(B507,SS!A1:I45,IF(Settings!$J$13="points",4,7),FALSE)</f>
        <v>34</v>
      </c>
      <c r="G507" s="30">
        <f>(M507*Settings!$B$2)+(N507*Settings!$B$3)+(O507*Settings!$B$4)+(P507*Settings!$B$5)+(Q507*Settings!$B$6)+((T507-U507-V507-O507)*Settings!$B$9)+(U507*Settings!$B$10)+(V507*Settings!$B$11)+(W507*Settings!$B$12)+(X507*Settings!$B$13)+(AA507*Settings!$B$16)</f>
        <v>151.79</v>
      </c>
      <c r="H507" s="31">
        <f>VLOOKUP(B507,'Standard Deviations'!$A1:$D651,4,FALSE)</f>
        <v>-2.3425787051289699</v>
      </c>
      <c r="I507" s="32">
        <f ca="1">IF(Settings!$J$16="no",VLOOKUP(B507,SS!A1:I45,IF(Settings!$J$13="points",6,9),FALSE),VLOOKUP(B507,'2B+SS'!$A1:$I94,IF(Settings!$J$13="points",6,9),FALSE))</f>
        <v>-2.3486223238024038</v>
      </c>
      <c r="J507" s="31"/>
      <c r="K507" s="31">
        <f ca="1">J507-A507</f>
        <v>-506</v>
      </c>
      <c r="L507" s="31"/>
      <c r="M507" s="31">
        <f>VLOOKUP($B507,Hitters!$A1:$R401,4,FALSE)</f>
        <v>233.76666666666668</v>
      </c>
      <c r="N507" s="31">
        <f>VLOOKUP($B507,Hitters!$A1:$R401,5,FALSE)</f>
        <v>28.973333333333333</v>
      </c>
      <c r="O507" s="31">
        <f>VLOOKUP($B507,Hitters!$A1:$R401,6,FALSE)</f>
        <v>8.0500000000000007</v>
      </c>
      <c r="P507" s="31">
        <f>VLOOKUP($B507,Hitters!$A1:$R401,7,FALSE)</f>
        <v>29.656666666666666</v>
      </c>
      <c r="Q507" s="31">
        <f>VLOOKUP($B507,Hitters!$A1:$R401,8,FALSE)</f>
        <v>9.1566666666666663</v>
      </c>
      <c r="R507" s="33">
        <f>VLOOKUP($B507,Hitters!$A$1:$R$401,14,FALSE)</f>
        <v>0.24769713389419645</v>
      </c>
      <c r="S507" s="33">
        <f>VLOOKUP($B507,Hitters!$A$1:$R$401,15,FALSE)</f>
        <v>0.29985644637228148</v>
      </c>
      <c r="T507" s="31">
        <f>VLOOKUP($B507,Hitters!$A$1:$R$401,9,FALSE)</f>
        <v>57.903333333333329</v>
      </c>
      <c r="U507" s="31">
        <f>VLOOKUP($B507,Hitters!$A$1:$R$401,10,FALSE)</f>
        <v>12.293333333333331</v>
      </c>
      <c r="V507" s="31">
        <f>VLOOKUP($B507,Hitters!$A$1:$R$401,11,FALSE)</f>
        <v>2.16</v>
      </c>
      <c r="W507" s="31">
        <f>VLOOKUP($B507,Hitters!$A$1:$R$401,12,FALSE)</f>
        <v>13.573333333333336</v>
      </c>
      <c r="X507" s="31">
        <f>VLOOKUP($B507,Hitters!$A$1:$R$401,13,FALSE)</f>
        <v>74.786666666666676</v>
      </c>
      <c r="Y507" s="33">
        <f>VLOOKUP($B507,Hitters!$A$1:$R$401,16,FALSE)</f>
        <v>0.42207329245686581</v>
      </c>
      <c r="Z507" s="33">
        <f>VLOOKUP($B507,Hitters!$A$1:$R$401,17,FALSE)</f>
        <v>0.72192973882914724</v>
      </c>
      <c r="AA507" s="31">
        <f>VLOOKUP($B507,Hitters!$A1:$R401,18,FALSE)</f>
        <v>0</v>
      </c>
      <c r="AB507" s="31"/>
      <c r="AC507" s="31"/>
      <c r="AD507" s="33"/>
      <c r="AE507" s="33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</row>
    <row r="508" spans="1:44" ht="20.100000000000001" customHeight="1">
      <c r="A508" s="25">
        <f ca="1">RANK(I508,I$2:I$651)</f>
        <v>507</v>
      </c>
      <c r="B508" s="26" t="s">
        <v>562</v>
      </c>
      <c r="C508" s="27" t="s">
        <v>94</v>
      </c>
      <c r="D508" s="27" t="s">
        <v>69</v>
      </c>
      <c r="E508" s="36" t="s">
        <v>31</v>
      </c>
      <c r="F508" s="37">
        <f ca="1">VLOOKUP(B508,SP!A1:I161,IF(Settings!$J$13="points",4,7),FALSE)</f>
        <v>139</v>
      </c>
      <c r="G508" s="30">
        <f>(AC508*Settings!$F$2)+(AF508*Settings!$F$5)+(AG508*Settings!$F$6)+(AH508*Settings!$F$7)+(AI508*Settings!$F$8)+(AJ508*Settings!$F$9)+(AK508*Settings!$F$10)+(AL508*Settings!$F$11)+(AM508*Settings!$F$12)+(AN508*Settings!$F$13)+(AO508*Settings!$F$14)+(AP508*Settings!$F$15)+(AQ508*Settings!$F$16)+(AR508*Settings!$F$17)</f>
        <v>219.43666666666658</v>
      </c>
      <c r="H508" s="31">
        <f>VLOOKUP(B508,'Standard Deviations'!$A1:$D651,4,FALSE)</f>
        <v>-3.2289617946290048</v>
      </c>
      <c r="I508" s="32">
        <f ca="1">IF(Settings!$J$16="no",VLOOKUP(B508,SP!A1:I161,IF(Settings!$J$13="points",6,9),FALSE),VLOOKUP(B508,'SP+RP'!$A1:$I251,IF(Settings!$J$13="points",6,9),FALSE))</f>
        <v>-2.3613802385524916</v>
      </c>
      <c r="J508" s="31"/>
      <c r="K508" s="31">
        <f ca="1">J508-A508</f>
        <v>-507</v>
      </c>
      <c r="L508" s="31"/>
      <c r="M508" s="31"/>
      <c r="N508" s="31"/>
      <c r="O508" s="31"/>
      <c r="P508" s="31"/>
      <c r="Q508" s="31"/>
      <c r="R508" s="33"/>
      <c r="S508" s="33"/>
      <c r="T508" s="31"/>
      <c r="U508" s="31"/>
      <c r="V508" s="31"/>
      <c r="W508" s="31"/>
      <c r="X508" s="31"/>
      <c r="Y508" s="33"/>
      <c r="Z508" s="33"/>
      <c r="AA508" s="31"/>
      <c r="AB508" s="31"/>
      <c r="AC508" s="31">
        <f>VLOOKUP($B508,Pitchers!$A1:$S251,4,FALSE)</f>
        <v>109.81333333333332</v>
      </c>
      <c r="AD508" s="33">
        <f>VLOOKUP($B508,Pitchers!$A1:$S251,5,FALSE)</f>
        <v>4.2967459932005836</v>
      </c>
      <c r="AE508" s="33">
        <f>VLOOKUP($B508,Pitchers!$A1:$S251,6,FALSE)</f>
        <v>1.3590132750526147</v>
      </c>
      <c r="AF508" s="31">
        <f>VLOOKUP($B508,Pitchers!$A1:$S251,7,FALSE)</f>
        <v>114.48</v>
      </c>
      <c r="AG508" s="31">
        <f>VLOOKUP($B508,Pitchers!$A1:$S251,8,FALSE)</f>
        <v>6.4355555555555553</v>
      </c>
      <c r="AH508" s="31">
        <f>VLOOKUP($B508,Pitchers!$A1:$S251,9,FALSE)</f>
        <v>1.1111111111111112E-2</v>
      </c>
      <c r="AI508" s="31">
        <f>VLOOKUP($B508,Pitchers!$A1:$S251,10,FALSE)</f>
        <v>52.426666666666669</v>
      </c>
      <c r="AJ508" s="31">
        <f>VLOOKUP($B508,Pitchers!$A1:$S251,11,FALSE)</f>
        <v>102.64222222222223</v>
      </c>
      <c r="AK508" s="31">
        <f>VLOOKUP($B508,Pitchers!$A1:$S251,12,FALSE)</f>
        <v>46.595555555555556</v>
      </c>
      <c r="AL508" s="31">
        <f>VLOOKUP($B508,Pitchers!$A1:$S251,13,FALSE)</f>
        <v>16.7</v>
      </c>
      <c r="AM508" s="31">
        <f>VLOOKUP($B508,Pitchers!$A1:$S251,14,FALSE)</f>
        <v>33.148888888888891</v>
      </c>
      <c r="AN508" s="31">
        <f>VLOOKUP($B508,Pitchers!$A1:$S251,15,FALSE)</f>
        <v>19.235555555555553</v>
      </c>
      <c r="AO508" s="31">
        <f>VLOOKUP($B508,Pitchers!$A1:$S251,16,FALSE)</f>
        <v>6.3411111111111111</v>
      </c>
      <c r="AP508" s="31">
        <f>VLOOKUP($B508,Pitchers!$A1:$S251,17,FALSE)</f>
        <v>7</v>
      </c>
      <c r="AQ508" s="31">
        <f>VLOOKUP($B508,Pitchers!$A1:$S251,18,FALSE)</f>
        <v>1</v>
      </c>
      <c r="AR508" s="31">
        <f>VLOOKUP($B508,Pitchers!$A1:$S251,19,FALSE)</f>
        <v>0</v>
      </c>
    </row>
    <row r="509" spans="1:44" ht="20.100000000000001" customHeight="1">
      <c r="A509" s="25">
        <f ca="1">RANK(I509,I$2:I$651)</f>
        <v>508</v>
      </c>
      <c r="B509" s="26" t="s">
        <v>755</v>
      </c>
      <c r="C509" s="27" t="s">
        <v>158</v>
      </c>
      <c r="D509" s="27" t="s">
        <v>74</v>
      </c>
      <c r="E509" s="42" t="s">
        <v>34</v>
      </c>
      <c r="F509" s="43">
        <f ca="1">VLOOKUP(B509,RP!A1:I91,IF(Settings!$J$13="points",4,7),FALSE)</f>
        <v>86</v>
      </c>
      <c r="G509" s="30">
        <f>(AC509*Settings!$F$2)+(AF509*Settings!$F$5)+(AG509*Settings!$F$6)+(AH509*Settings!$F$7)+(AI509*Settings!$F$8)+(AJ509*Settings!$F$9)+(AK509*Settings!$F$10)+(AL509*Settings!$F$11)+(AM509*Settings!$F$12)+(AN509*Settings!$F$13)+(AO509*Settings!$F$14)+(AP509*Settings!$F$15)+(AQ509*Settings!$F$16)+(AR509*Settings!$F$17)</f>
        <v>176.92722222222221</v>
      </c>
      <c r="H509" s="31">
        <f>VLOOKUP(B509,'Standard Deviations'!$A1:$D651,4,FALSE)</f>
        <v>-3.2290209199153179</v>
      </c>
      <c r="I509" s="32">
        <f ca="1">IF(Settings!$J$16="no",VLOOKUP(B509,RP!A1:I91,IF(Settings!$J$13="points",6,9),FALSE),VLOOKUP(B509,'SP+RP'!$A1:$I251,IF(Settings!$J$13="points",6,9),FALSE))</f>
        <v>-2.3614417353383104</v>
      </c>
      <c r="J509" s="31"/>
      <c r="K509" s="31">
        <f ca="1">J509-A509</f>
        <v>-508</v>
      </c>
      <c r="L509" s="31"/>
      <c r="M509" s="31"/>
      <c r="N509" s="31"/>
      <c r="O509" s="31"/>
      <c r="P509" s="31"/>
      <c r="Q509" s="31"/>
      <c r="R509" s="33"/>
      <c r="S509" s="33"/>
      <c r="T509" s="31"/>
      <c r="U509" s="31"/>
      <c r="V509" s="31"/>
      <c r="W509" s="31"/>
      <c r="X509" s="31"/>
      <c r="Y509" s="33"/>
      <c r="Z509" s="33"/>
      <c r="AA509" s="31"/>
      <c r="AB509" s="31"/>
      <c r="AC509" s="31">
        <f>VLOOKUP($B509,Pitchers!$A1:$S251,4,FALSE)</f>
        <v>62.569999999999993</v>
      </c>
      <c r="AD509" s="33">
        <f>VLOOKUP($B509,Pitchers!$A1:$S251,5,FALSE)</f>
        <v>4.0415534601246605</v>
      </c>
      <c r="AE509" s="33">
        <f>VLOOKUP($B509,Pitchers!$A1:$S251,6,FALSE)</f>
        <v>1.331433239216522</v>
      </c>
      <c r="AF509" s="31">
        <f>VLOOKUP($B509,Pitchers!$A1:$S251,7,FALSE)</f>
        <v>60.31</v>
      </c>
      <c r="AG509" s="31">
        <f>VLOOKUP($B509,Pitchers!$A1:$S251,8,FALSE)</f>
        <v>3.0144444444444445</v>
      </c>
      <c r="AH509" s="31">
        <f>VLOOKUP($B509,Pitchers!$A1:$S251,9,FALSE)</f>
        <v>9.4888888888888889</v>
      </c>
      <c r="AI509" s="31">
        <f>VLOOKUP($B509,Pitchers!$A1:$S251,10,FALSE)</f>
        <v>28.097777777777779</v>
      </c>
      <c r="AJ509" s="31">
        <f>VLOOKUP($B509,Pitchers!$A1:$S251,11,FALSE)</f>
        <v>59.817777777777771</v>
      </c>
      <c r="AK509" s="31">
        <f>VLOOKUP($B509,Pitchers!$A1:$S251,12,FALSE)</f>
        <v>23.49</v>
      </c>
      <c r="AL509" s="31">
        <f>VLOOKUP($B509,Pitchers!$A1:$S251,13,FALSE)</f>
        <v>6.9666666666666659</v>
      </c>
      <c r="AM509" s="31">
        <f>VLOOKUP($B509,Pitchers!$A1:$S251,14,FALSE)</f>
        <v>59.531111111111109</v>
      </c>
      <c r="AN509" s="31">
        <f>VLOOKUP($B509,Pitchers!$A1:$S251,15,FALSE)</f>
        <v>0.81111111111111123</v>
      </c>
      <c r="AO509" s="31">
        <f>VLOOKUP($B509,Pitchers!$A1:$S251,16,FALSE)</f>
        <v>3.4111111111111114</v>
      </c>
      <c r="AP509" s="31">
        <f>VLOOKUP($B509,Pitchers!$A1:$S251,17,FALSE)</f>
        <v>0</v>
      </c>
      <c r="AQ509" s="31">
        <f>VLOOKUP($B509,Pitchers!$A1:$S251,18,FALSE)</f>
        <v>12.5</v>
      </c>
      <c r="AR509" s="31">
        <f>VLOOKUP($B509,Pitchers!$A1:$S251,19,FALSE)</f>
        <v>3</v>
      </c>
    </row>
    <row r="510" spans="1:44" ht="18.600000000000001" customHeight="1">
      <c r="A510" s="25">
        <f ca="1">RANK(I510,I$2:I$651)</f>
        <v>509</v>
      </c>
      <c r="B510" s="26" t="s">
        <v>525</v>
      </c>
      <c r="C510" s="27" t="s">
        <v>158</v>
      </c>
      <c r="D510" s="27" t="s">
        <v>74</v>
      </c>
      <c r="E510" s="36" t="s">
        <v>31</v>
      </c>
      <c r="F510" s="37">
        <f ca="1">VLOOKUP(B510,SP!A1:I161,IF(Settings!$J$13="points",4,7),FALSE)</f>
        <v>140</v>
      </c>
      <c r="G510" s="30">
        <f>(AC510*Settings!$F$2)+(AF510*Settings!$F$5)+(AG510*Settings!$F$6)+(AH510*Settings!$F$7)+(AI510*Settings!$F$8)+(AJ510*Settings!$F$9)+(AK510*Settings!$F$10)+(AL510*Settings!$F$11)+(AM510*Settings!$F$12)+(AN510*Settings!$F$13)+(AO510*Settings!$F$14)+(AP510*Settings!$F$15)+(AQ510*Settings!$F$16)+(AR510*Settings!$F$17)</f>
        <v>216.42957777777775</v>
      </c>
      <c r="H510" s="31">
        <f>VLOOKUP(B510,'Standard Deviations'!$A1:$D651,4,FALSE)</f>
        <v>-3.2330658107201691</v>
      </c>
      <c r="I510" s="32">
        <f ca="1">IF(Settings!$J$16="no",VLOOKUP(B510,SP!A1:I161,IF(Settings!$J$13="points",6,9),FALSE),VLOOKUP(B510,'SP+RP'!$A1:$I251,IF(Settings!$J$13="points",6,9),FALSE))</f>
        <v>-2.3654891132105598</v>
      </c>
      <c r="J510" s="31"/>
      <c r="K510" s="31">
        <f ca="1">J510-A510</f>
        <v>-509</v>
      </c>
      <c r="L510" s="31"/>
      <c r="M510" s="31"/>
      <c r="N510" s="31"/>
      <c r="O510" s="31"/>
      <c r="P510" s="31"/>
      <c r="Q510" s="31"/>
      <c r="R510" s="33"/>
      <c r="S510" s="33"/>
      <c r="T510" s="31"/>
      <c r="U510" s="31"/>
      <c r="V510" s="31"/>
      <c r="W510" s="31"/>
      <c r="X510" s="31"/>
      <c r="Y510" s="33"/>
      <c r="Z510" s="33"/>
      <c r="AA510" s="31"/>
      <c r="AB510" s="31"/>
      <c r="AC510" s="31">
        <f>VLOOKUP($B510,Pitchers!$A1:$S251,4,FALSE)</f>
        <v>114.62444444444445</v>
      </c>
      <c r="AD510" s="33">
        <f>VLOOKUP($B510,Pitchers!$A1:$S251,5,FALSE)</f>
        <v>4.467099513386712</v>
      </c>
      <c r="AE510" s="33">
        <f>VLOOKUP($B510,Pitchers!$A1:$S251,6,FALSE)</f>
        <v>1.3075308737713498</v>
      </c>
      <c r="AF510" s="31">
        <f>VLOOKUP($B510,Pitchers!$A1:$S251,7,FALSE)</f>
        <v>102.73222222222222</v>
      </c>
      <c r="AG510" s="31">
        <f>VLOOKUP($B510,Pitchers!$A1:$S251,8,FALSE)</f>
        <v>6.666666666666667</v>
      </c>
      <c r="AH510" s="31">
        <f>VLOOKUP($B510,Pitchers!$A1:$S251,9,FALSE)</f>
        <v>0</v>
      </c>
      <c r="AI510" s="31">
        <f>VLOOKUP($B510,Pitchers!$A1:$S251,10,FALSE)</f>
        <v>56.893200000000007</v>
      </c>
      <c r="AJ510" s="31">
        <f>VLOOKUP($B510,Pitchers!$A1:$S251,11,FALSE)</f>
        <v>115.16666666666667</v>
      </c>
      <c r="AK510" s="31">
        <f>VLOOKUP($B510,Pitchers!$A1:$S251,12,FALSE)</f>
        <v>34.708333333333329</v>
      </c>
      <c r="AL510" s="31">
        <f>VLOOKUP($B510,Pitchers!$A1:$S251,13,FALSE)</f>
        <v>19.433333333333334</v>
      </c>
      <c r="AM510" s="31">
        <f>VLOOKUP($B510,Pitchers!$A1:$S251,14,FALSE)</f>
        <v>31.567777777777778</v>
      </c>
      <c r="AN510" s="31">
        <f>VLOOKUP($B510,Pitchers!$A1:$S251,15,FALSE)</f>
        <v>20.578888888888887</v>
      </c>
      <c r="AO510" s="31">
        <f>VLOOKUP($B510,Pitchers!$A1:$S251,16,FALSE)</f>
        <v>7.9416666666666664</v>
      </c>
      <c r="AP510" s="31">
        <f>VLOOKUP($B510,Pitchers!$A1:$S251,17,FALSE)</f>
        <v>7</v>
      </c>
      <c r="AQ510" s="31">
        <f>VLOOKUP($B510,Pitchers!$A1:$S251,18,FALSE)</f>
        <v>0</v>
      </c>
      <c r="AR510" s="31">
        <f>VLOOKUP($B510,Pitchers!$A1:$S251,19,FALSE)</f>
        <v>0</v>
      </c>
    </row>
    <row r="511" spans="1:44" ht="20.100000000000001" customHeight="1">
      <c r="A511" s="25">
        <f ca="1">RANK(I511,I$2:I$651)</f>
        <v>510</v>
      </c>
      <c r="B511" s="166" t="s">
        <v>760</v>
      </c>
      <c r="C511" s="167" t="s">
        <v>176</v>
      </c>
      <c r="D511" s="27" t="s">
        <v>74</v>
      </c>
      <c r="E511" s="40" t="s">
        <v>7</v>
      </c>
      <c r="F511" s="41">
        <f ca="1">VLOOKUP(B511,'1B'!A1:I63,IF(Settings!$J$13="points",4,7),FALSE)</f>
        <v>44</v>
      </c>
      <c r="G511" s="30">
        <f>(M511*Settings!$B$2)+(N511*Settings!$B$3)+(O511*Settings!$B$4)+(P511*Settings!$B$5)+(Q511*Settings!$B$6)+((T511-U511-V511-O511)*Settings!$B$9)+(U511*Settings!$B$10)+(V511*Settings!$B$11)+(W511*Settings!$B$12)+(X511*Settings!$B$13)+(AA511*Settings!$B$16)</f>
        <v>231</v>
      </c>
      <c r="H511" s="31">
        <f>VLOOKUP(B511,'Standard Deviations'!$A1:$D651,4,FALSE)</f>
        <v>-2.1413165439428243</v>
      </c>
      <c r="I511" s="32">
        <f ca="1">IF(Settings!$J$15="no",VLOOKUP(B511,'1B'!A1:I63,IF(Settings!$J$13="points",6,9),FALSE),VLOOKUP(B511,'1B+3B'!$A1:$I104,IF(Settings!$J$13="points",6,9),FALSE))</f>
        <v>-2.3667962139577128</v>
      </c>
      <c r="J511" s="31"/>
      <c r="K511" s="31">
        <f ca="1">J511-A511</f>
        <v>-510</v>
      </c>
      <c r="L511" s="31"/>
      <c r="M511" s="31">
        <f>VLOOKUP($B511,Hitters!$A1:$R401,4,FALSE)</f>
        <v>385</v>
      </c>
      <c r="N511" s="31">
        <f>VLOOKUP($B511,Hitters!$A1:$R401,5,FALSE)</f>
        <v>43</v>
      </c>
      <c r="O511" s="31">
        <f>VLOOKUP($B511,Hitters!$A1:$R401,6,FALSE)</f>
        <v>12</v>
      </c>
      <c r="P511" s="31">
        <f>VLOOKUP($B511,Hitters!$A1:$R401,7,FALSE)</f>
        <v>46</v>
      </c>
      <c r="Q511" s="31">
        <f>VLOOKUP($B511,Hitters!$A1:$R401,8,FALSE)</f>
        <v>2</v>
      </c>
      <c r="R511" s="33">
        <f>VLOOKUP($B511,Hitters!$A$1:$R$401,14,FALSE)</f>
        <v>0.23499999999999999</v>
      </c>
      <c r="S511" s="33">
        <f>VLOOKUP($B511,Hitters!$A$1:$R$401,15,FALSE)</f>
        <v>0.30599999999999999</v>
      </c>
      <c r="T511" s="31">
        <f>VLOOKUP($B511,Hitters!$A$1:$R$401,9,FALSE)</f>
        <v>90.5</v>
      </c>
      <c r="U511" s="31">
        <f>VLOOKUP($B511,Hitters!$A$1:$R$401,10,FALSE)</f>
        <v>26</v>
      </c>
      <c r="V511" s="31">
        <f>VLOOKUP($B511,Hitters!$A$1:$R$401,11,FALSE)</f>
        <v>1</v>
      </c>
      <c r="W511" s="31">
        <f>VLOOKUP($B511,Hitters!$A$1:$R$401,12,FALSE)</f>
        <v>36</v>
      </c>
      <c r="X511" s="31">
        <f>VLOOKUP($B511,Hitters!$A$1:$R$401,13,FALSE)</f>
        <v>105</v>
      </c>
      <c r="Y511" s="33">
        <f>VLOOKUP($B511,Hitters!$A$1:$R$401,16,FALSE)</f>
        <v>0.40128999999999998</v>
      </c>
      <c r="Z511" s="33">
        <f>VLOOKUP($B511,Hitters!$A$1:$R$401,17,FALSE)</f>
        <v>0.70699999999999996</v>
      </c>
      <c r="AA511" s="31">
        <f>VLOOKUP($B511,Hitters!$A1:$R401,18,FALSE)</f>
        <v>0</v>
      </c>
      <c r="AB511" s="31"/>
      <c r="AC511" s="31"/>
      <c r="AD511" s="33"/>
      <c r="AE511" s="33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</row>
    <row r="512" spans="1:44" ht="20.100000000000001" customHeight="1">
      <c r="A512" s="25">
        <f ca="1">RANK(I512,I$2:I$651)</f>
        <v>511</v>
      </c>
      <c r="B512" s="26" t="s">
        <v>523</v>
      </c>
      <c r="C512" s="27" t="s">
        <v>258</v>
      </c>
      <c r="D512" s="27" t="s">
        <v>69</v>
      </c>
      <c r="E512" s="46" t="s">
        <v>19</v>
      </c>
      <c r="F512" s="47">
        <f ca="1">VLOOKUP(B512,'C'!A1:I54,IF(Settings!$J$13="points",4,7),FALSE)</f>
        <v>22</v>
      </c>
      <c r="G512" s="30">
        <f>(M512*Settings!$B$2)+(N512*Settings!$B$3)+(O512*Settings!$B$4)+(P512*Settings!$B$5)+(Q512*Settings!$B$6)+((T512-U512-V512-O512)*Settings!$B$9)+(U512*Settings!$B$10)+(V512*Settings!$B$11)+(W512*Settings!$B$12)+(X512*Settings!$B$13)+(AA512*Settings!$B$16)</f>
        <v>174.08249999999998</v>
      </c>
      <c r="H512" s="31">
        <f>VLOOKUP(B512,'Standard Deviations'!$A1:$D651,4,FALSE)</f>
        <v>-3.1908971388820881</v>
      </c>
      <c r="I512" s="32">
        <f ca="1">VLOOKUP(B512,'C'!A1:I54,IF(Settings!$J$13="points",6,9),FALSE)</f>
        <v>-2.4043780080193007</v>
      </c>
      <c r="J512" s="31"/>
      <c r="K512" s="31">
        <f ca="1">J512-A512</f>
        <v>-511</v>
      </c>
      <c r="L512" s="31"/>
      <c r="M512" s="31">
        <f>VLOOKUP($B512,Hitters!$A1:$R401,4,FALSE)</f>
        <v>294.51111111111112</v>
      </c>
      <c r="N512" s="31">
        <f>VLOOKUP($B512,Hitters!$A1:$R401,5,FALSE)</f>
        <v>35.380000000000003</v>
      </c>
      <c r="O512" s="31">
        <f>VLOOKUP($B512,Hitters!$A1:$R401,6,FALSE)</f>
        <v>12.94</v>
      </c>
      <c r="P512" s="31">
        <f>VLOOKUP($B512,Hitters!$A1:$R401,7,FALSE)</f>
        <v>40.30222222222222</v>
      </c>
      <c r="Q512" s="31">
        <f>VLOOKUP($B512,Hitters!$A1:$R401,8,FALSE)</f>
        <v>1.0016666666666667</v>
      </c>
      <c r="R512" s="33">
        <f>VLOOKUP($B512,Hitters!$A$1:$R$401,14,FALSE)</f>
        <v>0.2270240700218818</v>
      </c>
      <c r="S512" s="33">
        <f>VLOOKUP($B512,Hitters!$A$1:$R$401,15,FALSE)</f>
        <v>0.29387556410515697</v>
      </c>
      <c r="T512" s="31">
        <f>VLOOKUP($B512,Hitters!$A$1:$R$401,9,FALSE)</f>
        <v>66.8611111111111</v>
      </c>
      <c r="U512" s="31">
        <f>VLOOKUP($B512,Hitters!$A$1:$R$401,10,FALSE)</f>
        <v>12.661111111111111</v>
      </c>
      <c r="V512" s="31">
        <f>VLOOKUP($B512,Hitters!$A$1:$R$401,11,FALSE)</f>
        <v>0.99888888888888883</v>
      </c>
      <c r="W512" s="31">
        <f>VLOOKUP($B512,Hitters!$A$1:$R$401,12,FALSE)</f>
        <v>22.97111111111111</v>
      </c>
      <c r="X512" s="31">
        <f>VLOOKUP($B512,Hitters!$A$1:$R$401,13,FALSE)</f>
        <v>93.828333333333333</v>
      </c>
      <c r="Y512" s="33">
        <f>VLOOKUP($B512,Hitters!$A$1:$R$401,16,FALSE)</f>
        <v>0.40860937146306486</v>
      </c>
      <c r="Z512" s="33">
        <f>VLOOKUP($B512,Hitters!$A$1:$R$401,17,FALSE)</f>
        <v>0.70248493556822189</v>
      </c>
      <c r="AA512" s="31">
        <f>VLOOKUP($B512,Hitters!$A1:$R401,18,FALSE)</f>
        <v>0</v>
      </c>
      <c r="AB512" s="31"/>
      <c r="AC512" s="31"/>
      <c r="AD512" s="33"/>
      <c r="AE512" s="33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</row>
    <row r="513" spans="1:44" ht="20.100000000000001" customHeight="1">
      <c r="A513" s="25">
        <f ca="1">RANK(I513,I$2:I$651)</f>
        <v>512</v>
      </c>
      <c r="B513" s="26" t="s">
        <v>503</v>
      </c>
      <c r="C513" s="27" t="s">
        <v>134</v>
      </c>
      <c r="D513" s="27" t="s">
        <v>74</v>
      </c>
      <c r="E513" s="46" t="s">
        <v>19</v>
      </c>
      <c r="F513" s="47">
        <f ca="1">VLOOKUP(B513,'C'!A1:I54,IF(Settings!$J$13="points",4,7),FALSE)</f>
        <v>23</v>
      </c>
      <c r="G513" s="30">
        <f>(M513*Settings!$B$2)+(N513*Settings!$B$3)+(O513*Settings!$B$4)+(P513*Settings!$B$5)+(Q513*Settings!$B$6)+((T513-U513-V513-O513)*Settings!$B$9)+(U513*Settings!$B$10)+(V513*Settings!$B$11)+(W513*Settings!$B$12)+(X513*Settings!$B$13)+(AA513*Settings!$B$16)</f>
        <v>162.0072222222222</v>
      </c>
      <c r="H513" s="31">
        <f>VLOOKUP(B513,'Standard Deviations'!$A1:$D651,4,FALSE)</f>
        <v>-3.2048879873629277</v>
      </c>
      <c r="I513" s="32">
        <f ca="1">VLOOKUP(B513,'C'!A1:I54,IF(Settings!$J$13="points",6,9),FALSE)</f>
        <v>-2.4183659118780843</v>
      </c>
      <c r="J513" s="31"/>
      <c r="K513" s="31">
        <f ca="1">J513-A513</f>
        <v>-512</v>
      </c>
      <c r="L513" s="31"/>
      <c r="M513" s="31">
        <f>VLOOKUP($B513,Hitters!$A1:$R401,4,FALSE)</f>
        <v>246.41666666666666</v>
      </c>
      <c r="N513" s="31">
        <f>VLOOKUP($B513,Hitters!$A1:$R401,5,FALSE)</f>
        <v>31.11</v>
      </c>
      <c r="O513" s="31">
        <f>VLOOKUP($B513,Hitters!$A1:$R401,6,FALSE)</f>
        <v>8.3849999999999998</v>
      </c>
      <c r="P513" s="31">
        <f>VLOOKUP($B513,Hitters!$A1:$R401,7,FALSE)</f>
        <v>30.75888888888889</v>
      </c>
      <c r="Q513" s="31">
        <f>VLOOKUP($B513,Hitters!$A1:$R401,8,FALSE)</f>
        <v>4.0216666666666665</v>
      </c>
      <c r="R513" s="33">
        <f>VLOOKUP($B513,Hitters!$A$1:$R$401,14,FALSE)</f>
        <v>0.24156013978130988</v>
      </c>
      <c r="S513" s="33">
        <f>VLOOKUP($B513,Hitters!$A$1:$R$401,15,FALSE)</f>
        <v>0.30880145735898723</v>
      </c>
      <c r="T513" s="31">
        <f>VLOOKUP($B513,Hitters!$A$1:$R$401,9,FALSE)</f>
        <v>59.524444444444441</v>
      </c>
      <c r="U513" s="31">
        <f>VLOOKUP($B513,Hitters!$A$1:$R$401,10,FALSE)</f>
        <v>10.634444444444444</v>
      </c>
      <c r="V513" s="31">
        <f>VLOOKUP($B513,Hitters!$A$1:$R$401,11,FALSE)</f>
        <v>0.99777777777777776</v>
      </c>
      <c r="W513" s="31">
        <f>VLOOKUP($B513,Hitters!$A$1:$R$401,12,FALSE)</f>
        <v>20.013333333333332</v>
      </c>
      <c r="X513" s="31">
        <f>VLOOKUP($B513,Hitters!$A$1:$R$401,13,FALSE)</f>
        <v>50.455555555555556</v>
      </c>
      <c r="Y513" s="33">
        <f>VLOOKUP($B513,Hitters!$A$1:$R$401,16,FALSE)</f>
        <v>0.39489798218915567</v>
      </c>
      <c r="Z513" s="33">
        <f>VLOOKUP($B513,Hitters!$A$1:$R$401,17,FALSE)</f>
        <v>0.70369943954814285</v>
      </c>
      <c r="AA513" s="31">
        <f>VLOOKUP($B513,Hitters!$A1:$R401,18,FALSE)</f>
        <v>0</v>
      </c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</row>
    <row r="514" spans="1:44" ht="18.600000000000001" customHeight="1">
      <c r="A514" s="25">
        <f ca="1">RANK(I514,I$2:I$651)</f>
        <v>513</v>
      </c>
      <c r="B514" s="26" t="s">
        <v>519</v>
      </c>
      <c r="C514" s="27" t="s">
        <v>101</v>
      </c>
      <c r="D514" s="27" t="s">
        <v>69</v>
      </c>
      <c r="E514" s="46" t="s">
        <v>19</v>
      </c>
      <c r="F514" s="47">
        <f ca="1">VLOOKUP(B514,'C'!A1:I54,IF(Settings!$J$13="points",4,7),FALSE)</f>
        <v>24</v>
      </c>
      <c r="G514" s="30">
        <f>(M514*Settings!$B$2)+(N514*Settings!$B$3)+(O514*Settings!$B$4)+(P514*Settings!$B$5)+(Q514*Settings!$B$6)+((T514-U514-V514-O514)*Settings!$B$9)+(U514*Settings!$B$10)+(V514*Settings!$B$11)+(W514*Settings!$B$12)+(X514*Settings!$B$13)+(AA514*Settings!$B$16)</f>
        <v>156.91777777777776</v>
      </c>
      <c r="H514" s="31">
        <f>VLOOKUP(B514,'Standard Deviations'!$A1:$D651,4,FALSE)</f>
        <v>-3.2135805027154745</v>
      </c>
      <c r="I514" s="32">
        <f ca="1">VLOOKUP(B514,'C'!A1:I54,IF(Settings!$J$13="points",6,9),FALSE)</f>
        <v>-2.4270567090207216</v>
      </c>
      <c r="J514" s="31"/>
      <c r="K514" s="31">
        <f ca="1">J514-A514</f>
        <v>-513</v>
      </c>
      <c r="L514" s="31"/>
      <c r="M514" s="31">
        <f>VLOOKUP($B514,Hitters!$A1:$R401,4,FALSE)</f>
        <v>272.36666666666667</v>
      </c>
      <c r="N514" s="31">
        <f>VLOOKUP($B514,Hitters!$A1:$R401,5,FALSE)</f>
        <v>31.075000000000003</v>
      </c>
      <c r="O514" s="31">
        <f>VLOOKUP($B514,Hitters!$A1:$R401,6,FALSE)</f>
        <v>9.4466666666666672</v>
      </c>
      <c r="P514" s="31">
        <f>VLOOKUP($B514,Hitters!$A1:$R401,7,FALSE)</f>
        <v>34.166666666666671</v>
      </c>
      <c r="Q514" s="31">
        <f>VLOOKUP($B514,Hitters!$A1:$R401,8,FALSE)</f>
        <v>3.0133333333333332</v>
      </c>
      <c r="R514" s="33">
        <f>VLOOKUP($B514,Hitters!$A$1:$R$401,14,FALSE)</f>
        <v>0.23863664178191166</v>
      </c>
      <c r="S514" s="33">
        <f>VLOOKUP($B514,Hitters!$A$1:$R$401,15,FALSE)</f>
        <v>0.2888464132497261</v>
      </c>
      <c r="T514" s="31">
        <f>VLOOKUP($B514,Hitters!$A$1:$R$401,9,FALSE)</f>
        <v>64.99666666666667</v>
      </c>
      <c r="U514" s="31">
        <f>VLOOKUP($B514,Hitters!$A$1:$R$401,10,FALSE)</f>
        <v>12.947777777777778</v>
      </c>
      <c r="V514" s="31">
        <f>VLOOKUP($B514,Hitters!$A$1:$R$401,11,FALSE)</f>
        <v>0.125</v>
      </c>
      <c r="W514" s="31">
        <f>VLOOKUP($B514,Hitters!$A$1:$R$401,12,FALSE)</f>
        <v>14.633333333333333</v>
      </c>
      <c r="X514" s="31">
        <f>VLOOKUP($B514,Hitters!$A$1:$R$401,13,FALSE)</f>
        <v>71.036666666666676</v>
      </c>
      <c r="Y514" s="33">
        <f>VLOOKUP($B514,Hitters!$A$1:$R$401,16,FALSE)</f>
        <v>0.39114347489087425</v>
      </c>
      <c r="Z514" s="33">
        <f>VLOOKUP($B514,Hitters!$A$1:$R$401,17,FALSE)</f>
        <v>0.67998988814060035</v>
      </c>
      <c r="AA514" s="31">
        <f>VLOOKUP($B514,Hitters!$A1:$R401,18,FALSE)</f>
        <v>0</v>
      </c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</row>
    <row r="515" spans="1:44" ht="18.600000000000001" customHeight="1">
      <c r="A515" s="25">
        <f ca="1">RANK(I515,I$2:I$651)</f>
        <v>514</v>
      </c>
      <c r="B515" s="26" t="s">
        <v>535</v>
      </c>
      <c r="C515" s="27" t="s">
        <v>114</v>
      </c>
      <c r="D515" s="27" t="s">
        <v>69</v>
      </c>
      <c r="E515" s="46" t="s">
        <v>19</v>
      </c>
      <c r="F515" s="47">
        <f ca="1">VLOOKUP(B515,'C'!A1:I54,IF(Settings!$J$13="points",4,7),FALSE)</f>
        <v>25</v>
      </c>
      <c r="G515" s="30">
        <f>(M515*Settings!$B$2)+(N515*Settings!$B$3)+(O515*Settings!$B$4)+(P515*Settings!$B$5)+(Q515*Settings!$B$6)+((T515-U515-V515-O515)*Settings!$B$9)+(U515*Settings!$B$10)+(V515*Settings!$B$11)+(W515*Settings!$B$12)+(X515*Settings!$B$13)+(AA515*Settings!$B$16)</f>
        <v>208.90722222222223</v>
      </c>
      <c r="H515" s="31">
        <f>VLOOKUP(B515,'Standard Deviations'!$A1:$D651,4,FALSE)</f>
        <v>-3.2315837548599369</v>
      </c>
      <c r="I515" s="32">
        <f ca="1">VLOOKUP(B515,'C'!A1:I54,IF(Settings!$J$13="points",6,9),FALSE)</f>
        <v>-2.4450656514448967</v>
      </c>
      <c r="J515" s="31"/>
      <c r="K515" s="31">
        <f ca="1">J515-A515</f>
        <v>-514</v>
      </c>
      <c r="L515" s="31"/>
      <c r="M515" s="31">
        <f>VLOOKUP($B515,Hitters!$A1:$R401,4,FALSE)</f>
        <v>299.33333333333331</v>
      </c>
      <c r="N515" s="31">
        <f>VLOOKUP($B515,Hitters!$A1:$R401,5,FALSE)</f>
        <v>39.300000000000004</v>
      </c>
      <c r="O515" s="31">
        <f>VLOOKUP($B515,Hitters!$A1:$R401,6,FALSE)</f>
        <v>12.18</v>
      </c>
      <c r="P515" s="31">
        <f>VLOOKUP($B515,Hitters!$A1:$R401,7,FALSE)</f>
        <v>39.458888888888886</v>
      </c>
      <c r="Q515" s="31">
        <f>VLOOKUP($B515,Hitters!$A1:$R401,8,FALSE)</f>
        <v>0.99777777777777776</v>
      </c>
      <c r="R515" s="33">
        <f>VLOOKUP($B515,Hitters!$A$1:$R$401,14,FALSE)</f>
        <v>0.22539346696362289</v>
      </c>
      <c r="S515" s="33">
        <f>VLOOKUP($B515,Hitters!$A$1:$R$401,15,FALSE)</f>
        <v>0.34896048757937764</v>
      </c>
      <c r="T515" s="31">
        <f>VLOOKUP($B515,Hitters!$A$1:$R$401,9,FALSE)</f>
        <v>67.467777777777783</v>
      </c>
      <c r="U515" s="31">
        <f>VLOOKUP($B515,Hitters!$A$1:$R$401,10,FALSE)</f>
        <v>10.816666666666668</v>
      </c>
      <c r="V515" s="31">
        <f>VLOOKUP($B515,Hitters!$A$1:$R$401,11,FALSE)</f>
        <v>6.6666666666666654E-3</v>
      </c>
      <c r="W515" s="31">
        <f>VLOOKUP($B515,Hitters!$A$1:$R$401,12,FALSE)</f>
        <v>52.538888888888891</v>
      </c>
      <c r="X515" s="31">
        <f>VLOOKUP($B515,Hitters!$A$1:$R$401,13,FALSE)</f>
        <v>78.447777777777773</v>
      </c>
      <c r="Y515" s="33">
        <f>VLOOKUP($B515,Hitters!$A$1:$R$401,16,FALSE)</f>
        <v>0.38364513734224204</v>
      </c>
      <c r="Z515" s="33">
        <f>VLOOKUP($B515,Hitters!$A$1:$R$401,17,FALSE)</f>
        <v>0.73260562492161974</v>
      </c>
      <c r="AA515" s="31">
        <f>VLOOKUP($B515,Hitters!$A1:$R401,18,FALSE)</f>
        <v>0</v>
      </c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</row>
    <row r="516" spans="1:44" ht="18.600000000000001" customHeight="1">
      <c r="A516" s="25">
        <f ca="1">RANK(I516,I$2:I$651)</f>
        <v>515</v>
      </c>
      <c r="B516" s="26" t="s">
        <v>510</v>
      </c>
      <c r="C516" s="27" t="s">
        <v>68</v>
      </c>
      <c r="D516" s="27" t="s">
        <v>69</v>
      </c>
      <c r="E516" s="46" t="s">
        <v>19</v>
      </c>
      <c r="F516" s="47">
        <f ca="1">VLOOKUP(B516,'C'!A1:I54,IF(Settings!$J$13="points",4,7),FALSE)</f>
        <v>26</v>
      </c>
      <c r="G516" s="30">
        <f>(M516*Settings!$B$2)+(N516*Settings!$B$3)+(O516*Settings!$B$4)+(P516*Settings!$B$5)+(Q516*Settings!$B$6)+((T516-U516-V516-O516)*Settings!$B$9)+(U516*Settings!$B$10)+(V516*Settings!$B$11)+(W516*Settings!$B$12)+(X516*Settings!$B$13)+(AA516*Settings!$B$16)</f>
        <v>178.32111111111112</v>
      </c>
      <c r="H516" s="31">
        <f>VLOOKUP(B516,'Standard Deviations'!$A1:$D651,4,FALSE)</f>
        <v>-3.2542190813720158</v>
      </c>
      <c r="I516" s="32">
        <f ca="1">VLOOKUP(B516,'C'!A1:I54,IF(Settings!$J$13="points",6,9),FALSE)</f>
        <v>-2.4676941432326709</v>
      </c>
      <c r="J516" s="31"/>
      <c r="K516" s="31">
        <f ca="1">J516-A516</f>
        <v>-515</v>
      </c>
      <c r="L516" s="31"/>
      <c r="M516" s="31">
        <f>VLOOKUP($B516,Hitters!$A1:$R401,4,FALSE)</f>
        <v>325.7</v>
      </c>
      <c r="N516" s="31">
        <f>VLOOKUP($B516,Hitters!$A1:$R401,5,FALSE)</f>
        <v>34.452222222222225</v>
      </c>
      <c r="O516" s="31">
        <f>VLOOKUP($B516,Hitters!$A1:$R401,6,FALSE)</f>
        <v>8.6588888888888889</v>
      </c>
      <c r="P516" s="31">
        <f>VLOOKUP($B516,Hitters!$A1:$R401,7,FALSE)</f>
        <v>37.270000000000003</v>
      </c>
      <c r="Q516" s="31">
        <f>VLOOKUP($B516,Hitters!$A1:$R401,8,FALSE)</f>
        <v>1.9977777777777777</v>
      </c>
      <c r="R516" s="33">
        <f>VLOOKUP($B516,Hitters!$A$1:$R$401,14,FALSE)</f>
        <v>0.23684713267151095</v>
      </c>
      <c r="S516" s="33">
        <f>VLOOKUP($B516,Hitters!$A$1:$R$401,15,FALSE)</f>
        <v>0.2826800165670752</v>
      </c>
      <c r="T516" s="31">
        <f>VLOOKUP($B516,Hitters!$A$1:$R$401,9,FALSE)</f>
        <v>77.141111111111115</v>
      </c>
      <c r="U516" s="31">
        <f>VLOOKUP($B516,Hitters!$A$1:$R$401,10,FALSE)</f>
        <v>14.437777777777777</v>
      </c>
      <c r="V516" s="31">
        <f>VLOOKUP($B516,Hitters!$A$1:$R$401,11,FALSE)</f>
        <v>1.0166666666666666</v>
      </c>
      <c r="W516" s="31">
        <f>VLOOKUP($B516,Hitters!$A$1:$R$401,12,FALSE)</f>
        <v>15.234999999999999</v>
      </c>
      <c r="X516" s="31">
        <f>VLOOKUP($B516,Hitters!$A$1:$R$401,13,FALSE)</f>
        <v>64.441111111111113</v>
      </c>
      <c r="Y516" s="33">
        <f>VLOOKUP($B516,Hitters!$A$1:$R$401,16,FALSE)</f>
        <v>0.36717497356121859</v>
      </c>
      <c r="Z516" s="33">
        <f>VLOOKUP($B516,Hitters!$A$1:$R$401,17,FALSE)</f>
        <v>0.64985499012829373</v>
      </c>
      <c r="AA516" s="31">
        <f>VLOOKUP($B516,Hitters!$A1:$R401,18,FALSE)</f>
        <v>0</v>
      </c>
      <c r="AB516" s="31"/>
      <c r="AC516" s="31"/>
      <c r="AD516" s="33"/>
      <c r="AE516" s="33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</row>
    <row r="517" spans="1:44" ht="20.100000000000001" customHeight="1">
      <c r="A517" s="25">
        <f ca="1">RANK(I517,I$2:I$651)</f>
        <v>516</v>
      </c>
      <c r="B517" s="26" t="s">
        <v>492</v>
      </c>
      <c r="C517" s="27" t="s">
        <v>84</v>
      </c>
      <c r="D517" s="27" t="s">
        <v>69</v>
      </c>
      <c r="E517" s="46" t="s">
        <v>19</v>
      </c>
      <c r="F517" s="47">
        <f ca="1">VLOOKUP(B517,'C'!A1:I54,IF(Settings!$J$13="points",4,7),FALSE)</f>
        <v>27</v>
      </c>
      <c r="G517" s="30">
        <f>(M517*Settings!$B$2)+(N517*Settings!$B$3)+(O517*Settings!$B$4)+(P517*Settings!$B$5)+(Q517*Settings!$B$6)+((T517-U517-V517-O517)*Settings!$B$9)+(U517*Settings!$B$10)+(V517*Settings!$B$11)+(W517*Settings!$B$12)+(X517*Settings!$B$13)+(AA517*Settings!$B$16)</f>
        <v>175.50333333333333</v>
      </c>
      <c r="H517" s="31">
        <f>VLOOKUP(B517,'Standard Deviations'!$A1:$D651,4,FALSE)</f>
        <v>-3.2636162381615068</v>
      </c>
      <c r="I517" s="32">
        <f ca="1">VLOOKUP(B517,'C'!A1:I54,IF(Settings!$J$13="points",6,9),FALSE)</f>
        <v>-2.4770962275335524</v>
      </c>
      <c r="J517" s="31"/>
      <c r="K517" s="31">
        <f ca="1">J517-A517</f>
        <v>-516</v>
      </c>
      <c r="L517" s="31"/>
      <c r="M517" s="31">
        <f>VLOOKUP($B517,Hitters!$A1:$R401,4,FALSE)</f>
        <v>269.88333333333338</v>
      </c>
      <c r="N517" s="31">
        <f>VLOOKUP($B517,Hitters!$A1:$R401,5,FALSE)</f>
        <v>34.099999999999994</v>
      </c>
      <c r="O517" s="31">
        <f>VLOOKUP($B517,Hitters!$A1:$R401,6,FALSE)</f>
        <v>9.5483333333333338</v>
      </c>
      <c r="P517" s="31">
        <f>VLOOKUP($B517,Hitters!$A1:$R401,7,FALSE)</f>
        <v>34.543333333333337</v>
      </c>
      <c r="Q517" s="31">
        <f>VLOOKUP($B517,Hitters!$A1:$R401,8,FALSE)</f>
        <v>2.0066666666666668</v>
      </c>
      <c r="R517" s="33">
        <f>VLOOKUP($B517,Hitters!$A$1:$R$401,14,FALSE)</f>
        <v>0.23720743531155433</v>
      </c>
      <c r="S517" s="33">
        <f>VLOOKUP($B517,Hitters!$A$1:$R$401,15,FALSE)</f>
        <v>0.31651900138494327</v>
      </c>
      <c r="T517" s="31">
        <f>VLOOKUP($B517,Hitters!$A$1:$R$401,9,FALSE)</f>
        <v>64.018333333333331</v>
      </c>
      <c r="U517" s="31">
        <f>VLOOKUP($B517,Hitters!$A$1:$R$401,10,FALSE)</f>
        <v>11.826666666666668</v>
      </c>
      <c r="V517" s="31">
        <f>VLOOKUP($B517,Hitters!$A$1:$R$401,11,FALSE)</f>
        <v>0.99888888888888883</v>
      </c>
      <c r="W517" s="31">
        <f>VLOOKUP($B517,Hitters!$A$1:$R$401,12,FALSE)</f>
        <v>27.069999999999997</v>
      </c>
      <c r="X517" s="31">
        <f>VLOOKUP($B517,Hitters!$A$1:$R$401,13,FALSE)</f>
        <v>61.422222222222217</v>
      </c>
      <c r="Y517" s="33">
        <f>VLOOKUP($B517,Hitters!$A$1:$R$401,16,FALSE)</f>
        <v>0.39456967002202592</v>
      </c>
      <c r="Z517" s="33">
        <f>VLOOKUP($B517,Hitters!$A$1:$R$401,17,FALSE)</f>
        <v>0.71108867140696919</v>
      </c>
      <c r="AA517" s="31">
        <f>VLOOKUP($B517,Hitters!$A1:$R401,18,FALSE)</f>
        <v>0</v>
      </c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</row>
    <row r="518" spans="1:44" ht="18.600000000000001" customHeight="1">
      <c r="A518" s="25">
        <f ca="1">RANK(I518,I$2:I$651)</f>
        <v>517</v>
      </c>
      <c r="B518" s="26" t="s">
        <v>554</v>
      </c>
      <c r="C518" s="27" t="s">
        <v>134</v>
      </c>
      <c r="D518" s="27" t="s">
        <v>74</v>
      </c>
      <c r="E518" s="36" t="s">
        <v>31</v>
      </c>
      <c r="F518" s="37">
        <f ca="1">VLOOKUP(B518,SP!A1:I161,IF(Settings!$J$13="points",4,7),FALSE)</f>
        <v>141</v>
      </c>
      <c r="G518" s="30">
        <f>(AC518*Settings!$F$2)+(AF518*Settings!$F$5)+(AG518*Settings!$F$6)+(AH518*Settings!$F$7)+(AI518*Settings!$F$8)+(AJ518*Settings!$F$9)+(AK518*Settings!$F$10)+(AL518*Settings!$F$11)+(AM518*Settings!$F$12)+(AN518*Settings!$F$13)+(AO518*Settings!$F$14)+(AP518*Settings!$F$15)+(AQ518*Settings!$F$16)+(AR518*Settings!$F$17)</f>
        <v>195.95798333333335</v>
      </c>
      <c r="H518" s="31">
        <f>VLOOKUP(B518,'Standard Deviations'!$A1:$D651,4,FALSE)</f>
        <v>-3.377402090455222</v>
      </c>
      <c r="I518" s="32">
        <f ca="1">IF(Settings!$J$16="no",VLOOKUP(B518,SP!A1:I161,IF(Settings!$J$13="points",6,9),FALSE),VLOOKUP(B518,'SP+RP'!$A1:$I251,IF(Settings!$J$13="points",6,9),FALSE))</f>
        <v>-2.5098176500078804</v>
      </c>
      <c r="J518" s="31"/>
      <c r="K518" s="31">
        <f ca="1">J518-A518</f>
        <v>-517</v>
      </c>
      <c r="L518" s="31"/>
      <c r="M518" s="31"/>
      <c r="N518" s="31"/>
      <c r="O518" s="31"/>
      <c r="P518" s="31"/>
      <c r="Q518" s="31"/>
      <c r="R518" s="33"/>
      <c r="S518" s="33"/>
      <c r="T518" s="31"/>
      <c r="U518" s="31"/>
      <c r="V518" s="31"/>
      <c r="W518" s="31"/>
      <c r="X518" s="31"/>
      <c r="Y518" s="33"/>
      <c r="Z518" s="33"/>
      <c r="AA518" s="31"/>
      <c r="AB518" s="31"/>
      <c r="AC518" s="31">
        <f>VLOOKUP($B518,Pitchers!$A1:$S251,4,FALSE)</f>
        <v>104.52666666666666</v>
      </c>
      <c r="AD518" s="33">
        <f>VLOOKUP($B518,Pitchers!$A1:$S251,5,FALSE)</f>
        <v>4.1870119267810448</v>
      </c>
      <c r="AE518" s="33">
        <f>VLOOKUP($B518,Pitchers!$A1:$S251,6,FALSE)</f>
        <v>1.3214969066904778</v>
      </c>
      <c r="AF518" s="31">
        <f>VLOOKUP($B518,Pitchers!$A1:$S251,7,FALSE)</f>
        <v>95.895833333333329</v>
      </c>
      <c r="AG518" s="31">
        <f>VLOOKUP($B518,Pitchers!$A1:$S251,8,FALSE)</f>
        <v>5.0075000000000003</v>
      </c>
      <c r="AH518" s="31">
        <f>VLOOKUP($B518,Pitchers!$A1:$S251,9,FALSE)</f>
        <v>0</v>
      </c>
      <c r="AI518" s="31">
        <f>VLOOKUP($B518,Pitchers!$A1:$S251,10,FALSE)</f>
        <v>48.628266666666661</v>
      </c>
      <c r="AJ518" s="31">
        <f>VLOOKUP($B518,Pitchers!$A1:$S251,11,FALSE)</f>
        <v>102.67</v>
      </c>
      <c r="AK518" s="31">
        <f>VLOOKUP($B518,Pitchers!$A1:$S251,12,FALSE)</f>
        <v>35.461666666666666</v>
      </c>
      <c r="AL518" s="31">
        <f>VLOOKUP($B518,Pitchers!$A1:$S251,13,FALSE)</f>
        <v>13</v>
      </c>
      <c r="AM518" s="31">
        <f>VLOOKUP($B518,Pitchers!$A1:$S251,14,FALSE)</f>
        <v>29.626666666666665</v>
      </c>
      <c r="AN518" s="31">
        <f>VLOOKUP($B518,Pitchers!$A1:$S251,15,FALSE)</f>
        <v>17.553333333333331</v>
      </c>
      <c r="AO518" s="31">
        <f>VLOOKUP($B518,Pitchers!$A1:$S251,16,FALSE)</f>
        <v>6.9725000000000001</v>
      </c>
      <c r="AP518" s="31">
        <f>VLOOKUP($B518,Pitchers!$A1:$S251,17,FALSE)</f>
        <v>7</v>
      </c>
      <c r="AQ518" s="31">
        <f>VLOOKUP($B518,Pitchers!$A1:$S251,18,FALSE)</f>
        <v>2</v>
      </c>
      <c r="AR518" s="31">
        <f>VLOOKUP($B518,Pitchers!$A1:$S251,19,FALSE)</f>
        <v>0</v>
      </c>
    </row>
    <row r="519" spans="1:44" ht="18.600000000000001" customHeight="1">
      <c r="A519" s="25">
        <f ca="1">RANK(I519,I$2:I$651)</f>
        <v>518</v>
      </c>
      <c r="B519" s="26" t="s">
        <v>595</v>
      </c>
      <c r="C519" s="27" t="s">
        <v>117</v>
      </c>
      <c r="D519" s="27" t="s">
        <v>69</v>
      </c>
      <c r="E519" s="42" t="s">
        <v>34</v>
      </c>
      <c r="F519" s="43">
        <f ca="1">VLOOKUP(B519,RP!A1:I91,IF(Settings!$J$13="points",4,7),FALSE)</f>
        <v>87</v>
      </c>
      <c r="G519" s="30">
        <f>(AC519*Settings!$F$2)+(AF519*Settings!$F$5)+(AG519*Settings!$F$6)+(AH519*Settings!$F$7)+(AI519*Settings!$F$8)+(AJ519*Settings!$F$9)+(AK519*Settings!$F$10)+(AL519*Settings!$F$11)+(AM519*Settings!$F$12)+(AN519*Settings!$F$13)+(AO519*Settings!$F$14)+(AP519*Settings!$F$15)+(AQ519*Settings!$F$16)+(AR519*Settings!$F$17)</f>
        <v>145.73555555555555</v>
      </c>
      <c r="H519" s="31">
        <f>VLOOKUP(B519,'Standard Deviations'!$A1:$D651,4,FALSE)</f>
        <v>-3.3822824803339611</v>
      </c>
      <c r="I519" s="32">
        <f ca="1">IF(Settings!$J$16="no",VLOOKUP(B519,RP!A1:I91,IF(Settings!$J$13="points",6,9),FALSE),VLOOKUP(B519,'SP+RP'!$A1:$I251,IF(Settings!$J$13="points",6,9),FALSE))</f>
        <v>-2.5147064437128952</v>
      </c>
      <c r="J519" s="31"/>
      <c r="K519" s="31">
        <f ca="1">J519-A519</f>
        <v>-518</v>
      </c>
      <c r="L519" s="31"/>
      <c r="M519" s="31"/>
      <c r="N519" s="31"/>
      <c r="O519" s="31"/>
      <c r="P519" s="31"/>
      <c r="Q519" s="31"/>
      <c r="R519" s="33"/>
      <c r="S519" s="33"/>
      <c r="T519" s="31"/>
      <c r="U519" s="31"/>
      <c r="V519" s="31"/>
      <c r="W519" s="31"/>
      <c r="X519" s="31"/>
      <c r="Y519" s="33"/>
      <c r="Z519" s="33"/>
      <c r="AA519" s="31"/>
      <c r="AB519" s="31"/>
      <c r="AC519" s="31">
        <f>VLOOKUP($B519,Pitchers!$A1:$S251,4,FALSE)</f>
        <v>50.341111111111111</v>
      </c>
      <c r="AD519" s="33">
        <f>VLOOKUP($B519,Pitchers!$A1:$S251,5,FALSE)</f>
        <v>3.8026574260048118</v>
      </c>
      <c r="AE519" s="33">
        <f>VLOOKUP($B519,Pitchers!$A1:$S251,6,FALSE)</f>
        <v>1.3682653894541681</v>
      </c>
      <c r="AF519" s="31">
        <f>VLOOKUP($B519,Pitchers!$A1:$S251,7,FALSE)</f>
        <v>62.308888888888895</v>
      </c>
      <c r="AG519" s="31">
        <f>VLOOKUP($B519,Pitchers!$A1:$S251,8,FALSE)</f>
        <v>3.0066666666666664</v>
      </c>
      <c r="AH519" s="31">
        <f>VLOOKUP($B519,Pitchers!$A1:$S251,9,FALSE)</f>
        <v>6.9999999999999991</v>
      </c>
      <c r="AI519" s="31">
        <f>VLOOKUP($B519,Pitchers!$A1:$S251,10,FALSE)</f>
        <v>21.27</v>
      </c>
      <c r="AJ519" s="31">
        <f>VLOOKUP($B519,Pitchers!$A1:$S251,11,FALSE)</f>
        <v>39.596666666666664</v>
      </c>
      <c r="AK519" s="31">
        <f>VLOOKUP($B519,Pitchers!$A1:$S251,12,FALSE)</f>
        <v>29.283333333333335</v>
      </c>
      <c r="AL519" s="31">
        <f>VLOOKUP($B519,Pitchers!$A1:$S251,13,FALSE)</f>
        <v>5.3</v>
      </c>
      <c r="AM519" s="31">
        <f>VLOOKUP($B519,Pitchers!$A1:$S251,14,FALSE)</f>
        <v>55.30777777777778</v>
      </c>
      <c r="AN519" s="31">
        <f>VLOOKUP($B519,Pitchers!$A1:$S251,15,FALSE)</f>
        <v>0</v>
      </c>
      <c r="AO519" s="31">
        <f>VLOOKUP($B519,Pitchers!$A1:$S251,16,FALSE)</f>
        <v>3.2677777777777774</v>
      </c>
      <c r="AP519" s="31">
        <f>VLOOKUP($B519,Pitchers!$A1:$S251,17,FALSE)</f>
        <v>0</v>
      </c>
      <c r="AQ519" s="31">
        <f>VLOOKUP($B519,Pitchers!$A1:$S251,18,FALSE)</f>
        <v>7.5</v>
      </c>
      <c r="AR519" s="31">
        <f>VLOOKUP($B519,Pitchers!$A1:$S251,19,FALSE)</f>
        <v>0</v>
      </c>
    </row>
    <row r="520" spans="1:44" ht="18.600000000000001" customHeight="1">
      <c r="A520" s="25">
        <f ca="1">RANK(I520,I$2:I$651)</f>
        <v>519</v>
      </c>
      <c r="B520" s="26" t="s">
        <v>625</v>
      </c>
      <c r="C520" s="27" t="s">
        <v>84</v>
      </c>
      <c r="D520" s="27" t="s">
        <v>69</v>
      </c>
      <c r="E520" s="42" t="s">
        <v>34</v>
      </c>
      <c r="F520" s="43">
        <f ca="1">VLOOKUP(B520,RP!A1:I91,IF(Settings!$J$13="points",4,7),FALSE)</f>
        <v>88</v>
      </c>
      <c r="G520" s="30">
        <f>(AC520*Settings!$F$2)+(AF520*Settings!$F$5)+(AG520*Settings!$F$6)+(AH520*Settings!$F$7)+(AI520*Settings!$F$8)+(AJ520*Settings!$F$9)+(AK520*Settings!$F$10)+(AL520*Settings!$F$11)+(AM520*Settings!$F$12)+(AN520*Settings!$F$13)+(AO520*Settings!$F$14)+(AP520*Settings!$F$15)+(AQ520*Settings!$F$16)+(AR520*Settings!$F$17)</f>
        <v>152.68862222222222</v>
      </c>
      <c r="H520" s="31">
        <f>VLOOKUP(B520,'Standard Deviations'!$A1:$D651,4,FALSE)</f>
        <v>-3.4110613629916591</v>
      </c>
      <c r="I520" s="32">
        <f ca="1">IF(Settings!$J$16="no",VLOOKUP(B520,RP!A1:I91,IF(Settings!$J$13="points",6,9),FALSE),VLOOKUP(B520,'SP+RP'!$A1:$I251,IF(Settings!$J$13="points",6,9),FALSE))</f>
        <v>-2.5434815170112013</v>
      </c>
      <c r="J520" s="31"/>
      <c r="K520" s="31">
        <f ca="1">J520-A520</f>
        <v>-519</v>
      </c>
      <c r="L520" s="31"/>
      <c r="M520" s="31"/>
      <c r="N520" s="31"/>
      <c r="O520" s="31"/>
      <c r="P520" s="31"/>
      <c r="Q520" s="31"/>
      <c r="R520" s="33"/>
      <c r="S520" s="33"/>
      <c r="T520" s="31"/>
      <c r="U520" s="31"/>
      <c r="V520" s="31"/>
      <c r="W520" s="31"/>
      <c r="X520" s="31"/>
      <c r="Y520" s="33"/>
      <c r="Z520" s="33"/>
      <c r="AA520" s="31"/>
      <c r="AB520" s="31"/>
      <c r="AC520" s="31">
        <f>VLOOKUP($B520,Pitchers!$A1:$S251,4,FALSE)</f>
        <v>61.30777777777778</v>
      </c>
      <c r="AD520" s="33">
        <f>VLOOKUP($B520,Pitchers!$A1:$S251,5,FALSE)</f>
        <v>4.168841365061529</v>
      </c>
      <c r="AE520" s="33">
        <f>VLOOKUP($B520,Pitchers!$A1:$S251,6,FALSE)</f>
        <v>1.2725773420084454</v>
      </c>
      <c r="AF520" s="31">
        <f>VLOOKUP($B520,Pitchers!$A1:$S251,7,FALSE)</f>
        <v>58.866666666666667</v>
      </c>
      <c r="AG520" s="31">
        <f>VLOOKUP($B520,Pitchers!$A1:$S251,8,FALSE)</f>
        <v>3.0022222222222226</v>
      </c>
      <c r="AH520" s="31">
        <f>VLOOKUP($B520,Pitchers!$A1:$S251,9,FALSE)</f>
        <v>5.6777777777777771</v>
      </c>
      <c r="AI520" s="31">
        <f>VLOOKUP($B520,Pitchers!$A1:$S251,10,FALSE)</f>
        <v>28.398044444444441</v>
      </c>
      <c r="AJ520" s="31">
        <f>VLOOKUP($B520,Pitchers!$A1:$S251,11,FALSE)</f>
        <v>55.094444444444441</v>
      </c>
      <c r="AK520" s="31">
        <f>VLOOKUP($B520,Pitchers!$A1:$S251,12,FALSE)</f>
        <v>22.924444444444447</v>
      </c>
      <c r="AL520" s="31">
        <f>VLOOKUP($B520,Pitchers!$A1:$S251,13,FALSE)</f>
        <v>7.666666666666667</v>
      </c>
      <c r="AM520" s="31">
        <f>VLOOKUP($B520,Pitchers!$A1:$S251,14,FALSE)</f>
        <v>62.542222222222222</v>
      </c>
      <c r="AN520" s="31">
        <f>VLOOKUP($B520,Pitchers!$A1:$S251,15,FALSE)</f>
        <v>0</v>
      </c>
      <c r="AO520" s="31">
        <f>VLOOKUP($B520,Pitchers!$A1:$S251,16,FALSE)</f>
        <v>3.0022222222222226</v>
      </c>
      <c r="AP520" s="31">
        <f>VLOOKUP($B520,Pitchers!$A1:$S251,17,FALSE)</f>
        <v>0</v>
      </c>
      <c r="AQ520" s="31">
        <f>VLOOKUP($B520,Pitchers!$A1:$S251,18,FALSE)</f>
        <v>18</v>
      </c>
      <c r="AR520" s="31">
        <f>VLOOKUP($B520,Pitchers!$A1:$S251,19,FALSE)</f>
        <v>2</v>
      </c>
    </row>
    <row r="521" spans="1:44" ht="18.600000000000001" customHeight="1">
      <c r="A521" s="25">
        <f ca="1">RANK(I521,I$2:I$651)</f>
        <v>520</v>
      </c>
      <c r="B521" s="26" t="s">
        <v>611</v>
      </c>
      <c r="C521" s="27" t="s">
        <v>91</v>
      </c>
      <c r="D521" s="27" t="s">
        <v>74</v>
      </c>
      <c r="E521" s="42" t="s">
        <v>34</v>
      </c>
      <c r="F521" s="43">
        <f ca="1">VLOOKUP(B521,RP!A1:I91,IF(Settings!$J$13="points",4,7),FALSE)</f>
        <v>89</v>
      </c>
      <c r="G521" s="30">
        <f>(AC521*Settings!$F$2)+(AF521*Settings!$F$5)+(AG521*Settings!$F$6)+(AH521*Settings!$F$7)+(AI521*Settings!$F$8)+(AJ521*Settings!$F$9)+(AK521*Settings!$F$10)+(AL521*Settings!$F$11)+(AM521*Settings!$F$12)+(AN521*Settings!$F$13)+(AO521*Settings!$F$14)+(AP521*Settings!$F$15)+(AQ521*Settings!$F$16)+(AR521*Settings!$F$17)</f>
        <v>160.47388888888889</v>
      </c>
      <c r="H521" s="31">
        <f>VLOOKUP(B521,'Standard Deviations'!$A1:$D651,4,FALSE)</f>
        <v>-3.4379713961094733</v>
      </c>
      <c r="I521" s="32">
        <f ca="1">IF(Settings!$J$16="no",VLOOKUP(B521,RP!A1:I91,IF(Settings!$J$13="points",6,9),FALSE),VLOOKUP(B521,'SP+RP'!$A1:$I251,IF(Settings!$J$13="points",6,9),FALSE))</f>
        <v>-2.5703928957670277</v>
      </c>
      <c r="J521" s="31"/>
      <c r="K521" s="31">
        <f ca="1">J521-A521</f>
        <v>-520</v>
      </c>
      <c r="L521" s="31"/>
      <c r="M521" s="31"/>
      <c r="N521" s="31"/>
      <c r="O521" s="31"/>
      <c r="P521" s="31"/>
      <c r="Q521" s="31"/>
      <c r="R521" s="33"/>
      <c r="S521" s="33"/>
      <c r="T521" s="31"/>
      <c r="U521" s="31"/>
      <c r="V521" s="31"/>
      <c r="W521" s="31"/>
      <c r="X521" s="31"/>
      <c r="Y521" s="33"/>
      <c r="Z521" s="33"/>
      <c r="AA521" s="31"/>
      <c r="AB521" s="31"/>
      <c r="AC521" s="31">
        <f>VLOOKUP($B521,Pitchers!$A1:$S251,4,FALSE)</f>
        <v>61.955555555555556</v>
      </c>
      <c r="AD521" s="33">
        <f>VLOOKUP($B521,Pitchers!$A1:$S251,5,FALSE)</f>
        <v>3.9073977761836449</v>
      </c>
      <c r="AE521" s="33">
        <f>VLOOKUP($B521,Pitchers!$A1:$S251,6,FALSE)</f>
        <v>1.3590746054519367</v>
      </c>
      <c r="AF521" s="31">
        <f>VLOOKUP($B521,Pitchers!$A1:$S251,7,FALSE)</f>
        <v>67.653333333333336</v>
      </c>
      <c r="AG521" s="31">
        <f>VLOOKUP($B521,Pitchers!$A1:$S251,8,FALSE)</f>
        <v>2.9933333333333336</v>
      </c>
      <c r="AH521" s="31">
        <f>VLOOKUP($B521,Pitchers!$A1:$S251,9,FALSE)</f>
        <v>6.7833333333333341</v>
      </c>
      <c r="AI521" s="31">
        <f>VLOOKUP($B521,Pitchers!$A1:$S251,10,FALSE)</f>
        <v>26.898333333333337</v>
      </c>
      <c r="AJ521" s="31">
        <f>VLOOKUP($B521,Pitchers!$A1:$S251,11,FALSE)</f>
        <v>52.642222222222223</v>
      </c>
      <c r="AK521" s="31">
        <f>VLOOKUP($B521,Pitchers!$A1:$S251,12,FALSE)</f>
        <v>31.560000000000002</v>
      </c>
      <c r="AL521" s="31">
        <f>VLOOKUP($B521,Pitchers!$A1:$S251,13,FALSE)</f>
        <v>6.0333333333333341</v>
      </c>
      <c r="AM521" s="31">
        <f>VLOOKUP($B521,Pitchers!$A1:$S251,14,FALSE)</f>
        <v>61.786666666666669</v>
      </c>
      <c r="AN521" s="31">
        <f>VLOOKUP($B521,Pitchers!$A1:$S251,15,FALSE)</f>
        <v>0</v>
      </c>
      <c r="AO521" s="31">
        <f>VLOOKUP($B521,Pitchers!$A1:$S251,16,FALSE)</f>
        <v>3.3111111111111113</v>
      </c>
      <c r="AP521" s="31">
        <f>VLOOKUP($B521,Pitchers!$A1:$S251,17,FALSE)</f>
        <v>0</v>
      </c>
      <c r="AQ521" s="31">
        <f>VLOOKUP($B521,Pitchers!$A1:$S251,18,FALSE)</f>
        <v>15.5</v>
      </c>
      <c r="AR521" s="31">
        <f>VLOOKUP($B521,Pitchers!$A1:$S251,19,FALSE)</f>
        <v>3</v>
      </c>
    </row>
    <row r="522" spans="1:44" ht="18.600000000000001" customHeight="1">
      <c r="A522" s="25">
        <f ca="1">RANK(I522,I$2:I$651)</f>
        <v>521</v>
      </c>
      <c r="B522" s="26" t="s">
        <v>437</v>
      </c>
      <c r="C522" s="27" t="s">
        <v>114</v>
      </c>
      <c r="D522" s="27" t="s">
        <v>69</v>
      </c>
      <c r="E522" s="36" t="s">
        <v>31</v>
      </c>
      <c r="F522" s="37">
        <f ca="1">VLOOKUP(B522,SP!A1:I161,IF(Settings!$J$13="points",4,7),FALSE)</f>
        <v>142</v>
      </c>
      <c r="G522" s="30">
        <f>(AC522*Settings!$F$2)+(AF522*Settings!$F$5)+(AG522*Settings!$F$6)+(AH522*Settings!$F$7)+(AI522*Settings!$F$8)+(AJ522*Settings!$F$9)+(AK522*Settings!$F$10)+(AL522*Settings!$F$11)+(AM522*Settings!$F$12)+(AN522*Settings!$F$13)+(AO522*Settings!$F$14)+(AP522*Settings!$F$15)+(AQ522*Settings!$F$16)+(AR522*Settings!$F$17)</f>
        <v>219.19817777777774</v>
      </c>
      <c r="H522" s="31">
        <f>VLOOKUP(B522,'Standard Deviations'!$A1:$D651,4,FALSE)</f>
        <v>-3.4431361276699457</v>
      </c>
      <c r="I522" s="32">
        <f ca="1">IF(Settings!$J$16="no",VLOOKUP(B522,SP!A1:I161,IF(Settings!$J$13="points",6,9),FALSE),VLOOKUP(B522,'SP+RP'!$A1:$I251,IF(Settings!$J$13="points",6,9),FALSE))</f>
        <v>-2.5755534618835028</v>
      </c>
      <c r="J522" s="31"/>
      <c r="K522" s="31">
        <f ca="1">J522-A522</f>
        <v>-521</v>
      </c>
      <c r="L522" s="31"/>
      <c r="M522" s="31"/>
      <c r="N522" s="31"/>
      <c r="O522" s="31"/>
      <c r="P522" s="31"/>
      <c r="Q522" s="31"/>
      <c r="R522" s="33"/>
      <c r="S522" s="33"/>
      <c r="T522" s="31"/>
      <c r="U522" s="31"/>
      <c r="V522" s="31"/>
      <c r="W522" s="31"/>
      <c r="X522" s="31"/>
      <c r="Y522" s="33"/>
      <c r="Z522" s="33"/>
      <c r="AA522" s="31"/>
      <c r="AB522" s="31"/>
      <c r="AC522" s="31">
        <f>VLOOKUP($B522,Pitchers!$A1:$S251,4,FALSE)</f>
        <v>111.71444444444444</v>
      </c>
      <c r="AD522" s="33">
        <f>VLOOKUP($B522,Pitchers!$A1:$S251,5,FALSE)</f>
        <v>4.5364447052504895</v>
      </c>
      <c r="AE522" s="33">
        <f>VLOOKUP($B522,Pitchers!$A1:$S251,6,FALSE)</f>
        <v>1.2820882607441593</v>
      </c>
      <c r="AF522" s="31">
        <f>VLOOKUP($B522,Pitchers!$A1:$S251,7,FALSE)</f>
        <v>95.742222222222225</v>
      </c>
      <c r="AG522" s="31">
        <f>VLOOKUP($B522,Pitchers!$A1:$S251,8,FALSE)</f>
        <v>6.03</v>
      </c>
      <c r="AH522" s="31">
        <f>VLOOKUP($B522,Pitchers!$A1:$S251,9,FALSE)</f>
        <v>0</v>
      </c>
      <c r="AI522" s="31">
        <f>VLOOKUP($B522,Pitchers!$A1:$S251,10,FALSE)</f>
        <v>56.309599999999996</v>
      </c>
      <c r="AJ522" s="31">
        <f>VLOOKUP($B522,Pitchers!$A1:$S251,11,FALSE)</f>
        <v>107.74777777777778</v>
      </c>
      <c r="AK522" s="31">
        <f>VLOOKUP($B522,Pitchers!$A1:$S251,12,FALSE)</f>
        <v>35.479999999999997</v>
      </c>
      <c r="AL522" s="31">
        <f>VLOOKUP($B522,Pitchers!$A1:$S251,13,FALSE)</f>
        <v>18.900000000000002</v>
      </c>
      <c r="AM522" s="31">
        <f>VLOOKUP($B522,Pitchers!$A1:$S251,14,FALSE)</f>
        <v>21.744444444444444</v>
      </c>
      <c r="AN522" s="31">
        <f>VLOOKUP($B522,Pitchers!$A1:$S251,15,FALSE)</f>
        <v>21.400000000000002</v>
      </c>
      <c r="AO522" s="31">
        <f>VLOOKUP($B522,Pitchers!$A1:$S251,16,FALSE)</f>
        <v>7.2977777777777781</v>
      </c>
      <c r="AP522" s="31">
        <f>VLOOKUP($B522,Pitchers!$A1:$S251,17,FALSE)</f>
        <v>10</v>
      </c>
      <c r="AQ522" s="31">
        <f>VLOOKUP($B522,Pitchers!$A1:$S251,18,FALSE)</f>
        <v>0</v>
      </c>
      <c r="AR522" s="31">
        <f>VLOOKUP($B522,Pitchers!$A1:$S251,19,FALSE)</f>
        <v>0</v>
      </c>
    </row>
    <row r="523" spans="1:44" ht="20.100000000000001" customHeight="1">
      <c r="A523" s="25">
        <f ca="1">RANK(I523,I$2:I$651)</f>
        <v>522</v>
      </c>
      <c r="B523" s="26" t="s">
        <v>630</v>
      </c>
      <c r="C523" s="27" t="s">
        <v>258</v>
      </c>
      <c r="D523" s="27" t="s">
        <v>69</v>
      </c>
      <c r="E523" s="36" t="s">
        <v>31</v>
      </c>
      <c r="F523" s="37">
        <f ca="1">VLOOKUP(B523,SP!A1:I161,IF(Settings!$J$13="points",4,7),FALSE)</f>
        <v>143</v>
      </c>
      <c r="G523" s="30">
        <f>(AC523*Settings!$F$2)+(AF523*Settings!$F$5)+(AG523*Settings!$F$6)+(AH523*Settings!$F$7)+(AI523*Settings!$F$8)+(AJ523*Settings!$F$9)+(AK523*Settings!$F$10)+(AL523*Settings!$F$11)+(AM523*Settings!$F$12)+(AN523*Settings!$F$13)+(AO523*Settings!$F$14)+(AP523*Settings!$F$15)+(AQ523*Settings!$F$16)+(AR523*Settings!$F$17)</f>
        <v>237.01962222222227</v>
      </c>
      <c r="H523" s="31">
        <f>VLOOKUP(B523,'Standard Deviations'!$A1:$D651,4,FALSE)</f>
        <v>-3.4471505396546158</v>
      </c>
      <c r="I523" s="32">
        <f ca="1">IF(Settings!$J$16="no",VLOOKUP(B523,SP!A1:I161,IF(Settings!$J$13="points",6,9),FALSE),VLOOKUP(B523,'SP+RP'!$A1:$I251,IF(Settings!$J$13="points",6,9),FALSE))</f>
        <v>-2.5795744820663491</v>
      </c>
      <c r="J523" s="31"/>
      <c r="K523" s="31">
        <f ca="1">J523-A523</f>
        <v>-522</v>
      </c>
      <c r="L523" s="31"/>
      <c r="M523" s="31"/>
      <c r="N523" s="31"/>
      <c r="O523" s="31"/>
      <c r="P523" s="31"/>
      <c r="Q523" s="31"/>
      <c r="R523" s="33"/>
      <c r="S523" s="33"/>
      <c r="T523" s="31"/>
      <c r="U523" s="31"/>
      <c r="V523" s="31"/>
      <c r="W523" s="31"/>
      <c r="X523" s="31"/>
      <c r="Y523" s="33"/>
      <c r="Z523" s="33"/>
      <c r="AA523" s="31"/>
      <c r="AB523" s="31"/>
      <c r="AC523" s="31">
        <f>VLOOKUP($B523,Pitchers!$A1:$S251,4,FALSE)</f>
        <v>130.07111111111112</v>
      </c>
      <c r="AD523" s="33">
        <f>VLOOKUP($B523,Pitchers!$A1:$S251,5,FALSE)</f>
        <v>4.336461764504886</v>
      </c>
      <c r="AE523" s="33">
        <f>VLOOKUP($B523,Pitchers!$A1:$S251,6,FALSE)</f>
        <v>1.3706775780769493</v>
      </c>
      <c r="AF523" s="31">
        <f>VLOOKUP($B523,Pitchers!$A1:$S251,7,FALSE)</f>
        <v>106.0188888888889</v>
      </c>
      <c r="AG523" s="31">
        <f>VLOOKUP($B523,Pitchers!$A1:$S251,8,FALSE)</f>
        <v>7.0522222222222224</v>
      </c>
      <c r="AH523" s="31">
        <f>VLOOKUP($B523,Pitchers!$A1:$S251,9,FALSE)</f>
        <v>1.1111111111111112E-2</v>
      </c>
      <c r="AI523" s="31">
        <f>VLOOKUP($B523,Pitchers!$A1:$S251,10,FALSE)</f>
        <v>62.672044444444445</v>
      </c>
      <c r="AJ523" s="31">
        <f>VLOOKUP($B523,Pitchers!$A1:$S251,11,FALSE)</f>
        <v>124.14666666666666</v>
      </c>
      <c r="AK523" s="31">
        <f>VLOOKUP($B523,Pitchers!$A1:$S251,12,FALSE)</f>
        <v>54.138888888888886</v>
      </c>
      <c r="AL523" s="31">
        <f>VLOOKUP($B523,Pitchers!$A1:$S251,13,FALSE)</f>
        <v>15.066666666666668</v>
      </c>
      <c r="AM523" s="31">
        <f>VLOOKUP($B523,Pitchers!$A1:$S251,14,FALSE)</f>
        <v>29.436666666666667</v>
      </c>
      <c r="AN523" s="31">
        <f>VLOOKUP($B523,Pitchers!$A1:$S251,15,FALSE)</f>
        <v>22.525555555555556</v>
      </c>
      <c r="AO523" s="31">
        <f>VLOOKUP($B523,Pitchers!$A1:$S251,16,FALSE)</f>
        <v>8.9377777777777769</v>
      </c>
      <c r="AP523" s="31">
        <f>VLOOKUP($B523,Pitchers!$A1:$S251,17,FALSE)</f>
        <v>10</v>
      </c>
      <c r="AQ523" s="31">
        <f>VLOOKUP($B523,Pitchers!$A1:$S251,18,FALSE)</f>
        <v>2.5</v>
      </c>
      <c r="AR523" s="31">
        <f>VLOOKUP($B523,Pitchers!$A1:$S251,19,FALSE)</f>
        <v>0</v>
      </c>
    </row>
    <row r="524" spans="1:44" ht="18.600000000000001" customHeight="1">
      <c r="A524" s="25">
        <f ca="1">RANK(I524,I$2:I$651)</f>
        <v>523</v>
      </c>
      <c r="B524" s="26" t="s">
        <v>609</v>
      </c>
      <c r="C524" s="27" t="s">
        <v>140</v>
      </c>
      <c r="D524" s="27" t="s">
        <v>69</v>
      </c>
      <c r="E524" s="36" t="s">
        <v>31</v>
      </c>
      <c r="F524" s="37">
        <f ca="1">VLOOKUP(B524,SP!A1:I161,IF(Settings!$J$13="points",4,7),FALSE)</f>
        <v>144</v>
      </c>
      <c r="G524" s="30">
        <f>(AC524*Settings!$F$2)+(AF524*Settings!$F$5)+(AG524*Settings!$F$6)+(AH524*Settings!$F$7)+(AI524*Settings!$F$8)+(AJ524*Settings!$F$9)+(AK524*Settings!$F$10)+(AL524*Settings!$F$11)+(AM524*Settings!$F$12)+(AN524*Settings!$F$13)+(AO524*Settings!$F$14)+(AP524*Settings!$F$15)+(AQ524*Settings!$F$16)+(AR524*Settings!$F$17)</f>
        <v>191.47696666666664</v>
      </c>
      <c r="H524" s="31">
        <f>VLOOKUP(B524,'Standard Deviations'!$A1:$D651,4,FALSE)</f>
        <v>-3.4508684293160057</v>
      </c>
      <c r="I524" s="32">
        <f ca="1">IF(Settings!$J$16="no",VLOOKUP(B524,SP!A1:I161,IF(Settings!$J$13="points",6,9),FALSE),VLOOKUP(B524,'SP+RP'!$A1:$I251,IF(Settings!$J$13="points",6,9),FALSE))</f>
        <v>-2.583291232988759</v>
      </c>
      <c r="J524" s="31"/>
      <c r="K524" s="31">
        <f ca="1">J524-A524</f>
        <v>-523</v>
      </c>
      <c r="L524" s="31"/>
      <c r="M524" s="31"/>
      <c r="N524" s="31"/>
      <c r="O524" s="31"/>
      <c r="P524" s="31"/>
      <c r="Q524" s="31"/>
      <c r="R524" s="33"/>
      <c r="S524" s="33"/>
      <c r="T524" s="31"/>
      <c r="U524" s="31"/>
      <c r="V524" s="31"/>
      <c r="W524" s="31"/>
      <c r="X524" s="31"/>
      <c r="Y524" s="33"/>
      <c r="Z524" s="33"/>
      <c r="AA524" s="31"/>
      <c r="AB524" s="31"/>
      <c r="AC524" s="31">
        <f>VLOOKUP($B524,Pitchers!$A1:$S251,4,FALSE)</f>
        <v>100.83499999999999</v>
      </c>
      <c r="AD524" s="33">
        <f>VLOOKUP($B524,Pitchers!$A1:$S251,5,FALSE)</f>
        <v>4.159912728715228</v>
      </c>
      <c r="AE524" s="33">
        <f>VLOOKUP($B524,Pitchers!$A1:$S251,6,FALSE)</f>
        <v>1.331432538305152</v>
      </c>
      <c r="AF524" s="31">
        <f>VLOOKUP($B524,Pitchers!$A1:$S251,7,FALSE)</f>
        <v>94.388333333333321</v>
      </c>
      <c r="AG524" s="31">
        <f>VLOOKUP($B524,Pitchers!$A1:$S251,8,FALSE)</f>
        <v>5.0283333333333333</v>
      </c>
      <c r="AH524" s="31">
        <f>VLOOKUP($B524,Pitchers!$A1:$S251,9,FALSE)</f>
        <v>0</v>
      </c>
      <c r="AI524" s="31">
        <f>VLOOKUP($B524,Pitchers!$A1:$S251,10,FALSE)</f>
        <v>46.607199999999999</v>
      </c>
      <c r="AJ524" s="31">
        <f>VLOOKUP($B524,Pitchers!$A1:$S251,11,FALSE)</f>
        <v>92.73</v>
      </c>
      <c r="AK524" s="31">
        <f>VLOOKUP($B524,Pitchers!$A1:$S251,12,FALSE)</f>
        <v>41.524999999999999</v>
      </c>
      <c r="AL524" s="31">
        <f>VLOOKUP($B524,Pitchers!$A1:$S251,13,FALSE)</f>
        <v>12.1</v>
      </c>
      <c r="AM524" s="31">
        <f>VLOOKUP($B524,Pitchers!$A1:$S251,14,FALSE)</f>
        <v>26.584999999999997</v>
      </c>
      <c r="AN524" s="31">
        <f>VLOOKUP($B524,Pitchers!$A1:$S251,15,FALSE)</f>
        <v>18.118333333333336</v>
      </c>
      <c r="AO524" s="31">
        <f>VLOOKUP($B524,Pitchers!$A1:$S251,16,FALSE)</f>
        <v>7.3116666666666665</v>
      </c>
      <c r="AP524" s="31">
        <f>VLOOKUP($B524,Pitchers!$A1:$S251,17,FALSE)</f>
        <v>8</v>
      </c>
      <c r="AQ524" s="31">
        <f>VLOOKUP($B524,Pitchers!$A1:$S251,18,FALSE)</f>
        <v>0</v>
      </c>
      <c r="AR524" s="31">
        <f>VLOOKUP($B524,Pitchers!$A1:$S251,19,FALSE)</f>
        <v>0</v>
      </c>
    </row>
    <row r="525" spans="1:44" ht="18.600000000000001" customHeight="1">
      <c r="A525" s="25">
        <f ca="1">RANK(I525,I$2:I$651)</f>
        <v>524</v>
      </c>
      <c r="B525" s="26" t="s">
        <v>676</v>
      </c>
      <c r="C525" s="27" t="s">
        <v>156</v>
      </c>
      <c r="D525" s="27" t="s">
        <v>69</v>
      </c>
      <c r="E525" s="38" t="s">
        <v>27</v>
      </c>
      <c r="F525" s="39">
        <f ca="1">VLOOKUP(B525,SS!A1:I45,IF(Settings!$J$13="points",4,7),FALSE)</f>
        <v>35</v>
      </c>
      <c r="G525" s="30">
        <f>(M525*Settings!$B$2)+(N525*Settings!$B$3)+(O525*Settings!$B$4)+(P525*Settings!$B$5)+(Q525*Settings!$B$6)+((T525-U525-V525-O525)*Settings!$B$9)+(U525*Settings!$B$10)+(V525*Settings!$B$11)+(W525*Settings!$B$12)+(X525*Settings!$B$13)+(AA525*Settings!$B$16)</f>
        <v>147.20833333333334</v>
      </c>
      <c r="H525" s="31">
        <f>VLOOKUP(B525,'Standard Deviations'!$A1:$D651,4,FALSE)</f>
        <v>-2.5784599040156846</v>
      </c>
      <c r="I525" s="32">
        <f ca="1">IF(Settings!$J$16="no",VLOOKUP(B525,SS!A1:I45,IF(Settings!$J$13="points",6,9),FALSE),VLOOKUP(B525,'2B+SS'!$A1:$I94,IF(Settings!$J$13="points",6,9),FALSE))</f>
        <v>-2.5845003584733313</v>
      </c>
      <c r="J525" s="31"/>
      <c r="K525" s="31">
        <f ca="1">J525-A525</f>
        <v>-524</v>
      </c>
      <c r="L525" s="31"/>
      <c r="M525" s="31">
        <f>VLOOKUP($B525,Hitters!$A1:$R401,4,FALSE)</f>
        <v>206.50833333333333</v>
      </c>
      <c r="N525" s="31">
        <f>VLOOKUP($B525,Hitters!$A1:$R401,5,FALSE)</f>
        <v>28.433333333333334</v>
      </c>
      <c r="O525" s="31">
        <f>VLOOKUP($B525,Hitters!$A1:$R401,6,FALSE)</f>
        <v>6.5425000000000004</v>
      </c>
      <c r="P525" s="31">
        <f>VLOOKUP($B525,Hitters!$A1:$R401,7,FALSE)</f>
        <v>25.322500000000002</v>
      </c>
      <c r="Q525" s="31">
        <f>VLOOKUP($B525,Hitters!$A1:$R401,8,FALSE)</f>
        <v>6.8649999999999993</v>
      </c>
      <c r="R525" s="33">
        <f>VLOOKUP($B525,Hitters!$A$1:$R$401,14,FALSE)</f>
        <v>0.25733424801259031</v>
      </c>
      <c r="S525" s="33">
        <f>VLOOKUP($B525,Hitters!$A$1:$R$401,15,FALSE)</f>
        <v>0.31928940308584203</v>
      </c>
      <c r="T525" s="31">
        <f>VLOOKUP($B525,Hitters!$A$1:$R$401,9,FALSE)</f>
        <v>53.141666666666673</v>
      </c>
      <c r="U525" s="31">
        <f>VLOOKUP($B525,Hitters!$A$1:$R$401,10,FALSE)</f>
        <v>12.895000000000001</v>
      </c>
      <c r="V525" s="31">
        <f>VLOOKUP($B525,Hitters!$A$1:$R$401,11,FALSE)</f>
        <v>0.9966666666666667</v>
      </c>
      <c r="W525" s="31">
        <f>VLOOKUP($B525,Hitters!$A$1:$R$401,12,FALSE)</f>
        <v>15.57</v>
      </c>
      <c r="X525" s="31">
        <f>VLOOKUP($B525,Hitters!$A$1:$R$401,13,FALSE)</f>
        <v>47.01</v>
      </c>
      <c r="Y525" s="33">
        <f>VLOOKUP($B525,Hitters!$A$1:$R$401,16,FALSE)</f>
        <v>0.42447439570638795</v>
      </c>
      <c r="Z525" s="33">
        <f>VLOOKUP($B525,Hitters!$A$1:$R$401,17,FALSE)</f>
        <v>0.74376379879222998</v>
      </c>
      <c r="AA525" s="31">
        <f>VLOOKUP($B525,Hitters!$A1:$R401,18,FALSE)</f>
        <v>0</v>
      </c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</row>
    <row r="526" spans="1:44" ht="20.100000000000001" customHeight="1">
      <c r="A526" s="25">
        <f ca="1">RANK(I526,I$2:I$651)</f>
        <v>525</v>
      </c>
      <c r="B526" s="26" t="s">
        <v>585</v>
      </c>
      <c r="C526" s="27" t="s">
        <v>71</v>
      </c>
      <c r="D526" s="27" t="s">
        <v>69</v>
      </c>
      <c r="E526" s="36" t="s">
        <v>31</v>
      </c>
      <c r="F526" s="37">
        <f ca="1">VLOOKUP(B526,SP!A1:I161,IF(Settings!$J$13="points",4,7),FALSE)</f>
        <v>145</v>
      </c>
      <c r="G526" s="30">
        <f>(AC526*Settings!$F$2)+(AF526*Settings!$F$5)+(AG526*Settings!$F$6)+(AH526*Settings!$F$7)+(AI526*Settings!$F$8)+(AJ526*Settings!$F$9)+(AK526*Settings!$F$10)+(AL526*Settings!$F$11)+(AM526*Settings!$F$12)+(AN526*Settings!$F$13)+(AO526*Settings!$F$14)+(AP526*Settings!$F$15)+(AQ526*Settings!$F$16)+(AR526*Settings!$F$17)</f>
        <v>169.96971111111117</v>
      </c>
      <c r="H526" s="31">
        <f>VLOOKUP(B526,'Standard Deviations'!$A1:$D651,4,FALSE)</f>
        <v>-3.4754515437745797</v>
      </c>
      <c r="I526" s="32">
        <f ca="1">IF(Settings!$J$16="no",VLOOKUP(B526,SP!A1:I161,IF(Settings!$J$13="points",6,9),FALSE),VLOOKUP(B526,'SP+RP'!$A1:$I251,IF(Settings!$J$13="points",6,9),FALSE))</f>
        <v>-2.6078673588193246</v>
      </c>
      <c r="J526" s="31"/>
      <c r="K526" s="31">
        <f ca="1">J526-A526</f>
        <v>-525</v>
      </c>
      <c r="L526" s="31"/>
      <c r="M526" s="31"/>
      <c r="N526" s="31"/>
      <c r="O526" s="31"/>
      <c r="P526" s="31"/>
      <c r="Q526" s="31"/>
      <c r="R526" s="33"/>
      <c r="S526" s="33"/>
      <c r="T526" s="31"/>
      <c r="U526" s="31"/>
      <c r="V526" s="31"/>
      <c r="W526" s="31"/>
      <c r="X526" s="31"/>
      <c r="Y526" s="33"/>
      <c r="Z526" s="33"/>
      <c r="AA526" s="31"/>
      <c r="AB526" s="31"/>
      <c r="AC526" s="31">
        <f>VLOOKUP($B526,Pitchers!$A1:$S251,4,FALSE)</f>
        <v>91.683333333333337</v>
      </c>
      <c r="AD526" s="33">
        <f>VLOOKUP($B526,Pitchers!$A1:$S251,5,FALSE)</f>
        <v>4.1376942374113792</v>
      </c>
      <c r="AE526" s="33">
        <f>VLOOKUP($B526,Pitchers!$A1:$S251,6,FALSE)</f>
        <v>1.2987699206204932</v>
      </c>
      <c r="AF526" s="31">
        <f>VLOOKUP($B526,Pitchers!$A1:$S251,7,FALSE)</f>
        <v>68.721111111111114</v>
      </c>
      <c r="AG526" s="31">
        <f>VLOOKUP($B526,Pitchers!$A1:$S251,8,FALSE)</f>
        <v>5.4011111111111108</v>
      </c>
      <c r="AH526" s="31">
        <f>VLOOKUP($B526,Pitchers!$A1:$S251,9,FALSE)</f>
        <v>1.6666666666666666E-2</v>
      </c>
      <c r="AI526" s="31">
        <f>VLOOKUP($B526,Pitchers!$A1:$S251,10,FALSE)</f>
        <v>42.150844444444445</v>
      </c>
      <c r="AJ526" s="31">
        <f>VLOOKUP($B526,Pitchers!$A1:$S251,11,FALSE)</f>
        <v>91.722222222222229</v>
      </c>
      <c r="AK526" s="31">
        <f>VLOOKUP($B526,Pitchers!$A1:$S251,12,FALSE)</f>
        <v>27.353333333333335</v>
      </c>
      <c r="AL526" s="31">
        <f>VLOOKUP($B526,Pitchers!$A1:$S251,13,FALSE)</f>
        <v>12.366666666666667</v>
      </c>
      <c r="AM526" s="31">
        <f>VLOOKUP($B526,Pitchers!$A1:$S251,14,FALSE)</f>
        <v>45.199999999999996</v>
      </c>
      <c r="AN526" s="31">
        <f>VLOOKUP($B526,Pitchers!$A1:$S251,15,FALSE)</f>
        <v>9.1411111111111101</v>
      </c>
      <c r="AO526" s="31">
        <f>VLOOKUP($B526,Pitchers!$A1:$S251,16,FALSE)</f>
        <v>5.0277777777777777</v>
      </c>
      <c r="AP526" s="31">
        <f>VLOOKUP($B526,Pitchers!$A1:$S251,17,FALSE)</f>
        <v>3</v>
      </c>
      <c r="AQ526" s="31">
        <f>VLOOKUP($B526,Pitchers!$A1:$S251,18,FALSE)</f>
        <v>1</v>
      </c>
      <c r="AR526" s="31">
        <f>VLOOKUP($B526,Pitchers!$A1:$S251,19,FALSE)</f>
        <v>0</v>
      </c>
    </row>
    <row r="527" spans="1:44" ht="18.600000000000001" customHeight="1">
      <c r="A527" s="25">
        <f ca="1">RANK(I527,I$2:I$651)</f>
        <v>526</v>
      </c>
      <c r="B527" s="26" t="s">
        <v>566</v>
      </c>
      <c r="C527" s="27" t="s">
        <v>68</v>
      </c>
      <c r="D527" s="27" t="s">
        <v>69</v>
      </c>
      <c r="E527" s="28" t="s">
        <v>23</v>
      </c>
      <c r="F527" s="29">
        <f ca="1">VLOOKUP(B527,OF!A1:I139,IF(Settings!$J$13="points",4,7),FALSE)</f>
        <v>111</v>
      </c>
      <c r="G527" s="30">
        <f>(M527*Settings!$B$2)+(N527*Settings!$B$3)+(O527*Settings!$B$4)+(P527*Settings!$B$5)+(Q527*Settings!$B$6)+((T527-U527-V527-O527)*Settings!$B$9)+(U527*Settings!$B$10)+(V527*Settings!$B$11)+(W527*Settings!$B$12)+(X527*Settings!$B$13)+(AA527*Settings!$B$16)</f>
        <v>217.11166666666662</v>
      </c>
      <c r="H527" s="31">
        <f>VLOOKUP(B527,'Standard Deviations'!$A1:$D651,4,FALSE)</f>
        <v>-2.7723922973095205</v>
      </c>
      <c r="I527" s="32">
        <f ca="1">VLOOKUP(B527,OF!A1:I139,IF(Settings!$J$13="points",6,9),FALSE)</f>
        <v>-2.6154658570669476</v>
      </c>
      <c r="J527" s="31"/>
      <c r="K527" s="31">
        <f ca="1">J527-A527</f>
        <v>-526</v>
      </c>
      <c r="L527" s="31"/>
      <c r="M527" s="31">
        <f>VLOOKUP($B527,Hitters!$A1:$R401,4,FALSE)</f>
        <v>327.83333333333331</v>
      </c>
      <c r="N527" s="31">
        <f>VLOOKUP($B527,Hitters!$A1:$R401,5,FALSE)</f>
        <v>43.773333333333333</v>
      </c>
      <c r="O527" s="31">
        <f>VLOOKUP($B527,Hitters!$A1:$R401,6,FALSE)</f>
        <v>9.7911111111111122</v>
      </c>
      <c r="P527" s="31">
        <f>VLOOKUP($B527,Hitters!$A1:$R401,7,FALSE)</f>
        <v>37.044999999999995</v>
      </c>
      <c r="Q527" s="31">
        <f>VLOOKUP($B527,Hitters!$A1:$R401,8,FALSE)</f>
        <v>7.4811111111111117</v>
      </c>
      <c r="R527" s="33">
        <f>VLOOKUP($B527,Hitters!$A$1:$R$401,14,FALSE)</f>
        <v>0.22043043551940353</v>
      </c>
      <c r="S527" s="33">
        <f>VLOOKUP($B527,Hitters!$A$1:$R$401,15,FALSE)</f>
        <v>0.32998914380937983</v>
      </c>
      <c r="T527" s="31">
        <f>VLOOKUP($B527,Hitters!$A$1:$R$401,9,FALSE)</f>
        <v>72.26444444444445</v>
      </c>
      <c r="U527" s="31">
        <f>VLOOKUP($B527,Hitters!$A$1:$R$401,10,FALSE)</f>
        <v>12.672222222222222</v>
      </c>
      <c r="V527" s="31">
        <f>VLOOKUP($B527,Hitters!$A$1:$R$401,11,FALSE)</f>
        <v>1.7277777777777779</v>
      </c>
      <c r="W527" s="31">
        <f>VLOOKUP($B527,Hitters!$A$1:$R$401,12,FALSE)</f>
        <v>48.640000000000008</v>
      </c>
      <c r="X527" s="31">
        <f>VLOOKUP($B527,Hitters!$A$1:$R$401,13,FALSE)</f>
        <v>90.148888888888891</v>
      </c>
      <c r="Y527" s="33">
        <f>VLOOKUP($B527,Hitters!$A$1:$R$401,16,FALSE)</f>
        <v>0.35922386036265042</v>
      </c>
      <c r="Z527" s="33">
        <f>VLOOKUP($B527,Hitters!$A$1:$R$401,17,FALSE)</f>
        <v>0.68921300417203024</v>
      </c>
      <c r="AA527" s="31">
        <f>VLOOKUP($B527,Hitters!$A1:$R401,18,FALSE)</f>
        <v>0</v>
      </c>
      <c r="AB527" s="31"/>
      <c r="AC527" s="31"/>
      <c r="AD527" s="33"/>
      <c r="AE527" s="33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</row>
    <row r="528" spans="1:44" ht="18.600000000000001" customHeight="1">
      <c r="A528" s="25">
        <f ca="1">RANK(I528,I$2:I$651)</f>
        <v>527</v>
      </c>
      <c r="B528" s="26" t="s">
        <v>537</v>
      </c>
      <c r="C528" s="27" t="s">
        <v>86</v>
      </c>
      <c r="D528" s="27" t="s">
        <v>69</v>
      </c>
      <c r="E528" s="36" t="s">
        <v>31</v>
      </c>
      <c r="F528" s="37">
        <f ca="1">VLOOKUP(B528,SP!A1:I161,IF(Settings!$J$13="points",4,7),FALSE)</f>
        <v>146</v>
      </c>
      <c r="G528" s="30">
        <f>(AC528*Settings!$F$2)+(AF528*Settings!$F$5)+(AG528*Settings!$F$6)+(AH528*Settings!$F$7)+(AI528*Settings!$F$8)+(AJ528*Settings!$F$9)+(AK528*Settings!$F$10)+(AL528*Settings!$F$11)+(AM528*Settings!$F$12)+(AN528*Settings!$F$13)+(AO528*Settings!$F$14)+(AP528*Settings!$F$15)+(AQ528*Settings!$F$16)+(AR528*Settings!$F$17)</f>
        <v>77.732916666666682</v>
      </c>
      <c r="H528" s="31">
        <f>VLOOKUP(B528,'Standard Deviations'!$A1:$D651,4,FALSE)</f>
        <v>-3.4907946545726642</v>
      </c>
      <c r="I528" s="32">
        <f ca="1">IF(Settings!$J$16="no",VLOOKUP(B528,SP!A1:I161,IF(Settings!$J$13="points",6,9),FALSE),VLOOKUP(B528,'SP+RP'!$A1:$I251,IF(Settings!$J$13="points",6,9),FALSE))</f>
        <v>-2.6232112495958644</v>
      </c>
      <c r="J528" s="31"/>
      <c r="K528" s="31">
        <f ca="1">J528-A528</f>
        <v>-527</v>
      </c>
      <c r="L528" s="31"/>
      <c r="M528" s="31"/>
      <c r="N528" s="31"/>
      <c r="O528" s="31"/>
      <c r="P528" s="31"/>
      <c r="Q528" s="31"/>
      <c r="R528" s="33"/>
      <c r="S528" s="33"/>
      <c r="T528" s="31"/>
      <c r="U528" s="31"/>
      <c r="V528" s="31"/>
      <c r="W528" s="31"/>
      <c r="X528" s="31"/>
      <c r="Y528" s="33"/>
      <c r="Z528" s="33"/>
      <c r="AA528" s="31"/>
      <c r="AB528" s="31"/>
      <c r="AC528" s="31">
        <f>VLOOKUP($B528,Pitchers!$A1:$S251,4,FALSE)</f>
        <v>38.73833333333333</v>
      </c>
      <c r="AD528" s="33">
        <f>VLOOKUP($B528,Pitchers!$A1:$S251,5,FALSE)</f>
        <v>3.9158886546487115</v>
      </c>
      <c r="AE528" s="33">
        <f>VLOOKUP($B528,Pitchers!$A1:$S251,6,FALSE)</f>
        <v>1.1932194639246227</v>
      </c>
      <c r="AF528" s="31">
        <f>VLOOKUP($B528,Pitchers!$A1:$S251,7,FALSE)</f>
        <v>39.584166666666668</v>
      </c>
      <c r="AG528" s="31">
        <f>VLOOKUP($B528,Pitchers!$A1:$S251,8,FALSE)</f>
        <v>1.7541666666666664</v>
      </c>
      <c r="AH528" s="31">
        <f>VLOOKUP($B528,Pitchers!$A1:$S251,9,FALSE)</f>
        <v>0</v>
      </c>
      <c r="AI528" s="31">
        <f>VLOOKUP($B528,Pitchers!$A1:$S251,10,FALSE)</f>
        <v>16.855</v>
      </c>
      <c r="AJ528" s="31">
        <f>VLOOKUP($B528,Pitchers!$A1:$S251,11,FALSE)</f>
        <v>33.663333333333334</v>
      </c>
      <c r="AK528" s="31">
        <f>VLOOKUP($B528,Pitchers!$A1:$S251,12,FALSE)</f>
        <v>12.56</v>
      </c>
      <c r="AL528" s="31">
        <f>VLOOKUP($B528,Pitchers!$A1:$S251,13,FALSE)</f>
        <v>4.666666666666667</v>
      </c>
      <c r="AM528" s="31">
        <f>VLOOKUP($B528,Pitchers!$A1:$S251,14,FALSE)</f>
        <v>26.334166666666672</v>
      </c>
      <c r="AN528" s="31">
        <f>VLOOKUP($B528,Pitchers!$A1:$S251,15,FALSE)</f>
        <v>2.9624999999999999</v>
      </c>
      <c r="AO528" s="31">
        <f>VLOOKUP($B528,Pitchers!$A1:$S251,16,FALSE)</f>
        <v>2.0950000000000002</v>
      </c>
      <c r="AP528" s="31">
        <f>VLOOKUP($B528,Pitchers!$A1:$S251,17,FALSE)</f>
        <v>1</v>
      </c>
      <c r="AQ528" s="31">
        <f>VLOOKUP($B528,Pitchers!$A1:$S251,18,FALSE)</f>
        <v>2</v>
      </c>
      <c r="AR528" s="31">
        <f>VLOOKUP($B528,Pitchers!$A1:$S251,19,FALSE)</f>
        <v>0</v>
      </c>
    </row>
    <row r="529" spans="1:44" ht="18.600000000000001" customHeight="1">
      <c r="A529" s="25">
        <f ca="1">RANK(I529,I$2:I$651)</f>
        <v>528</v>
      </c>
      <c r="B529" s="26" t="s">
        <v>584</v>
      </c>
      <c r="C529" s="27" t="s">
        <v>94</v>
      </c>
      <c r="D529" s="27" t="s">
        <v>69</v>
      </c>
      <c r="E529" s="36" t="s">
        <v>31</v>
      </c>
      <c r="F529" s="37">
        <f ca="1">VLOOKUP(B529,SP!A1:I161,IF(Settings!$J$13="points",4,7),FALSE)</f>
        <v>147</v>
      </c>
      <c r="G529" s="30">
        <f>(AC529*Settings!$F$2)+(AF529*Settings!$F$5)+(AG529*Settings!$F$6)+(AH529*Settings!$F$7)+(AI529*Settings!$F$8)+(AJ529*Settings!$F$9)+(AK529*Settings!$F$10)+(AL529*Settings!$F$11)+(AM529*Settings!$F$12)+(AN529*Settings!$F$13)+(AO529*Settings!$F$14)+(AP529*Settings!$F$15)+(AQ529*Settings!$F$16)+(AR529*Settings!$F$17)</f>
        <v>154.56333333333339</v>
      </c>
      <c r="H529" s="31">
        <f>VLOOKUP(B529,'Standard Deviations'!$A1:$D651,4,FALSE)</f>
        <v>-3.4927334159097883</v>
      </c>
      <c r="I529" s="32">
        <f ca="1">IF(Settings!$J$16="no",VLOOKUP(B529,SP!A1:I161,IF(Settings!$J$13="points",6,9),FALSE),VLOOKUP(B529,'SP+RP'!$A1:$I251,IF(Settings!$J$13="points",6,9),FALSE))</f>
        <v>-2.62515686904589</v>
      </c>
      <c r="J529" s="31"/>
      <c r="K529" s="31">
        <f ca="1">J529-A529</f>
        <v>-528</v>
      </c>
      <c r="L529" s="31"/>
      <c r="M529" s="31"/>
      <c r="N529" s="31"/>
      <c r="O529" s="31"/>
      <c r="P529" s="31"/>
      <c r="Q529" s="31"/>
      <c r="R529" s="33"/>
      <c r="S529" s="33"/>
      <c r="T529" s="31"/>
      <c r="U529" s="31"/>
      <c r="V529" s="31"/>
      <c r="W529" s="31"/>
      <c r="X529" s="31"/>
      <c r="Y529" s="33"/>
      <c r="Z529" s="33"/>
      <c r="AA529" s="31"/>
      <c r="AB529" s="31"/>
      <c r="AC529" s="31">
        <f>VLOOKUP($B529,Pitchers!$A1:$S251,4,FALSE)</f>
        <v>66.066666666666677</v>
      </c>
      <c r="AD529" s="33">
        <f>VLOOKUP($B529,Pitchers!$A1:$S251,5,FALSE)</f>
        <v>4.1321897073662957</v>
      </c>
      <c r="AE529" s="33">
        <f>VLOOKUP($B529,Pitchers!$A1:$S251,6,FALSE)</f>
        <v>1.298587285570131</v>
      </c>
      <c r="AF529" s="31">
        <f>VLOOKUP($B529,Pitchers!$A1:$S251,7,FALSE)</f>
        <v>72.77</v>
      </c>
      <c r="AG529" s="31">
        <f>VLOOKUP($B529,Pitchers!$A1:$S251,8,FALSE)</f>
        <v>3.7816666666666667</v>
      </c>
      <c r="AH529" s="31">
        <f>VLOOKUP($B529,Pitchers!$A1:$S251,9,FALSE)</f>
        <v>2.6666666666666665</v>
      </c>
      <c r="AI529" s="31">
        <f>VLOOKUP($B529,Pitchers!$A1:$S251,10,FALSE)</f>
        <v>30.333333333333332</v>
      </c>
      <c r="AJ529" s="31">
        <f>VLOOKUP($B529,Pitchers!$A1:$S251,11,FALSE)</f>
        <v>56.266666666666673</v>
      </c>
      <c r="AK529" s="31">
        <f>VLOOKUP($B529,Pitchers!$A1:$S251,12,FALSE)</f>
        <v>29.526666666666667</v>
      </c>
      <c r="AL529" s="31">
        <f>VLOOKUP($B529,Pitchers!$A1:$S251,13,FALSE)</f>
        <v>9.7000000000000011</v>
      </c>
      <c r="AM529" s="31">
        <f>VLOOKUP($B529,Pitchers!$A1:$S251,14,FALSE)</f>
        <v>45.824999999999996</v>
      </c>
      <c r="AN529" s="31">
        <f>VLOOKUP($B529,Pitchers!$A1:$S251,15,FALSE)</f>
        <v>4.4649999999999999</v>
      </c>
      <c r="AO529" s="31">
        <f>VLOOKUP($B529,Pitchers!$A1:$S251,16,FALSE)</f>
        <v>3.0066666666666664</v>
      </c>
      <c r="AP529" s="31">
        <f>VLOOKUP($B529,Pitchers!$A1:$S251,17,FALSE)</f>
        <v>2</v>
      </c>
      <c r="AQ529" s="31">
        <f>VLOOKUP($B529,Pitchers!$A1:$S251,18,FALSE)</f>
        <v>10</v>
      </c>
      <c r="AR529" s="31">
        <f>VLOOKUP($B529,Pitchers!$A1:$S251,19,FALSE)</f>
        <v>0</v>
      </c>
    </row>
    <row r="530" spans="1:44" ht="18.600000000000001" customHeight="1">
      <c r="A530" s="25">
        <f ca="1">RANK(I530,I$2:I$651)</f>
        <v>529</v>
      </c>
      <c r="B530" s="26" t="s">
        <v>622</v>
      </c>
      <c r="C530" s="27" t="s">
        <v>71</v>
      </c>
      <c r="D530" s="27" t="s">
        <v>69</v>
      </c>
      <c r="E530" s="48" t="s">
        <v>11</v>
      </c>
      <c r="F530" s="49">
        <f ca="1">VLOOKUP(B530,'2B'!A1:I50,IF(Settings!$J$13="points",4,7),FALSE)</f>
        <v>39</v>
      </c>
      <c r="G530" s="30">
        <f>(M530*Settings!$B$2)+(N530*Settings!$B$3)+(O530*Settings!$B$4)+(P530*Settings!$B$5)+(Q530*Settings!$B$6)+((T530-U530-V530-O530)*Settings!$B$9)+(U530*Settings!$B$10)+(V530*Settings!$B$11)+(W530*Settings!$B$12)+(X530*Settings!$B$13)+(AA530*Settings!$B$16)</f>
        <v>183.55833333333337</v>
      </c>
      <c r="H530" s="31">
        <f>VLOOKUP(B530,'Standard Deviations'!$A1:$D651,4,FALSE)</f>
        <v>-2.6442413476237698</v>
      </c>
      <c r="I530" s="32">
        <f ca="1">IF(Settings!$J$16="no",VLOOKUP(B530,'2B'!A1:I50,IF(Settings!$J$13="points",6,9),FALSE),VLOOKUP(B530,'2B+SS'!$A1:$I94,IF(Settings!$J$13="points",6,9),FALSE))</f>
        <v>-2.6502823358202932</v>
      </c>
      <c r="J530" s="31"/>
      <c r="K530" s="31">
        <f ca="1">J530-A530</f>
        <v>-529</v>
      </c>
      <c r="L530" s="31"/>
      <c r="M530" s="31">
        <f>VLOOKUP($B530,Hitters!$A1:$R401,4,FALSE)</f>
        <v>250.51666666666665</v>
      </c>
      <c r="N530" s="31">
        <f>VLOOKUP($B530,Hitters!$A1:$R401,5,FALSE)</f>
        <v>36.293333333333337</v>
      </c>
      <c r="O530" s="31">
        <f>VLOOKUP($B530,Hitters!$A1:$R401,6,FALSE)</f>
        <v>8.4266666666666659</v>
      </c>
      <c r="P530" s="31">
        <f>VLOOKUP($B530,Hitters!$A1:$R401,7,FALSE)</f>
        <v>27.953333333333333</v>
      </c>
      <c r="Q530" s="31">
        <f>VLOOKUP($B530,Hitters!$A1:$R401,8,FALSE)</f>
        <v>19.376666666666669</v>
      </c>
      <c r="R530" s="33">
        <f>VLOOKUP($B530,Hitters!$A$1:$R$401,14,FALSE)</f>
        <v>0.20819639411882113</v>
      </c>
      <c r="S530" s="33">
        <f>VLOOKUP($B530,Hitters!$A$1:$R$401,15,FALSE)</f>
        <v>0.30289739116823139</v>
      </c>
      <c r="T530" s="31">
        <f>VLOOKUP($B530,Hitters!$A$1:$R$401,9,FALSE)</f>
        <v>52.156666666666666</v>
      </c>
      <c r="U530" s="31">
        <f>VLOOKUP($B530,Hitters!$A$1:$R$401,10,FALSE)</f>
        <v>11.57</v>
      </c>
      <c r="V530" s="31">
        <f>VLOOKUP($B530,Hitters!$A$1:$R$401,11,FALSE)</f>
        <v>1.175</v>
      </c>
      <c r="W530" s="31">
        <f>VLOOKUP($B530,Hitters!$A$1:$R$401,12,FALSE)</f>
        <v>29.946666666666662</v>
      </c>
      <c r="X530" s="31">
        <f>VLOOKUP($B530,Hitters!$A$1:$R$401,13,FALSE)</f>
        <v>81.489999999999995</v>
      </c>
      <c r="Y530" s="33">
        <f>VLOOKUP($B530,Hitters!$A$1:$R$401,16,FALSE)</f>
        <v>0.36467300911449668</v>
      </c>
      <c r="Z530" s="33">
        <f>VLOOKUP($B530,Hitters!$A$1:$R$401,17,FALSE)</f>
        <v>0.66757040028272807</v>
      </c>
      <c r="AA530" s="31">
        <f>VLOOKUP($B530,Hitters!$A1:$R401,18,FALSE)</f>
        <v>0</v>
      </c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</row>
    <row r="531" spans="1:44" ht="18.600000000000001" customHeight="1">
      <c r="A531" s="25">
        <f ca="1">RANK(I531,I$2:I$651)</f>
        <v>530</v>
      </c>
      <c r="B531" s="26" t="s">
        <v>658</v>
      </c>
      <c r="C531" s="27" t="s">
        <v>176</v>
      </c>
      <c r="D531" s="27" t="s">
        <v>74</v>
      </c>
      <c r="E531" s="34" t="s">
        <v>15</v>
      </c>
      <c r="F531" s="35">
        <f ca="1">VLOOKUP(B531,'3B'!A1:I55,IF(Settings!$J$13="points",4,7),FALSE)</f>
        <v>39</v>
      </c>
      <c r="G531" s="30">
        <f>(M531*Settings!$B$2)+(N531*Settings!$B$3)+(O531*Settings!$B$4)+(P531*Settings!$B$5)+(Q531*Settings!$B$6)+((T531-U531-V531-O531)*Settings!$B$9)+(U531*Settings!$B$10)+(V531*Settings!$B$11)+(W531*Settings!$B$12)+(X531*Settings!$B$13)+(AA531*Settings!$B$16)</f>
        <v>165.7475</v>
      </c>
      <c r="H531" s="31">
        <f>VLOOKUP(B531,'Standard Deviations'!$A1:$D651,4,FALSE)</f>
        <v>-2.4347565743358111</v>
      </c>
      <c r="I531" s="32">
        <f ca="1">IF(Settings!$J$15="no",VLOOKUP(B531,'3B'!A1:I55,IF(Settings!$J$13="points",6,9),FALSE),VLOOKUP(B531,'1B+3B'!$A1:$I104,IF(Settings!$J$13="points",6,9),FALSE))</f>
        <v>-2.6602357251464746</v>
      </c>
      <c r="J531" s="31"/>
      <c r="K531" s="31">
        <f ca="1">J531-A531</f>
        <v>-530</v>
      </c>
      <c r="L531" s="31"/>
      <c r="M531" s="31">
        <f>VLOOKUP($B531,Hitters!$A1:$R401,4,FALSE)</f>
        <v>253.87777777777777</v>
      </c>
      <c r="N531" s="31">
        <f>VLOOKUP($B531,Hitters!$A1:$R401,5,FALSE)</f>
        <v>32.92</v>
      </c>
      <c r="O531" s="31">
        <f>VLOOKUP($B531,Hitters!$A1:$R401,6,FALSE)</f>
        <v>10.094444444444443</v>
      </c>
      <c r="P531" s="31">
        <f>VLOOKUP($B531,Hitters!$A1:$R401,7,FALSE)</f>
        <v>35.884444444444448</v>
      </c>
      <c r="Q531" s="31">
        <f>VLOOKUP($B531,Hitters!$A1:$R401,8,FALSE)</f>
        <v>0.98888888888888893</v>
      </c>
      <c r="R531" s="33">
        <f>VLOOKUP($B531,Hitters!$A$1:$R$401,14,FALSE)</f>
        <v>0.25440938334281588</v>
      </c>
      <c r="S531" s="33">
        <f>VLOOKUP($B531,Hitters!$A$1:$R$401,15,FALSE)</f>
        <v>0.3153353434022037</v>
      </c>
      <c r="T531" s="31">
        <f>VLOOKUP($B531,Hitters!$A$1:$R$401,9,FALSE)</f>
        <v>64.588888888888889</v>
      </c>
      <c r="U531" s="31">
        <f>VLOOKUP($B531,Hitters!$A$1:$R$401,10,FALSE)</f>
        <v>13.843333333333334</v>
      </c>
      <c r="V531" s="31">
        <f>VLOOKUP($B531,Hitters!$A$1:$R$401,11,FALSE)</f>
        <v>0.99777777777777776</v>
      </c>
      <c r="W531" s="31">
        <f>VLOOKUP($B531,Hitters!$A$1:$R$401,12,FALSE)</f>
        <v>18.583333333333332</v>
      </c>
      <c r="X531" s="31">
        <f>VLOOKUP($B531,Hitters!$A$1:$R$401,13,FALSE)</f>
        <v>68.658333333333346</v>
      </c>
      <c r="Y531" s="33">
        <f>VLOOKUP($B531,Hitters!$A$1:$R$401,16,FALSE)</f>
        <v>0.43608035362597924</v>
      </c>
      <c r="Z531" s="33">
        <f>VLOOKUP($B531,Hitters!$A$1:$R$401,17,FALSE)</f>
        <v>0.75141569702818289</v>
      </c>
      <c r="AA531" s="31">
        <f>VLOOKUP($B531,Hitters!$A1:$R401,18,FALSE)</f>
        <v>0</v>
      </c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</row>
    <row r="532" spans="1:44" ht="18.600000000000001" customHeight="1">
      <c r="A532" s="25">
        <f ca="1">RANK(I532,I$2:I$651)</f>
        <v>531</v>
      </c>
      <c r="B532" s="26" t="s">
        <v>564</v>
      </c>
      <c r="C532" s="27" t="s">
        <v>158</v>
      </c>
      <c r="D532" s="27" t="s">
        <v>74</v>
      </c>
      <c r="E532" s="46" t="s">
        <v>19</v>
      </c>
      <c r="F532" s="47">
        <f ca="1">VLOOKUP(B532,'C'!A1:I54,IF(Settings!$J$13="points",4,7),FALSE)</f>
        <v>28</v>
      </c>
      <c r="G532" s="30">
        <f>(M532*Settings!$B$2)+(N532*Settings!$B$3)+(O532*Settings!$B$4)+(P532*Settings!$B$5)+(Q532*Settings!$B$6)+((T532-U532-V532-O532)*Settings!$B$9)+(U532*Settings!$B$10)+(V532*Settings!$B$11)+(W532*Settings!$B$12)+(X532*Settings!$B$13)+(AA532*Settings!$B$16)</f>
        <v>151.85388888888892</v>
      </c>
      <c r="H532" s="31">
        <f>VLOOKUP(B532,'Standard Deviations'!$A1:$D651,4,FALSE)</f>
        <v>-3.4750937286619932</v>
      </c>
      <c r="I532" s="32">
        <f ca="1">VLOOKUP(B532,'C'!A1:I54,IF(Settings!$J$13="points",6,9),FALSE)</f>
        <v>-2.6885690165248417</v>
      </c>
      <c r="J532" s="31"/>
      <c r="K532" s="31">
        <f ca="1">J532-A532</f>
        <v>-531</v>
      </c>
      <c r="L532" s="31"/>
      <c r="M532" s="31">
        <f>VLOOKUP($B532,Hitters!$A1:$R401,4,FALSE)</f>
        <v>261.63333333333333</v>
      </c>
      <c r="N532" s="31">
        <f>VLOOKUP($B532,Hitters!$A1:$R401,5,FALSE)</f>
        <v>28.738888888888891</v>
      </c>
      <c r="O532" s="31">
        <f>VLOOKUP($B532,Hitters!$A1:$R401,6,FALSE)</f>
        <v>8.0116666666666667</v>
      </c>
      <c r="P532" s="31">
        <f>VLOOKUP($B532,Hitters!$A1:$R401,7,FALSE)</f>
        <v>31.685555555555556</v>
      </c>
      <c r="Q532" s="31">
        <f>VLOOKUP($B532,Hitters!$A1:$R401,8,FALSE)</f>
        <v>1.0049999999999999</v>
      </c>
      <c r="R532" s="33">
        <f>VLOOKUP($B532,Hitters!$A$1:$R$401,14,FALSE)</f>
        <v>0.24677878285981228</v>
      </c>
      <c r="S532" s="33">
        <f>VLOOKUP($B532,Hitters!$A$1:$R$401,15,FALSE)</f>
        <v>0.29598481771220508</v>
      </c>
      <c r="T532" s="31">
        <f>VLOOKUP($B532,Hitters!$A$1:$R$401,9,FALSE)</f>
        <v>64.565555555555548</v>
      </c>
      <c r="U532" s="31">
        <f>VLOOKUP($B532,Hitters!$A$1:$R$401,10,FALSE)</f>
        <v>11.983333333333334</v>
      </c>
      <c r="V532" s="31">
        <f>VLOOKUP($B532,Hitters!$A$1:$R$401,11,FALSE)</f>
        <v>0.9966666666666667</v>
      </c>
      <c r="W532" s="31">
        <f>VLOOKUP($B532,Hitters!$A$1:$R$401,12,FALSE)</f>
        <v>13.945555555555556</v>
      </c>
      <c r="X532" s="31">
        <f>VLOOKUP($B532,Hitters!$A$1:$R$401,13,FALSE)</f>
        <v>54.206666666666671</v>
      </c>
      <c r="Y532" s="33">
        <f>VLOOKUP($B532,Hitters!$A$1:$R$401,16,FALSE)</f>
        <v>0.39206480655709852</v>
      </c>
      <c r="Z532" s="33">
        <f>VLOOKUP($B532,Hitters!$A$1:$R$401,17,FALSE)</f>
        <v>0.68804962426930361</v>
      </c>
      <c r="AA532" s="31">
        <f>VLOOKUP($B532,Hitters!$A1:$R401,18,FALSE)</f>
        <v>0</v>
      </c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</row>
    <row r="533" spans="1:44" ht="18.600000000000001" customHeight="1">
      <c r="A533" s="25">
        <f ca="1">RANK(I533,I$2:I$651)</f>
        <v>532</v>
      </c>
      <c r="B533" s="26" t="s">
        <v>586</v>
      </c>
      <c r="C533" s="27" t="s">
        <v>217</v>
      </c>
      <c r="D533" s="27" t="s">
        <v>74</v>
      </c>
      <c r="E533" s="46" t="s">
        <v>19</v>
      </c>
      <c r="F533" s="47">
        <f ca="1">VLOOKUP(B533,'C'!A1:I54,IF(Settings!$J$13="points",4,7),FALSE)</f>
        <v>29</v>
      </c>
      <c r="G533" s="30">
        <f>(M533*Settings!$B$2)+(N533*Settings!$B$3)+(O533*Settings!$B$4)+(P533*Settings!$B$5)+(Q533*Settings!$B$6)+((T533-U533-V533-O533)*Settings!$B$9)+(U533*Settings!$B$10)+(V533*Settings!$B$11)+(W533*Settings!$B$12)+(X533*Settings!$B$13)+(AA533*Settings!$B$16)</f>
        <v>167.60444444444443</v>
      </c>
      <c r="H533" s="31">
        <f>VLOOKUP(B533,'Standard Deviations'!$A1:$D651,4,FALSE)</f>
        <v>-3.5067365915919408</v>
      </c>
      <c r="I533" s="32">
        <f ca="1">VLOOKUP(B533,'C'!A1:I54,IF(Settings!$J$13="points",6,9),FALSE)</f>
        <v>-2.7202164493613843</v>
      </c>
      <c r="J533" s="31"/>
      <c r="K533" s="31">
        <f ca="1">J533-A533</f>
        <v>-532</v>
      </c>
      <c r="L533" s="31"/>
      <c r="M533" s="31">
        <f>VLOOKUP($B533,Hitters!$A1:$R401,4,FALSE)</f>
        <v>331.13333333333333</v>
      </c>
      <c r="N533" s="31">
        <f>VLOOKUP($B533,Hitters!$A1:$R401,5,FALSE)</f>
        <v>39.183333333333337</v>
      </c>
      <c r="O533" s="31">
        <f>VLOOKUP($B533,Hitters!$A1:$R401,6,FALSE)</f>
        <v>11.226666666666667</v>
      </c>
      <c r="P533" s="31">
        <f>VLOOKUP($B533,Hitters!$A1:$R401,7,FALSE)</f>
        <v>37.367777777777775</v>
      </c>
      <c r="Q533" s="31">
        <f>VLOOKUP($B533,Hitters!$A1:$R401,8,FALSE)</f>
        <v>2.0183333333333335</v>
      </c>
      <c r="R533" s="33">
        <f>VLOOKUP($B533,Hitters!$A$1:$R$401,14,FALSE)</f>
        <v>0.22156231125427828</v>
      </c>
      <c r="S533" s="33">
        <f>VLOOKUP($B533,Hitters!$A$1:$R$401,15,FALSE)</f>
        <v>0.28977746895561202</v>
      </c>
      <c r="T533" s="31">
        <f>VLOOKUP($B533,Hitters!$A$1:$R$401,9,FALSE)</f>
        <v>73.366666666666674</v>
      </c>
      <c r="U533" s="31">
        <f>VLOOKUP($B533,Hitters!$A$1:$R$401,10,FALSE)</f>
        <v>12.742222222222223</v>
      </c>
      <c r="V533" s="31">
        <f>VLOOKUP($B533,Hitters!$A$1:$R$401,11,FALSE)</f>
        <v>0.99888888888888883</v>
      </c>
      <c r="W533" s="31">
        <f>VLOOKUP($B533,Hitters!$A$1:$R$401,12,FALSE)</f>
        <v>26.228333333333328</v>
      </c>
      <c r="X533" s="31">
        <f>VLOOKUP($B533,Hitters!$A$1:$R$401,13,FALSE)</f>
        <v>121.99666666666667</v>
      </c>
      <c r="Y533" s="33">
        <f>VLOOKUP($B533,Hitters!$A$1:$R$401,16,FALSE)</f>
        <v>0.36778739681900546</v>
      </c>
      <c r="Z533" s="33">
        <f>VLOOKUP($B533,Hitters!$A$1:$R$401,17,FALSE)</f>
        <v>0.65756486577461748</v>
      </c>
      <c r="AA533" s="31">
        <f>VLOOKUP($B533,Hitters!$A1:$R401,18,FALSE)</f>
        <v>0</v>
      </c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</row>
    <row r="534" spans="1:44" ht="18.600000000000001" customHeight="1">
      <c r="A534" s="25">
        <f ca="1">RANK(I534,I$2:I$651)</f>
        <v>533</v>
      </c>
      <c r="B534" s="26" t="s">
        <v>568</v>
      </c>
      <c r="C534" s="27" t="s">
        <v>120</v>
      </c>
      <c r="D534" s="27" t="s">
        <v>74</v>
      </c>
      <c r="E534" s="46" t="s">
        <v>19</v>
      </c>
      <c r="F534" s="47">
        <f ca="1">VLOOKUP(B534,'C'!A1:I54,IF(Settings!$J$13="points",4,7),FALSE)</f>
        <v>30</v>
      </c>
      <c r="G534" s="30">
        <f>(M534*Settings!$B$2)+(N534*Settings!$B$3)+(O534*Settings!$B$4)+(P534*Settings!$B$5)+(Q534*Settings!$B$6)+((T534-U534-V534-O534)*Settings!$B$9)+(U534*Settings!$B$10)+(V534*Settings!$B$11)+(W534*Settings!$B$12)+(X534*Settings!$B$13)+(AA534*Settings!$B$16)</f>
        <v>181.77777777777777</v>
      </c>
      <c r="H534" s="31">
        <f>VLOOKUP(B534,'Standard Deviations'!$A1:$D651,4,FALSE)</f>
        <v>-3.5485386948881308</v>
      </c>
      <c r="I534" s="32">
        <f ca="1">VLOOKUP(B534,'C'!A1:I54,IF(Settings!$J$13="points",6,9),FALSE)</f>
        <v>-2.7620121333001704</v>
      </c>
      <c r="J534" s="31"/>
      <c r="K534" s="31">
        <f ca="1">J534-A534</f>
        <v>-533</v>
      </c>
      <c r="L534" s="31"/>
      <c r="M534" s="31">
        <f>VLOOKUP($B534,Hitters!$A1:$R401,4,FALSE)</f>
        <v>288.55</v>
      </c>
      <c r="N534" s="31">
        <f>VLOOKUP($B534,Hitters!$A1:$R401,5,FALSE)</f>
        <v>35.11333333333333</v>
      </c>
      <c r="O534" s="31">
        <f>VLOOKUP($B534,Hitters!$A1:$R401,6,FALSE)</f>
        <v>9.4511111111111106</v>
      </c>
      <c r="P534" s="31">
        <f>VLOOKUP($B534,Hitters!$A1:$R401,7,FALSE)</f>
        <v>35.979999999999997</v>
      </c>
      <c r="Q534" s="31">
        <f>VLOOKUP($B534,Hitters!$A1:$R401,8,FALSE)</f>
        <v>1.0049999999999999</v>
      </c>
      <c r="R534" s="33">
        <f>VLOOKUP($B534,Hitters!$A$1:$R$401,14,FALSE)</f>
        <v>0.23257090047940854</v>
      </c>
      <c r="S534" s="33">
        <f>VLOOKUP($B534,Hitters!$A$1:$R$401,15,FALSE)</f>
        <v>0.31569955805550443</v>
      </c>
      <c r="T534" s="31">
        <f>VLOOKUP($B534,Hitters!$A$1:$R$401,9,FALSE)</f>
        <v>67.108333333333334</v>
      </c>
      <c r="U534" s="31">
        <f>VLOOKUP($B534,Hitters!$A$1:$R$401,10,FALSE)</f>
        <v>14.038333333333334</v>
      </c>
      <c r="V534" s="31">
        <f>VLOOKUP($B534,Hitters!$A$1:$R$401,11,FALSE)</f>
        <v>0.98333333333333339</v>
      </c>
      <c r="W534" s="31">
        <f>VLOOKUP($B534,Hitters!$A$1:$R$401,12,FALSE)</f>
        <v>30.501666666666665</v>
      </c>
      <c r="X534" s="31">
        <f>VLOOKUP($B534,Hitters!$A$1:$R$401,13,FALSE)</f>
        <v>66.587777777777774</v>
      </c>
      <c r="Y534" s="33">
        <f>VLOOKUP($B534,Hitters!$A$1:$R$401,16,FALSE)</f>
        <v>0.38629931265523015</v>
      </c>
      <c r="Z534" s="33">
        <f>VLOOKUP($B534,Hitters!$A$1:$R$401,17,FALSE)</f>
        <v>0.70199887071073452</v>
      </c>
      <c r="AA534" s="31">
        <f>VLOOKUP($B534,Hitters!$A1:$R401,18,FALSE)</f>
        <v>0</v>
      </c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</row>
    <row r="535" spans="1:44" ht="18.600000000000001" customHeight="1">
      <c r="A535" s="25">
        <f ca="1">RANK(I535,I$2:I$651)</f>
        <v>534</v>
      </c>
      <c r="B535" s="26" t="s">
        <v>498</v>
      </c>
      <c r="C535" s="27" t="s">
        <v>156</v>
      </c>
      <c r="D535" s="27" t="s">
        <v>69</v>
      </c>
      <c r="E535" s="28" t="s">
        <v>23</v>
      </c>
      <c r="F535" s="29">
        <f ca="1">VLOOKUP(B535,OF!A1:I139,IF(Settings!$J$13="points",4,7),FALSE)</f>
        <v>112</v>
      </c>
      <c r="G535" s="30">
        <f>(M535*Settings!$B$2)+(N535*Settings!$B$3)+(O535*Settings!$B$4)+(P535*Settings!$B$5)+(Q535*Settings!$B$6)+((T535-U535-V535-O535)*Settings!$B$9)+(U535*Settings!$B$10)+(V535*Settings!$B$11)+(W535*Settings!$B$12)+(X535*Settings!$B$13)+(AA535*Settings!$B$16)</f>
        <v>172.72500000000005</v>
      </c>
      <c r="H535" s="31">
        <f>VLOOKUP(B535,'Standard Deviations'!$A1:$D651,4,FALSE)</f>
        <v>-2.9955226700898669</v>
      </c>
      <c r="I535" s="32">
        <f ca="1">VLOOKUP(B535,OF!A1:I139,IF(Settings!$J$13="points",6,9),FALSE)</f>
        <v>-2.8385961338293018</v>
      </c>
      <c r="J535" s="31"/>
      <c r="K535" s="31">
        <f ca="1">J535-A535</f>
        <v>-534</v>
      </c>
      <c r="L535" s="31"/>
      <c r="M535" s="31">
        <f>VLOOKUP($B535,Hitters!$A1:$R401,4,FALSE)</f>
        <v>306.63333333333333</v>
      </c>
      <c r="N535" s="31">
        <f>VLOOKUP($B535,Hitters!$A1:$R401,5,FALSE)</f>
        <v>36.874444444444443</v>
      </c>
      <c r="O535" s="31">
        <f>VLOOKUP($B535,Hitters!$A1:$R401,6,FALSE)</f>
        <v>7.9488888888888889</v>
      </c>
      <c r="P535" s="31">
        <f>VLOOKUP($B535,Hitters!$A1:$R401,7,FALSE)</f>
        <v>32.844444444444441</v>
      </c>
      <c r="Q535" s="31">
        <f>VLOOKUP($B535,Hitters!$A1:$R401,8,FALSE)</f>
        <v>5.7866666666666662</v>
      </c>
      <c r="R535" s="33">
        <f>VLOOKUP($B535,Hitters!$A$1:$R$401,14,FALSE)</f>
        <v>0.234927709533645</v>
      </c>
      <c r="S535" s="33">
        <f>VLOOKUP($B535,Hitters!$A$1:$R$401,15,FALSE)</f>
        <v>0.30185528933320205</v>
      </c>
      <c r="T535" s="31">
        <f>VLOOKUP($B535,Hitters!$A$1:$R$401,9,FALSE)</f>
        <v>72.036666666666676</v>
      </c>
      <c r="U535" s="31">
        <f>VLOOKUP($B535,Hitters!$A$1:$R$401,10,FALSE)</f>
        <v>13.644444444444446</v>
      </c>
      <c r="V535" s="31">
        <f>VLOOKUP($B535,Hitters!$A$1:$R$401,11,FALSE)</f>
        <v>1.04</v>
      </c>
      <c r="W535" s="31">
        <f>VLOOKUP($B535,Hitters!$A$1:$R$401,12,FALSE)</f>
        <v>24.38111111111111</v>
      </c>
      <c r="X535" s="31">
        <f>VLOOKUP($B535,Hitters!$A$1:$R$401,13,FALSE)</f>
        <v>89.112222222222229</v>
      </c>
      <c r="Y535" s="33">
        <f>VLOOKUP($B535,Hitters!$A$1:$R$401,16,FALSE)</f>
        <v>0.36397796861977755</v>
      </c>
      <c r="Z535" s="33">
        <f>VLOOKUP($B535,Hitters!$A$1:$R$401,17,FALSE)</f>
        <v>0.66583325795297954</v>
      </c>
      <c r="AA535" s="31">
        <f>VLOOKUP($B535,Hitters!$A1:$R401,18,FALSE)</f>
        <v>0</v>
      </c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</row>
    <row r="536" spans="1:44" ht="18.600000000000001" customHeight="1">
      <c r="A536" s="25">
        <f ca="1">RANK(I536,I$2:I$651)</f>
        <v>535</v>
      </c>
      <c r="B536" s="26" t="s">
        <v>560</v>
      </c>
      <c r="C536" s="27" t="s">
        <v>137</v>
      </c>
      <c r="D536" s="27" t="s">
        <v>74</v>
      </c>
      <c r="E536" s="28" t="s">
        <v>23</v>
      </c>
      <c r="F536" s="29">
        <f ca="1">VLOOKUP(B536,OF!A1:I139,IF(Settings!$J$13="points",4,7),FALSE)</f>
        <v>113</v>
      </c>
      <c r="G536" s="30">
        <f>(M536*Settings!$B$2)+(N536*Settings!$B$3)+(O536*Settings!$B$4)+(P536*Settings!$B$5)+(Q536*Settings!$B$6)+((T536-U536-V536-O536)*Settings!$B$9)+(U536*Settings!$B$10)+(V536*Settings!$B$11)+(W536*Settings!$B$12)+(X536*Settings!$B$13)+(AA536*Settings!$B$16)</f>
        <v>145.41555555555558</v>
      </c>
      <c r="H536" s="31">
        <f>VLOOKUP(B536,'Standard Deviations'!$A1:$D651,4,FALSE)</f>
        <v>-3.0063292710017757</v>
      </c>
      <c r="I536" s="32">
        <f ca="1">VLOOKUP(B536,OF!A1:I139,IF(Settings!$J$13="points",6,9),FALSE)</f>
        <v>-2.849395183962276</v>
      </c>
      <c r="J536" s="31"/>
      <c r="K536" s="31">
        <f ca="1">J536-A536</f>
        <v>-535</v>
      </c>
      <c r="L536" s="31"/>
      <c r="M536" s="31">
        <f>VLOOKUP($B536,Hitters!$A1:$R401,4,FALSE)</f>
        <v>226.96666666666667</v>
      </c>
      <c r="N536" s="31">
        <f>VLOOKUP($B536,Hitters!$A1:$R401,5,FALSE)</f>
        <v>25.995000000000001</v>
      </c>
      <c r="O536" s="31">
        <f>VLOOKUP($B536,Hitters!$A1:$R401,6,FALSE)</f>
        <v>5.9883333333333333</v>
      </c>
      <c r="P536" s="31">
        <f>VLOOKUP($B536,Hitters!$A1:$R401,7,FALSE)</f>
        <v>27.734999999999999</v>
      </c>
      <c r="Q536" s="31">
        <f>VLOOKUP($B536,Hitters!$A1:$R401,8,FALSE)</f>
        <v>3.5355555555555553</v>
      </c>
      <c r="R536" s="33">
        <f>VLOOKUP($B536,Hitters!$A$1:$R$401,14,FALSE)</f>
        <v>0.25957556175649876</v>
      </c>
      <c r="S536" s="33">
        <f>VLOOKUP($B536,Hitters!$A$1:$R$401,15,FALSE)</f>
        <v>0.31819088622029851</v>
      </c>
      <c r="T536" s="31">
        <f>VLOOKUP($B536,Hitters!$A$1:$R$401,9,FALSE)</f>
        <v>58.914999999999999</v>
      </c>
      <c r="U536" s="31">
        <f>VLOOKUP($B536,Hitters!$A$1:$R$401,10,FALSE)</f>
        <v>12.816666666666665</v>
      </c>
      <c r="V536" s="31">
        <f>VLOOKUP($B536,Hitters!$A$1:$R$401,11,FALSE)</f>
        <v>0.98666666666666669</v>
      </c>
      <c r="W536" s="31">
        <f>VLOOKUP($B536,Hitters!$A$1:$R$401,12,FALSE)</f>
        <v>15.956666666666669</v>
      </c>
      <c r="X536" s="31">
        <f>VLOOKUP($B536,Hitters!$A$1:$R$401,13,FALSE)</f>
        <v>46.024444444444441</v>
      </c>
      <c r="Y536" s="33">
        <f>VLOOKUP($B536,Hitters!$A$1:$R$401,16,FALSE)</f>
        <v>0.40389190776912903</v>
      </c>
      <c r="Z536" s="33">
        <f>VLOOKUP($B536,Hitters!$A$1:$R$401,17,FALSE)</f>
        <v>0.72208279398942754</v>
      </c>
      <c r="AA536" s="31">
        <f>VLOOKUP($B536,Hitters!$A1:$R401,18,FALSE)</f>
        <v>0</v>
      </c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</row>
    <row r="537" spans="1:44" ht="18.600000000000001" customHeight="1">
      <c r="A537" s="25">
        <f ca="1">RANK(I537,I$2:I$651)</f>
        <v>536</v>
      </c>
      <c r="B537" s="26" t="s">
        <v>649</v>
      </c>
      <c r="C537" s="27" t="s">
        <v>306</v>
      </c>
      <c r="D537" s="27" t="s">
        <v>74</v>
      </c>
      <c r="E537" s="36" t="s">
        <v>31</v>
      </c>
      <c r="F537" s="37">
        <f ca="1">VLOOKUP(B537,SP!A1:I161,IF(Settings!$J$13="points",4,7),FALSE)</f>
        <v>148</v>
      </c>
      <c r="G537" s="30">
        <f>(AC537*Settings!$F$2)+(AF537*Settings!$F$5)+(AG537*Settings!$F$6)+(AH537*Settings!$F$7)+(AI537*Settings!$F$8)+(AJ537*Settings!$F$9)+(AK537*Settings!$F$10)+(AL537*Settings!$F$11)+(AM537*Settings!$F$12)+(AN537*Settings!$F$13)+(AO537*Settings!$F$14)+(AP537*Settings!$F$15)+(AQ537*Settings!$F$16)+(AR537*Settings!$F$17)</f>
        <v>224.9991333333333</v>
      </c>
      <c r="H537" s="31">
        <f>VLOOKUP(B537,'Standard Deviations'!$A1:$D651,4,FALSE)</f>
        <v>-3.7206061854716337</v>
      </c>
      <c r="I537" s="32">
        <f ca="1">IF(Settings!$J$16="no",VLOOKUP(B537,SP!A1:I161,IF(Settings!$J$13="points",6,9),FALSE),VLOOKUP(B537,'SP+RP'!$A1:$I251,IF(Settings!$J$13="points",6,9),FALSE))</f>
        <v>-2.8530286103333355</v>
      </c>
      <c r="J537" s="31"/>
      <c r="K537" s="31">
        <f ca="1">J537-A537</f>
        <v>-536</v>
      </c>
      <c r="L537" s="31"/>
      <c r="M537" s="31"/>
      <c r="N537" s="31"/>
      <c r="O537" s="31"/>
      <c r="P537" s="31"/>
      <c r="Q537" s="31"/>
      <c r="R537" s="33"/>
      <c r="S537" s="33"/>
      <c r="T537" s="31"/>
      <c r="U537" s="31"/>
      <c r="V537" s="31"/>
      <c r="W537" s="31"/>
      <c r="X537" s="31"/>
      <c r="Y537" s="33"/>
      <c r="Z537" s="33"/>
      <c r="AA537" s="31"/>
      <c r="AB537" s="31"/>
      <c r="AC537" s="31">
        <f>VLOOKUP($B537,Pitchers!$A1:$S251,4,FALSE)</f>
        <v>119.90666666666668</v>
      </c>
      <c r="AD537" s="33">
        <f>VLOOKUP($B537,Pitchers!$A1:$S251,5,FALSE)</f>
        <v>4.3417752696541747</v>
      </c>
      <c r="AE537" s="33">
        <f>VLOOKUP($B537,Pitchers!$A1:$S251,6,FALSE)</f>
        <v>1.3776455761888875</v>
      </c>
      <c r="AF537" s="31">
        <f>VLOOKUP($B537,Pitchers!$A1:$S251,7,FALSE)</f>
        <v>117.8</v>
      </c>
      <c r="AG537" s="31">
        <f>VLOOKUP($B537,Pitchers!$A1:$S251,8,FALSE)</f>
        <v>5.5566666666666675</v>
      </c>
      <c r="AH537" s="31">
        <f>VLOOKUP($B537,Pitchers!$A1:$S251,9,FALSE)</f>
        <v>0</v>
      </c>
      <c r="AI537" s="31">
        <f>VLOOKUP($B537,Pitchers!$A1:$S251,10,FALSE)</f>
        <v>57.845311111111108</v>
      </c>
      <c r="AJ537" s="31">
        <f>VLOOKUP($B537,Pitchers!$A1:$S251,11,FALSE)</f>
        <v>111.67222222222222</v>
      </c>
      <c r="AK537" s="31">
        <f>VLOOKUP($B537,Pitchers!$A1:$S251,12,FALSE)</f>
        <v>53.516666666666673</v>
      </c>
      <c r="AL537" s="31">
        <f>VLOOKUP($B537,Pitchers!$A1:$S251,13,FALSE)</f>
        <v>15.533333333333333</v>
      </c>
      <c r="AM537" s="31">
        <f>VLOOKUP($B537,Pitchers!$A1:$S251,14,FALSE)</f>
        <v>23.328888888888887</v>
      </c>
      <c r="AN537" s="31">
        <f>VLOOKUP($B537,Pitchers!$A1:$S251,15,FALSE)</f>
        <v>22.951111111111107</v>
      </c>
      <c r="AO537" s="31">
        <f>VLOOKUP($B537,Pitchers!$A1:$S251,16,FALSE)</f>
        <v>7.8966666666666674</v>
      </c>
      <c r="AP537" s="31">
        <f>VLOOKUP($B537,Pitchers!$A1:$S251,17,FALSE)</f>
        <v>10</v>
      </c>
      <c r="AQ537" s="31">
        <f>VLOOKUP($B537,Pitchers!$A1:$S251,18,FALSE)</f>
        <v>0.5</v>
      </c>
      <c r="AR537" s="31">
        <f>VLOOKUP($B537,Pitchers!$A1:$S251,19,FALSE)</f>
        <v>0</v>
      </c>
    </row>
    <row r="538" spans="1:44" ht="20.100000000000001" customHeight="1">
      <c r="A538" s="25">
        <f ca="1">RANK(I538,I$2:I$651)</f>
        <v>537</v>
      </c>
      <c r="B538" s="26" t="s">
        <v>678</v>
      </c>
      <c r="C538" s="27" t="s">
        <v>120</v>
      </c>
      <c r="D538" s="27" t="s">
        <v>74</v>
      </c>
      <c r="E538" s="38" t="s">
        <v>27</v>
      </c>
      <c r="F538" s="39">
        <f ca="1">VLOOKUP(B538,SS!A1:I45,IF(Settings!$J$13="points",4,7),FALSE)</f>
        <v>36</v>
      </c>
      <c r="G538" s="30">
        <f>(M538*Settings!$B$2)+(N538*Settings!$B$3)+(O538*Settings!$B$4)+(P538*Settings!$B$5)+(Q538*Settings!$B$6)+((T538-U538-V538-O538)*Settings!$B$9)+(U538*Settings!$B$10)+(V538*Settings!$B$11)+(W538*Settings!$B$12)+(X538*Settings!$B$13)+(AA538*Settings!$B$16)</f>
        <v>195.37666666666672</v>
      </c>
      <c r="H538" s="31">
        <f>VLOOKUP(B538,'Standard Deviations'!$A1:$D651,4,FALSE)</f>
        <v>-2.872172493274662</v>
      </c>
      <c r="I538" s="32">
        <f ca="1">IF(Settings!$J$16="no",VLOOKUP(B538,SS!A1:I45,IF(Settings!$J$13="points",6,9),FALSE),VLOOKUP(B538,'2B+SS'!$A1:$I94,IF(Settings!$J$13="points",6,9),FALSE))</f>
        <v>-2.87821085398115</v>
      </c>
      <c r="J538" s="31"/>
      <c r="K538" s="31">
        <f ca="1">J538-A538</f>
        <v>-537</v>
      </c>
      <c r="L538" s="31"/>
      <c r="M538" s="31">
        <f>VLOOKUP($B538,Hitters!$A1:$R401,4,FALSE)</f>
        <v>338.96666666666664</v>
      </c>
      <c r="N538" s="31">
        <f>VLOOKUP($B538,Hitters!$A1:$R401,5,FALSE)</f>
        <v>38.836666666666666</v>
      </c>
      <c r="O538" s="31">
        <f>VLOOKUP($B538,Hitters!$A1:$R401,6,FALSE)</f>
        <v>7.2100000000000009</v>
      </c>
      <c r="P538" s="31">
        <f>VLOOKUP($B538,Hitters!$A1:$R401,7,FALSE)</f>
        <v>36.244999999999997</v>
      </c>
      <c r="Q538" s="31">
        <f>VLOOKUP($B538,Hitters!$A1:$R401,8,FALSE)</f>
        <v>6.0283333333333333</v>
      </c>
      <c r="R538" s="33">
        <f>VLOOKUP($B538,Hitters!$A$1:$R$401,14,FALSE)</f>
        <v>0.2337053790933229</v>
      </c>
      <c r="S538" s="33">
        <f>VLOOKUP($B538,Hitters!$A$1:$R$401,15,FALSE)</f>
        <v>0.29727715473809707</v>
      </c>
      <c r="T538" s="31">
        <f>VLOOKUP($B538,Hitters!$A$1:$R$401,9,FALSE)</f>
        <v>79.218333333333348</v>
      </c>
      <c r="U538" s="31">
        <f>VLOOKUP($B538,Hitters!$A$1:$R$401,10,FALSE)</f>
        <v>18.703333333333333</v>
      </c>
      <c r="V538" s="31">
        <f>VLOOKUP($B538,Hitters!$A$1:$R$401,11,FALSE)</f>
        <v>2.0066666666666668</v>
      </c>
      <c r="W538" s="31">
        <f>VLOOKUP($B538,Hitters!$A$1:$R$401,12,FALSE)</f>
        <v>25.058333333333334</v>
      </c>
      <c r="X538" s="31">
        <f>VLOOKUP($B538,Hitters!$A$1:$R$401,13,FALSE)</f>
        <v>80.77</v>
      </c>
      <c r="Y538" s="33">
        <f>VLOOKUP($B538,Hitters!$A$1:$R$401,16,FALSE)</f>
        <v>0.36453436916117621</v>
      </c>
      <c r="Z538" s="33">
        <f>VLOOKUP($B538,Hitters!$A$1:$R$401,17,FALSE)</f>
        <v>0.66181152389927322</v>
      </c>
      <c r="AA538" s="31">
        <f>VLOOKUP($B538,Hitters!$A1:$R401,18,FALSE)</f>
        <v>0</v>
      </c>
      <c r="AB538" s="31"/>
      <c r="AC538" s="31"/>
      <c r="AD538" s="33"/>
      <c r="AE538" s="33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</row>
    <row r="539" spans="1:44" ht="18.600000000000001" customHeight="1">
      <c r="A539" s="25">
        <f ca="1">RANK(I539,I$2:I$651)</f>
        <v>538</v>
      </c>
      <c r="B539" s="26" t="s">
        <v>514</v>
      </c>
      <c r="C539" s="27" t="s">
        <v>117</v>
      </c>
      <c r="D539" s="27" t="s">
        <v>69</v>
      </c>
      <c r="E539" s="28" t="s">
        <v>23</v>
      </c>
      <c r="F539" s="29">
        <f ca="1">VLOOKUP(B539,OF!A1:I139,IF(Settings!$J$13="points",4,7),FALSE)</f>
        <v>114</v>
      </c>
      <c r="G539" s="30">
        <f>(M539*Settings!$B$2)+(N539*Settings!$B$3)+(O539*Settings!$B$4)+(P539*Settings!$B$5)+(Q539*Settings!$B$6)+((T539-U539-V539-O539)*Settings!$B$9)+(U539*Settings!$B$10)+(V539*Settings!$B$11)+(W539*Settings!$B$12)+(X539*Settings!$B$13)+(AA539*Settings!$B$16)</f>
        <v>156.45583333333332</v>
      </c>
      <c r="H539" s="31">
        <f>VLOOKUP(B539,'Standard Deviations'!$A1:$D651,4,FALSE)</f>
        <v>-3.0397664751984728</v>
      </c>
      <c r="I539" s="32">
        <f ca="1">VLOOKUP(B539,OF!A1:I139,IF(Settings!$J$13="points",6,9),FALSE)</f>
        <v>-2.8828334657856649</v>
      </c>
      <c r="J539" s="31"/>
      <c r="K539" s="31">
        <f ca="1">J539-A539</f>
        <v>-538</v>
      </c>
      <c r="L539" s="31"/>
      <c r="M539" s="31">
        <f>VLOOKUP($B539,Hitters!$A1:$R401,4,FALSE)</f>
        <v>250.28888888888889</v>
      </c>
      <c r="N539" s="31">
        <f>VLOOKUP($B539,Hitters!$A1:$R401,5,FALSE)</f>
        <v>30.213333333333335</v>
      </c>
      <c r="O539" s="31">
        <f>VLOOKUP($B539,Hitters!$A1:$R401,6,FALSE)</f>
        <v>4.8966666666666665</v>
      </c>
      <c r="P539" s="31">
        <f>VLOOKUP($B539,Hitters!$A1:$R401,7,FALSE)</f>
        <v>25.89222222222222</v>
      </c>
      <c r="Q539" s="31">
        <f>VLOOKUP($B539,Hitters!$A1:$R401,8,FALSE)</f>
        <v>11.646666666666667</v>
      </c>
      <c r="R539" s="33">
        <f>VLOOKUP($B539,Hitters!$A$1:$R$401,14,FALSE)</f>
        <v>0.23733463553227377</v>
      </c>
      <c r="S539" s="33">
        <f>VLOOKUP($B539,Hitters!$A$1:$R$401,15,FALSE)</f>
        <v>0.30093533392519473</v>
      </c>
      <c r="T539" s="31">
        <f>VLOOKUP($B539,Hitters!$A$1:$R$401,9,FALSE)</f>
        <v>59.402222222222214</v>
      </c>
      <c r="U539" s="31">
        <f>VLOOKUP($B539,Hitters!$A$1:$R$401,10,FALSE)</f>
        <v>11.614444444444445</v>
      </c>
      <c r="V539" s="31">
        <f>VLOOKUP($B539,Hitters!$A$1:$R$401,11,FALSE)</f>
        <v>2.4477777777777781</v>
      </c>
      <c r="W539" s="31">
        <f>VLOOKUP($B539,Hitters!$A$1:$R$401,12,FALSE)</f>
        <v>18.66888888888889</v>
      </c>
      <c r="X539" s="31">
        <f>VLOOKUP($B539,Hitters!$A$1:$R$401,13,FALSE)</f>
        <v>64.428333333333327</v>
      </c>
      <c r="Y539" s="33">
        <f>VLOOKUP($B539,Hitters!$A$1:$R$401,16,FALSE)</f>
        <v>0.36199058865311196</v>
      </c>
      <c r="Z539" s="33">
        <f>VLOOKUP($B539,Hitters!$A$1:$R$401,17,FALSE)</f>
        <v>0.66292592257830663</v>
      </c>
      <c r="AA539" s="31">
        <f>VLOOKUP($B539,Hitters!$A1:$R401,18,FALSE)</f>
        <v>0</v>
      </c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</row>
    <row r="540" spans="1:44" ht="18.600000000000001" customHeight="1">
      <c r="A540" s="25">
        <f ca="1">RANK(I540,I$2:I$651)</f>
        <v>539</v>
      </c>
      <c r="B540" s="26" t="s">
        <v>682</v>
      </c>
      <c r="C540" s="27" t="s">
        <v>156</v>
      </c>
      <c r="D540" s="27" t="s">
        <v>69</v>
      </c>
      <c r="E540" s="28" t="s">
        <v>23</v>
      </c>
      <c r="F540" s="29">
        <f ca="1">VLOOKUP(B540,OF!A1:I139,IF(Settings!$J$13="points",4,7),FALSE)</f>
        <v>115</v>
      </c>
      <c r="G540" s="30">
        <f>(M540*Settings!$B$2)+(N540*Settings!$B$3)+(O540*Settings!$B$4)+(P540*Settings!$B$5)+(Q540*Settings!$B$6)+((T540-U540-V540-O540)*Settings!$B$9)+(U540*Settings!$B$10)+(V540*Settings!$B$11)+(W540*Settings!$B$12)+(X540*Settings!$B$13)+(AA540*Settings!$B$16)</f>
        <v>191.42333333333332</v>
      </c>
      <c r="H540" s="31">
        <f>VLOOKUP(B540,'Standard Deviations'!$A1:$D651,4,FALSE)</f>
        <v>-3.128789144403143</v>
      </c>
      <c r="I540" s="32">
        <f ca="1">VLOOKUP(B540,OF!A1:I139,IF(Settings!$J$13="points",6,9),FALSE)</f>
        <v>-2.9718603771930252</v>
      </c>
      <c r="J540" s="31"/>
      <c r="K540" s="31">
        <f ca="1">J540-A540</f>
        <v>-539</v>
      </c>
      <c r="L540" s="31"/>
      <c r="M540" s="31">
        <f>VLOOKUP($B540,Hitters!$A1:$R401,4,FALSE)</f>
        <v>342.93333333333334</v>
      </c>
      <c r="N540" s="31">
        <f>VLOOKUP($B540,Hitters!$A1:$R401,5,FALSE)</f>
        <v>40.886666666666663</v>
      </c>
      <c r="O540" s="31">
        <f>VLOOKUP($B540,Hitters!$A1:$R401,6,FALSE)</f>
        <v>10.43</v>
      </c>
      <c r="P540" s="31">
        <f>VLOOKUP($B540,Hitters!$A1:$R401,7,FALSE)</f>
        <v>40.98</v>
      </c>
      <c r="Q540" s="31">
        <f>VLOOKUP($B540,Hitters!$A1:$R401,8,FALSE)</f>
        <v>1.4800000000000002</v>
      </c>
      <c r="R540" s="33">
        <f>VLOOKUP($B540,Hitters!$A$1:$R$401,14,FALSE)</f>
        <v>0.22752721617418353</v>
      </c>
      <c r="S540" s="33">
        <f>VLOOKUP($B540,Hitters!$A$1:$R$401,15,FALSE)</f>
        <v>0.31011536775693738</v>
      </c>
      <c r="T540" s="31">
        <f>VLOOKUP($B540,Hitters!$A$1:$R$401,9,FALSE)</f>
        <v>78.026666666666671</v>
      </c>
      <c r="U540" s="31">
        <f>VLOOKUP($B540,Hitters!$A$1:$R$401,10,FALSE)</f>
        <v>16.64</v>
      </c>
      <c r="V540" s="31">
        <f>VLOOKUP($B540,Hitters!$A$1:$R$401,11,FALSE)</f>
        <v>6.6666666666666654E-3</v>
      </c>
      <c r="W540" s="31">
        <f>VLOOKUP($B540,Hitters!$A$1:$R$401,12,FALSE)</f>
        <v>35.563333333333333</v>
      </c>
      <c r="X540" s="31">
        <f>VLOOKUP($B540,Hitters!$A$1:$R$401,13,FALSE)</f>
        <v>109.87333333333333</v>
      </c>
      <c r="Y540" s="33">
        <f>VLOOKUP($B540,Hitters!$A$1:$R$401,16,FALSE)</f>
        <v>0.36733087091757388</v>
      </c>
      <c r="Z540" s="33">
        <f>VLOOKUP($B540,Hitters!$A$1:$R$401,17,FALSE)</f>
        <v>0.67744623867451126</v>
      </c>
      <c r="AA540" s="31">
        <f>VLOOKUP($B540,Hitters!$A1:$R401,18,FALSE)</f>
        <v>0</v>
      </c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</row>
    <row r="541" spans="1:44" ht="20.100000000000001" customHeight="1">
      <c r="A541" s="25">
        <f ca="1">RANK(I541,I$2:I$651)</f>
        <v>540</v>
      </c>
      <c r="B541" s="26" t="s">
        <v>590</v>
      </c>
      <c r="C541" s="27" t="s">
        <v>137</v>
      </c>
      <c r="D541" s="27" t="s">
        <v>74</v>
      </c>
      <c r="E541" s="46" t="s">
        <v>19</v>
      </c>
      <c r="F541" s="47">
        <f ca="1">VLOOKUP(B541,'C'!A1:I54,IF(Settings!$J$13="points",4,7),FALSE)</f>
        <v>31</v>
      </c>
      <c r="G541" s="30">
        <f>(M541*Settings!$B$2)+(N541*Settings!$B$3)+(O541*Settings!$B$4)+(P541*Settings!$B$5)+(Q541*Settings!$B$6)+((T541-U541-V541-O541)*Settings!$B$9)+(U541*Settings!$B$10)+(V541*Settings!$B$11)+(W541*Settings!$B$12)+(X541*Settings!$B$13)+(AA541*Settings!$B$16)</f>
        <v>128.60000000000002</v>
      </c>
      <c r="H541" s="31">
        <f>VLOOKUP(B541,'Standard Deviations'!$A1:$D651,4,FALSE)</f>
        <v>-3.7653734592661663</v>
      </c>
      <c r="I541" s="32">
        <f ca="1">VLOOKUP(B541,'C'!A1:I54,IF(Settings!$J$13="points",6,9),FALSE)</f>
        <v>-2.9788484768826793</v>
      </c>
      <c r="J541" s="31"/>
      <c r="K541" s="31">
        <f ca="1">J541-A541</f>
        <v>-540</v>
      </c>
      <c r="L541" s="31"/>
      <c r="M541" s="31">
        <f>VLOOKUP($B541,Hitters!$A1:$R401,4,FALSE)</f>
        <v>198.10833333333335</v>
      </c>
      <c r="N541" s="31">
        <f>VLOOKUP($B541,Hitters!$A1:$R401,5,FALSE)</f>
        <v>24.86</v>
      </c>
      <c r="O541" s="31">
        <f>VLOOKUP($B541,Hitters!$A1:$R401,6,FALSE)</f>
        <v>6.05</v>
      </c>
      <c r="P541" s="31">
        <f>VLOOKUP($B541,Hitters!$A1:$R401,7,FALSE)</f>
        <v>24.858333333333334</v>
      </c>
      <c r="Q541" s="31">
        <f>VLOOKUP($B541,Hitters!$A1:$R401,8,FALSE)</f>
        <v>1.02</v>
      </c>
      <c r="R541" s="33">
        <f>VLOOKUP($B541,Hitters!$A$1:$R$401,14,FALSE)</f>
        <v>0.25527278845749379</v>
      </c>
      <c r="S541" s="33">
        <f>VLOOKUP($B541,Hitters!$A$1:$R$401,15,FALSE)</f>
        <v>0.32258692556615004</v>
      </c>
      <c r="T541" s="31">
        <f>VLOOKUP($B541,Hitters!$A$1:$R$401,9,FALSE)</f>
        <v>50.571666666666665</v>
      </c>
      <c r="U541" s="31">
        <f>VLOOKUP($B541,Hitters!$A$1:$R$401,10,FALSE)</f>
        <v>12.891666666666666</v>
      </c>
      <c r="V541" s="31">
        <f>VLOOKUP($B541,Hitters!$A$1:$R$401,11,FALSE)</f>
        <v>0.995</v>
      </c>
      <c r="W541" s="31">
        <f>VLOOKUP($B541,Hitters!$A$1:$R$401,12,FALSE)</f>
        <v>16.62</v>
      </c>
      <c r="X541" s="31">
        <f>VLOOKUP($B541,Hitters!$A$1:$R$401,13,FALSE)</f>
        <v>46.763333333333328</v>
      </c>
      <c r="Y541" s="33">
        <f>VLOOKUP($B541,Hitters!$A$1:$R$401,16,FALSE)</f>
        <v>0.42200816051823498</v>
      </c>
      <c r="Z541" s="33">
        <f>VLOOKUP($B541,Hitters!$A$1:$R$401,17,FALSE)</f>
        <v>0.74459508608438507</v>
      </c>
      <c r="AA541" s="31">
        <f>VLOOKUP($B541,Hitters!$A1:$R401,18,FALSE)</f>
        <v>0</v>
      </c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</row>
    <row r="542" spans="1:44" ht="18.600000000000001" customHeight="1">
      <c r="A542" s="25">
        <f ca="1">RANK(I542,I$2:I$651)</f>
        <v>541</v>
      </c>
      <c r="B542" s="26" t="s">
        <v>547</v>
      </c>
      <c r="C542" s="27" t="s">
        <v>117</v>
      </c>
      <c r="D542" s="27" t="s">
        <v>69</v>
      </c>
      <c r="E542" s="36" t="s">
        <v>31</v>
      </c>
      <c r="F542" s="37">
        <f ca="1">VLOOKUP(B542,SP!A1:I161,IF(Settings!$J$13="points",4,7),FALSE)</f>
        <v>149</v>
      </c>
      <c r="G542" s="30">
        <f>(AC542*Settings!$F$2)+(AF542*Settings!$F$5)+(AG542*Settings!$F$6)+(AH542*Settings!$F$7)+(AI542*Settings!$F$8)+(AJ542*Settings!$F$9)+(AK542*Settings!$F$10)+(AL542*Settings!$F$11)+(AM542*Settings!$F$12)+(AN542*Settings!$F$13)+(AO542*Settings!$F$14)+(AP542*Settings!$F$15)+(AQ542*Settings!$F$16)+(AR542*Settings!$F$17)</f>
        <v>229.06213333333335</v>
      </c>
      <c r="H542" s="31">
        <f>VLOOKUP(B542,'Standard Deviations'!$A1:$D651,4,FALSE)</f>
        <v>-3.8620425361043949</v>
      </c>
      <c r="I542" s="32">
        <f ca="1">IF(Settings!$J$16="no",VLOOKUP(B542,SP!A1:I161,IF(Settings!$J$13="points",6,9),FALSE),VLOOKUP(B542,'SP+RP'!$A1:$I251,IF(Settings!$J$13="points",6,9),FALSE))</f>
        <v>-2.9944652260265707</v>
      </c>
      <c r="J542" s="31"/>
      <c r="K542" s="31">
        <f ca="1">J542-A542</f>
        <v>-541</v>
      </c>
      <c r="L542" s="31"/>
      <c r="M542" s="31"/>
      <c r="N542" s="31"/>
      <c r="O542" s="31"/>
      <c r="P542" s="31"/>
      <c r="Q542" s="31"/>
      <c r="R542" s="33"/>
      <c r="S542" s="33"/>
      <c r="T542" s="31"/>
      <c r="U542" s="31"/>
      <c r="V542" s="31"/>
      <c r="W542" s="31"/>
      <c r="X542" s="31"/>
      <c r="Y542" s="33"/>
      <c r="Z542" s="33"/>
      <c r="AA542" s="31"/>
      <c r="AB542" s="31"/>
      <c r="AC542" s="31">
        <f>VLOOKUP($B542,Pitchers!$A1:$S251,4,FALSE)</f>
        <v>130.49555555555557</v>
      </c>
      <c r="AD542" s="33">
        <f>VLOOKUP($B542,Pitchers!$A1:$S251,5,FALSE)</f>
        <v>4.4482802309146328</v>
      </c>
      <c r="AE542" s="33">
        <f>VLOOKUP($B542,Pitchers!$A1:$S251,6,FALSE)</f>
        <v>1.3210667029954191</v>
      </c>
      <c r="AF542" s="31">
        <f>VLOOKUP($B542,Pitchers!$A1:$S251,7,FALSE)</f>
        <v>80.293333333333337</v>
      </c>
      <c r="AG542" s="31">
        <f>VLOOKUP($B542,Pitchers!$A1:$S251,8,FALSE)</f>
        <v>6.4988888888888887</v>
      </c>
      <c r="AH542" s="31">
        <f>VLOOKUP($B542,Pitchers!$A1:$S251,9,FALSE)</f>
        <v>0</v>
      </c>
      <c r="AI542" s="31">
        <f>VLOOKUP($B542,Pitchers!$A1:$S251,10,FALSE)</f>
        <v>64.497866666666667</v>
      </c>
      <c r="AJ542" s="31">
        <f>VLOOKUP($B542,Pitchers!$A1:$S251,11,FALSE)</f>
        <v>143.23111111111112</v>
      </c>
      <c r="AK542" s="31">
        <f>VLOOKUP($B542,Pitchers!$A1:$S251,12,FALSE)</f>
        <v>29.162222222222223</v>
      </c>
      <c r="AL542" s="31">
        <f>VLOOKUP($B542,Pitchers!$A1:$S251,13,FALSE)</f>
        <v>17.366666666666667</v>
      </c>
      <c r="AM542" s="31">
        <f>VLOOKUP($B542,Pitchers!$A1:$S251,14,FALSE)</f>
        <v>23.591111111111115</v>
      </c>
      <c r="AN542" s="31">
        <f>VLOOKUP($B542,Pitchers!$A1:$S251,15,FALSE)</f>
        <v>23.591111111111115</v>
      </c>
      <c r="AO542" s="31">
        <f>VLOOKUP($B542,Pitchers!$A1:$S251,16,FALSE)</f>
        <v>8.2344444444444438</v>
      </c>
      <c r="AP542" s="31">
        <f>VLOOKUP($B542,Pitchers!$A1:$S251,17,FALSE)</f>
        <v>10</v>
      </c>
      <c r="AQ542" s="31">
        <f>VLOOKUP($B542,Pitchers!$A1:$S251,18,FALSE)</f>
        <v>0</v>
      </c>
      <c r="AR542" s="31">
        <f>VLOOKUP($B542,Pitchers!$A1:$S251,19,FALSE)</f>
        <v>0</v>
      </c>
    </row>
    <row r="543" spans="1:44" ht="18.600000000000001" customHeight="1">
      <c r="A543" s="25">
        <f ca="1">RANK(I543,I$2:I$651)</f>
        <v>542</v>
      </c>
      <c r="B543" s="26" t="s">
        <v>691</v>
      </c>
      <c r="C543" s="27" t="s">
        <v>73</v>
      </c>
      <c r="D543" s="27" t="s">
        <v>74</v>
      </c>
      <c r="E543" s="48" t="s">
        <v>11</v>
      </c>
      <c r="F543" s="49">
        <f ca="1">VLOOKUP(B543,'2B'!A1:I50,IF(Settings!$J$13="points",4,7),FALSE)</f>
        <v>40</v>
      </c>
      <c r="G543" s="30">
        <f>(M543*Settings!$B$2)+(N543*Settings!$B$3)+(O543*Settings!$B$4)+(P543*Settings!$B$5)+(Q543*Settings!$B$6)+((T543-U543-V543-O543)*Settings!$B$9)+(U543*Settings!$B$10)+(V543*Settings!$B$11)+(W543*Settings!$B$12)+(X543*Settings!$B$13)+(AA543*Settings!$B$16)</f>
        <v>165.5888888888889</v>
      </c>
      <c r="H543" s="31">
        <f>VLOOKUP(B543,'Standard Deviations'!$A1:$D651,4,FALSE)</f>
        <v>-3.0129091653439564</v>
      </c>
      <c r="I543" s="32">
        <f ca="1">IF(Settings!$J$16="no",VLOOKUP(B543,'2B'!A1:I50,IF(Settings!$J$13="points",6,9),FALSE),VLOOKUP(B543,'2B+SS'!$A1:$I94,IF(Settings!$J$13="points",6,9),FALSE))</f>
        <v>-3.0189468521580984</v>
      </c>
      <c r="J543" s="31"/>
      <c r="K543" s="31">
        <f ca="1">J543-A543</f>
        <v>-542</v>
      </c>
      <c r="L543" s="31"/>
      <c r="M543" s="31">
        <f>VLOOKUP($B543,Hitters!$A1:$R401,4,FALSE)</f>
        <v>256.13333333333338</v>
      </c>
      <c r="N543" s="31">
        <f>VLOOKUP($B543,Hitters!$A1:$R401,5,FALSE)</f>
        <v>32.995000000000005</v>
      </c>
      <c r="O543" s="31">
        <f>VLOOKUP($B543,Hitters!$A1:$R401,6,FALSE)</f>
        <v>8.6477777777777778</v>
      </c>
      <c r="P543" s="31">
        <f>VLOOKUP($B543,Hitters!$A1:$R401,7,FALSE)</f>
        <v>32.817777777777778</v>
      </c>
      <c r="Q543" s="31">
        <f>VLOOKUP($B543,Hitters!$A1:$R401,8,FALSE)</f>
        <v>2.085</v>
      </c>
      <c r="R543" s="33">
        <f>VLOOKUP($B543,Hitters!$A$1:$R$401,14,FALSE)</f>
        <v>0.24644065590838102</v>
      </c>
      <c r="S543" s="33">
        <f>VLOOKUP($B543,Hitters!$A$1:$R$401,15,FALSE)</f>
        <v>0.31680014896072306</v>
      </c>
      <c r="T543" s="31">
        <f>VLOOKUP($B543,Hitters!$A$1:$R$401,9,FALSE)</f>
        <v>63.12166666666667</v>
      </c>
      <c r="U543" s="31">
        <f>VLOOKUP($B543,Hitters!$A$1:$R$401,10,FALSE)</f>
        <v>11.163333333333334</v>
      </c>
      <c r="V543" s="31">
        <f>VLOOKUP($B543,Hitters!$A$1:$R$401,11,FALSE)</f>
        <v>2.5000000000000005E-2</v>
      </c>
      <c r="W543" s="31">
        <f>VLOOKUP($B543,Hitters!$A$1:$R$401,12,FALSE)</f>
        <v>22.349999999999998</v>
      </c>
      <c r="X543" s="31">
        <f>VLOOKUP($B543,Hitters!$A$1:$R$401,13,FALSE)</f>
        <v>54.044444444444444</v>
      </c>
      <c r="Y543" s="33">
        <f>VLOOKUP($B543,Hitters!$A$1:$R$401,16,FALSE)</f>
        <v>0.3915083289953149</v>
      </c>
      <c r="Z543" s="33">
        <f>VLOOKUP($B543,Hitters!$A$1:$R$401,17,FALSE)</f>
        <v>0.70830847795603802</v>
      </c>
      <c r="AA543" s="31">
        <f>VLOOKUP($B543,Hitters!$A1:$R401,18,FALSE)</f>
        <v>0</v>
      </c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</row>
    <row r="544" spans="1:44" ht="18.600000000000001" customHeight="1">
      <c r="A544" s="25">
        <f ca="1">RANK(I544,I$2:I$651)</f>
        <v>543</v>
      </c>
      <c r="B544" s="26" t="s">
        <v>591</v>
      </c>
      <c r="C544" s="27" t="s">
        <v>158</v>
      </c>
      <c r="D544" s="27" t="s">
        <v>74</v>
      </c>
      <c r="E544" s="34" t="s">
        <v>15</v>
      </c>
      <c r="F544" s="35">
        <f ca="1">VLOOKUP(B544,'3B'!A1:I55,IF(Settings!$J$13="points",4,7),FALSE)</f>
        <v>40</v>
      </c>
      <c r="G544" s="30">
        <f>(M544*Settings!$B$2)+(N544*Settings!$B$3)+(O544*Settings!$B$4)+(P544*Settings!$B$5)+(Q544*Settings!$B$6)+((T544-U544-V544-O544)*Settings!$B$9)+(U544*Settings!$B$10)+(V544*Settings!$B$11)+(W544*Settings!$B$12)+(X544*Settings!$B$13)+(AA544*Settings!$B$16)</f>
        <v>194.19805555555556</v>
      </c>
      <c r="H544" s="31">
        <f>VLOOKUP(B544,'Standard Deviations'!$A1:$D651,4,FALSE)</f>
        <v>-2.7970381336057462</v>
      </c>
      <c r="I544" s="32">
        <f ca="1">IF(Settings!$J$15="no",VLOOKUP(B544,'3B'!A1:I55,IF(Settings!$J$13="points",6,9),FALSE),VLOOKUP(B544,'1B+3B'!$A1:$I104,IF(Settings!$J$13="points",6,9),FALSE))</f>
        <v>-3.022513476372314</v>
      </c>
      <c r="J544" s="31"/>
      <c r="K544" s="31">
        <f ca="1">J544-A544</f>
        <v>-543</v>
      </c>
      <c r="L544" s="31"/>
      <c r="M544" s="31">
        <f>VLOOKUP($B544,Hitters!$A1:$R401,4,FALSE)</f>
        <v>306.75555555555553</v>
      </c>
      <c r="N544" s="31">
        <f>VLOOKUP($B544,Hitters!$A1:$R401,5,FALSE)</f>
        <v>41.318888888888885</v>
      </c>
      <c r="O544" s="31">
        <f>VLOOKUP($B544,Hitters!$A1:$R401,6,FALSE)</f>
        <v>16.588888888888889</v>
      </c>
      <c r="P544" s="31">
        <f>VLOOKUP($B544,Hitters!$A1:$R401,7,FALSE)</f>
        <v>44.122222222222227</v>
      </c>
      <c r="Q544" s="31">
        <f>VLOOKUP($B544,Hitters!$A1:$R401,8,FALSE)</f>
        <v>4.78</v>
      </c>
      <c r="R544" s="33">
        <f>VLOOKUP($B544,Hitters!$A$1:$R$401,14,FALSE)</f>
        <v>0.20694001738626486</v>
      </c>
      <c r="S544" s="33">
        <f>VLOOKUP($B544,Hitters!$A$1:$R$401,15,FALSE)</f>
        <v>0.29271641870052678</v>
      </c>
      <c r="T544" s="31">
        <f>VLOOKUP($B544,Hitters!$A$1:$R$401,9,FALSE)</f>
        <v>63.48</v>
      </c>
      <c r="U544" s="31">
        <f>VLOOKUP($B544,Hitters!$A$1:$R$401,10,FALSE)</f>
        <v>13.565555555555555</v>
      </c>
      <c r="V544" s="31">
        <f>VLOOKUP($B544,Hitters!$A$1:$R$401,11,FALSE)</f>
        <v>3.3333333333333327E-3</v>
      </c>
      <c r="W544" s="31">
        <f>VLOOKUP($B544,Hitters!$A$1:$R$401,12,FALSE)</f>
        <v>32.072222222222223</v>
      </c>
      <c r="X544" s="31">
        <f>VLOOKUP($B544,Hitters!$A$1:$R$401,13,FALSE)</f>
        <v>119.38833333333334</v>
      </c>
      <c r="Y544" s="33">
        <f>VLOOKUP($B544,Hitters!$A$1:$R$401,16,FALSE)</f>
        <v>0.41342002318168652</v>
      </c>
      <c r="Z544" s="33">
        <f>VLOOKUP($B544,Hitters!$A$1:$R$401,17,FALSE)</f>
        <v>0.70613644188221336</v>
      </c>
      <c r="AA544" s="31">
        <f>VLOOKUP($B544,Hitters!$A1:$R401,18,FALSE)</f>
        <v>0</v>
      </c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</row>
    <row r="545" spans="1:44" ht="18.600000000000001" customHeight="1">
      <c r="A545" s="25">
        <f ca="1">RANK(I545,I$2:I$651)</f>
        <v>544</v>
      </c>
      <c r="B545" s="26" t="s">
        <v>602</v>
      </c>
      <c r="C545" s="27" t="s">
        <v>306</v>
      </c>
      <c r="D545" s="27" t="s">
        <v>74</v>
      </c>
      <c r="E545" s="28" t="s">
        <v>23</v>
      </c>
      <c r="F545" s="29">
        <f ca="1">VLOOKUP(B545,OF!A1:I139,IF(Settings!$J$13="points",4,7),FALSE)</f>
        <v>116</v>
      </c>
      <c r="G545" s="30">
        <f>(M545*Settings!$B$2)+(N545*Settings!$B$3)+(O545*Settings!$B$4)+(P545*Settings!$B$5)+(Q545*Settings!$B$6)+((T545-U545-V545-O545)*Settings!$B$9)+(U545*Settings!$B$10)+(V545*Settings!$B$11)+(W545*Settings!$B$12)+(X545*Settings!$B$13)+(AA545*Settings!$B$16)</f>
        <v>174.29194444444443</v>
      </c>
      <c r="H545" s="31">
        <f>VLOOKUP(B545,'Standard Deviations'!$A1:$D651,4,FALSE)</f>
        <v>-3.2049988533049807</v>
      </c>
      <c r="I545" s="32">
        <f ca="1">VLOOKUP(B545,OF!A1:I139,IF(Settings!$J$13="points",6,9),FALSE)</f>
        <v>-3.0480634489601819</v>
      </c>
      <c r="J545" s="31"/>
      <c r="K545" s="31">
        <f ca="1">J545-A545</f>
        <v>-544</v>
      </c>
      <c r="L545" s="31"/>
      <c r="M545" s="31">
        <f>VLOOKUP($B545,Hitters!$A1:$R401,4,FALSE)</f>
        <v>262.82222222222225</v>
      </c>
      <c r="N545" s="31">
        <f>VLOOKUP($B545,Hitters!$A1:$R401,5,FALSE)</f>
        <v>34.873333333333335</v>
      </c>
      <c r="O545" s="31">
        <f>VLOOKUP($B545,Hitters!$A1:$R401,6,FALSE)</f>
        <v>8.0016666666666669</v>
      </c>
      <c r="P545" s="31">
        <f>VLOOKUP($B545,Hitters!$A1:$R401,7,FALSE)</f>
        <v>31.105555555555554</v>
      </c>
      <c r="Q545" s="31">
        <f>VLOOKUP($B545,Hitters!$A1:$R401,8,FALSE)</f>
        <v>5.8322222222222218</v>
      </c>
      <c r="R545" s="33">
        <f>VLOOKUP($B545,Hitters!$A$1:$R$401,14,FALSE)</f>
        <v>0.23393929145176287</v>
      </c>
      <c r="S545" s="33">
        <f>VLOOKUP($B545,Hitters!$A$1:$R$401,15,FALSE)</f>
        <v>0.31888846111156083</v>
      </c>
      <c r="T545" s="31">
        <f>VLOOKUP($B545,Hitters!$A$1:$R$401,9,FALSE)</f>
        <v>61.484444444444442</v>
      </c>
      <c r="U545" s="31">
        <f>VLOOKUP($B545,Hitters!$A$1:$R$401,10,FALSE)</f>
        <v>12.75</v>
      </c>
      <c r="V545" s="31">
        <f>VLOOKUP($B545,Hitters!$A$1:$R$401,11,FALSE)</f>
        <v>1</v>
      </c>
      <c r="W545" s="31">
        <f>VLOOKUP($B545,Hitters!$A$1:$R$401,12,FALSE)</f>
        <v>28.67</v>
      </c>
      <c r="X545" s="31">
        <f>VLOOKUP($B545,Hitters!$A$1:$R$401,13,FALSE)</f>
        <v>64.521666666666675</v>
      </c>
      <c r="Y545" s="33">
        <f>VLOOKUP($B545,Hitters!$A$1:$R$401,16,FALSE)</f>
        <v>0.38139638116174851</v>
      </c>
      <c r="Z545" s="33">
        <f>VLOOKUP($B545,Hitters!$A$1:$R$401,17,FALSE)</f>
        <v>0.70028484227330934</v>
      </c>
      <c r="AA545" s="31">
        <f>VLOOKUP($B545,Hitters!$A1:$R401,18,FALSE)</f>
        <v>0</v>
      </c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</row>
    <row r="546" spans="1:44" ht="18.600000000000001" customHeight="1">
      <c r="A546" s="25">
        <f ca="1">RANK(I546,I$2:I$651)</f>
        <v>545</v>
      </c>
      <c r="B546" s="26" t="s">
        <v>613</v>
      </c>
      <c r="C546" s="27" t="s">
        <v>101</v>
      </c>
      <c r="D546" s="27" t="s">
        <v>69</v>
      </c>
      <c r="E546" s="46" t="s">
        <v>19</v>
      </c>
      <c r="F546" s="47">
        <f ca="1">VLOOKUP(B546,'C'!A1:I54,IF(Settings!$J$13="points",4,7),FALSE)</f>
        <v>32</v>
      </c>
      <c r="G546" s="30">
        <f>(M546*Settings!$B$2)+(N546*Settings!$B$3)+(O546*Settings!$B$4)+(P546*Settings!$B$5)+(Q546*Settings!$B$6)+((T546-U546-V546-O546)*Settings!$B$9)+(U546*Settings!$B$10)+(V546*Settings!$B$11)+(W546*Settings!$B$12)+(X546*Settings!$B$13)+(AA546*Settings!$B$16)</f>
        <v>154.1827777777778</v>
      </c>
      <c r="H546" s="31">
        <f>VLOOKUP(B546,'Standard Deviations'!$A1:$D651,4,FALSE)</f>
        <v>-3.8782973883542522</v>
      </c>
      <c r="I546" s="32">
        <f ca="1">VLOOKUP(B546,'C'!A1:I54,IF(Settings!$J$13="points",6,9),FALSE)</f>
        <v>-3.0917718624943173</v>
      </c>
      <c r="J546" s="31"/>
      <c r="K546" s="31">
        <f ca="1">J546-A546</f>
        <v>-545</v>
      </c>
      <c r="L546" s="31"/>
      <c r="M546" s="31">
        <f>VLOOKUP($B546,Hitters!$A1:$R401,4,FALSE)</f>
        <v>281.37777777777779</v>
      </c>
      <c r="N546" s="31">
        <f>VLOOKUP($B546,Hitters!$A1:$R401,5,FALSE)</f>
        <v>30.437777777777779</v>
      </c>
      <c r="O546" s="31">
        <f>VLOOKUP($B546,Hitters!$A1:$R401,6,FALSE)</f>
        <v>6.9911111111111106</v>
      </c>
      <c r="P546" s="31">
        <f>VLOOKUP($B546,Hitters!$A1:$R401,7,FALSE)</f>
        <v>32.853333333333332</v>
      </c>
      <c r="Q546" s="31">
        <f>VLOOKUP($B546,Hitters!$A1:$R401,8,FALSE)</f>
        <v>0.81</v>
      </c>
      <c r="R546" s="33">
        <f>VLOOKUP($B546,Hitters!$A$1:$R$401,14,FALSE)</f>
        <v>0.23952772073921968</v>
      </c>
      <c r="S546" s="33">
        <f>VLOOKUP($B546,Hitters!$A$1:$R$401,15,FALSE)</f>
        <v>0.2861896682362442</v>
      </c>
      <c r="T546" s="31">
        <f>VLOOKUP($B546,Hitters!$A$1:$R$401,9,FALSE)</f>
        <v>67.397777777777776</v>
      </c>
      <c r="U546" s="31">
        <f>VLOOKUP($B546,Hitters!$A$1:$R$401,10,FALSE)</f>
        <v>16.234444444444446</v>
      </c>
      <c r="V546" s="31">
        <f>VLOOKUP($B546,Hitters!$A$1:$R$401,11,FALSE)</f>
        <v>0.99777777777777776</v>
      </c>
      <c r="W546" s="31">
        <f>VLOOKUP($B546,Hitters!$A$1:$R$401,12,FALSE)</f>
        <v>13.615555555555554</v>
      </c>
      <c r="X546" s="31">
        <f>VLOOKUP($B546,Hitters!$A$1:$R$401,13,FALSE)</f>
        <v>61.890000000000008</v>
      </c>
      <c r="Y546" s="33">
        <f>VLOOKUP($B546,Hitters!$A$1:$R$401,16,FALSE)</f>
        <v>0.37885405149265516</v>
      </c>
      <c r="Z546" s="33">
        <f>VLOOKUP($B546,Hitters!$A$1:$R$401,17,FALSE)</f>
        <v>0.66504371972889942</v>
      </c>
      <c r="AA546" s="31">
        <f>VLOOKUP($B546,Hitters!$A1:$R401,18,FALSE)</f>
        <v>0</v>
      </c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</row>
    <row r="547" spans="1:44" ht="18.600000000000001" customHeight="1">
      <c r="A547" s="25">
        <f ca="1">RANK(I547,I$2:I$651)</f>
        <v>546</v>
      </c>
      <c r="B547" s="26" t="s">
        <v>654</v>
      </c>
      <c r="C547" s="27" t="s">
        <v>101</v>
      </c>
      <c r="D547" s="27" t="s">
        <v>69</v>
      </c>
      <c r="E547" s="28" t="s">
        <v>23</v>
      </c>
      <c r="F547" s="29">
        <f ca="1">VLOOKUP(B547,OF!A1:I139,IF(Settings!$J$13="points",4,7),FALSE)</f>
        <v>117</v>
      </c>
      <c r="G547" s="30">
        <f>(M547*Settings!$B$2)+(N547*Settings!$B$3)+(O547*Settings!$B$4)+(P547*Settings!$B$5)+(Q547*Settings!$B$6)+((T547-U547-V547-O547)*Settings!$B$9)+(U547*Settings!$B$10)+(V547*Settings!$B$11)+(W547*Settings!$B$12)+(X547*Settings!$B$13)+(AA547*Settings!$B$16)</f>
        <v>163.21444444444444</v>
      </c>
      <c r="H547" s="31">
        <f>VLOOKUP(B547,'Standard Deviations'!$A1:$D651,4,FALSE)</f>
        <v>-3.2491728115462148</v>
      </c>
      <c r="I547" s="32">
        <f ca="1">VLOOKUP(B547,OF!A1:I139,IF(Settings!$J$13="points",6,9),FALSE)</f>
        <v>-3.0922421047618589</v>
      </c>
      <c r="J547" s="31"/>
      <c r="K547" s="31">
        <f ca="1">J547-A547</f>
        <v>-546</v>
      </c>
      <c r="L547" s="31"/>
      <c r="M547" s="31">
        <f>VLOOKUP($B547,Hitters!$A1:$R401,4,FALSE)</f>
        <v>271.84444444444443</v>
      </c>
      <c r="N547" s="31">
        <f>VLOOKUP($B547,Hitters!$A1:$R401,5,FALSE)</f>
        <v>33.723333333333336</v>
      </c>
      <c r="O547" s="31">
        <f>VLOOKUP($B547,Hitters!$A1:$R401,6,FALSE)</f>
        <v>7.3944444444444448</v>
      </c>
      <c r="P547" s="31">
        <f>VLOOKUP($B547,Hitters!$A1:$R401,7,FALSE)</f>
        <v>31.864444444444445</v>
      </c>
      <c r="Q547" s="31">
        <f>VLOOKUP($B547,Hitters!$A1:$R401,8,FALSE)</f>
        <v>9.2077777777777783</v>
      </c>
      <c r="R547" s="33">
        <f>VLOOKUP($B547,Hitters!$A$1:$R$401,14,FALSE)</f>
        <v>0.22567236164473151</v>
      </c>
      <c r="S547" s="33">
        <f>VLOOKUP($B547,Hitters!$A$1:$R$401,15,FALSE)</f>
        <v>0.30672438130904606</v>
      </c>
      <c r="T547" s="31">
        <f>VLOOKUP($B547,Hitters!$A$1:$R$401,9,FALSE)</f>
        <v>61.347777777777786</v>
      </c>
      <c r="U547" s="31">
        <f>VLOOKUP($B547,Hitters!$A$1:$R$401,10,FALSE)</f>
        <v>15.081111111111111</v>
      </c>
      <c r="V547" s="31">
        <f>VLOOKUP($B547,Hitters!$A$1:$R$401,11,FALSE)</f>
        <v>1.3355555555555556</v>
      </c>
      <c r="W547" s="31">
        <f>VLOOKUP($B547,Hitters!$A$1:$R$401,12,FALSE)</f>
        <v>27.391111111111112</v>
      </c>
      <c r="X547" s="31">
        <f>VLOOKUP($B547,Hitters!$A$1:$R$401,13,FALSE)</f>
        <v>98.926666666666677</v>
      </c>
      <c r="Y547" s="33">
        <f>VLOOKUP($B547,Hitters!$A$1:$R$401,16,FALSE)</f>
        <v>0.37257827188751735</v>
      </c>
      <c r="Z547" s="33">
        <f>VLOOKUP($B547,Hitters!$A$1:$R$401,17,FALSE)</f>
        <v>0.67930265319656336</v>
      </c>
      <c r="AA547" s="31">
        <f>VLOOKUP($B547,Hitters!$A1:$R401,18,FALSE)</f>
        <v>0</v>
      </c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</row>
    <row r="548" spans="1:44" ht="18.600000000000001" customHeight="1">
      <c r="A548" s="25">
        <f ca="1">RANK(I548,I$2:I$651)</f>
        <v>547</v>
      </c>
      <c r="B548" s="26" t="s">
        <v>638</v>
      </c>
      <c r="C548" s="27" t="s">
        <v>140</v>
      </c>
      <c r="D548" s="27" t="s">
        <v>69</v>
      </c>
      <c r="E548" s="36" t="s">
        <v>31</v>
      </c>
      <c r="F548" s="37">
        <f ca="1">VLOOKUP(B548,SP!A1:I161,IF(Settings!$J$13="points",4,7),FALSE)</f>
        <v>150</v>
      </c>
      <c r="G548" s="30">
        <f>(AC548*Settings!$F$2)+(AF548*Settings!$F$5)+(AG548*Settings!$F$6)+(AH548*Settings!$F$7)+(AI548*Settings!$F$8)+(AJ548*Settings!$F$9)+(AK548*Settings!$F$10)+(AL548*Settings!$F$11)+(AM548*Settings!$F$12)+(AN548*Settings!$F$13)+(AO548*Settings!$F$14)+(AP548*Settings!$F$15)+(AQ548*Settings!$F$16)+(AR548*Settings!$F$17)</f>
        <v>236.39606666666674</v>
      </c>
      <c r="H548" s="31">
        <f>VLOOKUP(B548,'Standard Deviations'!$A1:$D651,4,FALSE)</f>
        <v>-3.9673234681279661</v>
      </c>
      <c r="I548" s="32">
        <f ca="1">IF(Settings!$J$16="no",VLOOKUP(B548,SP!A1:I161,IF(Settings!$J$13="points",6,9),FALSE),VLOOKUP(B548,'SP+RP'!$A1:$I251,IF(Settings!$J$13="points",6,9),FALSE))</f>
        <v>-3.0997394383281387</v>
      </c>
      <c r="J548" s="31"/>
      <c r="K548" s="31">
        <f ca="1">J548-A548</f>
        <v>-547</v>
      </c>
      <c r="L548" s="31"/>
      <c r="M548" s="31"/>
      <c r="N548" s="31"/>
      <c r="O548" s="31"/>
      <c r="P548" s="31"/>
      <c r="Q548" s="31"/>
      <c r="R548" s="33"/>
      <c r="S548" s="33"/>
      <c r="T548" s="31"/>
      <c r="U548" s="31"/>
      <c r="V548" s="31"/>
      <c r="W548" s="31"/>
      <c r="X548" s="31"/>
      <c r="Y548" s="33"/>
      <c r="Z548" s="33"/>
      <c r="AA548" s="31"/>
      <c r="AB548" s="31"/>
      <c r="AC548" s="31">
        <f>VLOOKUP($B548,Pitchers!$A1:$S251,4,FALSE)</f>
        <v>137.61444444444444</v>
      </c>
      <c r="AD548" s="33">
        <f>VLOOKUP($B548,Pitchers!$A1:$S251,5,FALSE)</f>
        <v>4.5483989891242036</v>
      </c>
      <c r="AE548" s="33">
        <f>VLOOKUP($B548,Pitchers!$A1:$S251,6,FALSE)</f>
        <v>1.3563094959346969</v>
      </c>
      <c r="AF548" s="31">
        <f>VLOOKUP($B548,Pitchers!$A1:$S251,7,FALSE)</f>
        <v>111.18444444444445</v>
      </c>
      <c r="AG548" s="31">
        <f>VLOOKUP($B548,Pitchers!$A1:$S251,8,FALSE)</f>
        <v>5.9944444444444445</v>
      </c>
      <c r="AH548" s="31">
        <f>VLOOKUP($B548,Pitchers!$A1:$S251,9,FALSE)</f>
        <v>0</v>
      </c>
      <c r="AI548" s="31">
        <f>VLOOKUP($B548,Pitchers!$A1:$S251,10,FALSE)</f>
        <v>69.547266666666658</v>
      </c>
      <c r="AJ548" s="31">
        <f>VLOOKUP($B548,Pitchers!$A1:$S251,11,FALSE)</f>
        <v>132.77444444444444</v>
      </c>
      <c r="AK548" s="31">
        <f>VLOOKUP($B548,Pitchers!$A1:$S251,12,FALSE)</f>
        <v>53.873333333333335</v>
      </c>
      <c r="AL548" s="31">
        <f>VLOOKUP($B548,Pitchers!$A1:$S251,13,FALSE)</f>
        <v>20.533333333333335</v>
      </c>
      <c r="AM548" s="31">
        <f>VLOOKUP($B548,Pitchers!$A1:$S251,14,FALSE)</f>
        <v>26.198333333333338</v>
      </c>
      <c r="AN548" s="31">
        <f>VLOOKUP($B548,Pitchers!$A1:$S251,15,FALSE)</f>
        <v>25.943333333333332</v>
      </c>
      <c r="AO548" s="31">
        <f>VLOOKUP($B548,Pitchers!$A1:$S251,16,FALSE)</f>
        <v>9.5611111111111118</v>
      </c>
      <c r="AP548" s="31">
        <f>VLOOKUP($B548,Pitchers!$A1:$S251,17,FALSE)</f>
        <v>10</v>
      </c>
      <c r="AQ548" s="31">
        <f>VLOOKUP($B548,Pitchers!$A1:$S251,18,FALSE)</f>
        <v>0</v>
      </c>
      <c r="AR548" s="31">
        <f>VLOOKUP($B548,Pitchers!$A1:$S251,19,FALSE)</f>
        <v>0</v>
      </c>
    </row>
    <row r="549" spans="1:44" ht="18.600000000000001" customHeight="1">
      <c r="A549" s="25">
        <f ca="1">RANK(I549,I$2:I$651)</f>
        <v>548</v>
      </c>
      <c r="B549" s="26" t="s">
        <v>635</v>
      </c>
      <c r="C549" s="27" t="s">
        <v>101</v>
      </c>
      <c r="D549" s="27" t="s">
        <v>69</v>
      </c>
      <c r="E549" s="48" t="s">
        <v>11</v>
      </c>
      <c r="F549" s="49">
        <f ca="1">VLOOKUP(B549,'2B'!A1:I50,IF(Settings!$J$13="points",4,7),FALSE)</f>
        <v>41</v>
      </c>
      <c r="G549" s="30">
        <f>(M549*Settings!$B$2)+(N549*Settings!$B$3)+(O549*Settings!$B$4)+(P549*Settings!$B$5)+(Q549*Settings!$B$6)+((T549-U549-V549-O549)*Settings!$B$9)+(U549*Settings!$B$10)+(V549*Settings!$B$11)+(W549*Settings!$B$12)+(X549*Settings!$B$13)+(AA549*Settings!$B$16)</f>
        <v>163.98166666666665</v>
      </c>
      <c r="H549" s="31">
        <f>VLOOKUP(B549,'Standard Deviations'!$A1:$D651,4,FALSE)</f>
        <v>-3.0993179536426099</v>
      </c>
      <c r="I549" s="32">
        <f ca="1">IF(Settings!$J$16="no",VLOOKUP(B549,'2B'!A1:I50,IF(Settings!$J$13="points",6,9),FALSE),VLOOKUP(B549,'2B+SS'!$A1:$I94,IF(Settings!$J$13="points",6,9),FALSE))</f>
        <v>-3.1053565637655307</v>
      </c>
      <c r="J549" s="31"/>
      <c r="K549" s="31">
        <f ca="1">J549-A549</f>
        <v>-548</v>
      </c>
      <c r="L549" s="31"/>
      <c r="M549" s="31">
        <f>VLOOKUP($B549,Hitters!$A1:$R401,4,FALSE)</f>
        <v>267.9083333333333</v>
      </c>
      <c r="N549" s="31">
        <f>VLOOKUP($B549,Hitters!$A1:$R401,5,FALSE)</f>
        <v>33.377499999999998</v>
      </c>
      <c r="O549" s="31">
        <f>VLOOKUP($B549,Hitters!$A1:$R401,6,FALSE)</f>
        <v>7.5950000000000015</v>
      </c>
      <c r="P549" s="31">
        <f>VLOOKUP($B549,Hitters!$A1:$R401,7,FALSE)</f>
        <v>33.332499999999996</v>
      </c>
      <c r="Q549" s="31">
        <f>VLOOKUP($B549,Hitters!$A1:$R401,8,FALSE)</f>
        <v>1.6866666666666668</v>
      </c>
      <c r="R549" s="33">
        <f>VLOOKUP($B549,Hitters!$A$1:$R$401,14,FALSE)</f>
        <v>0.24761578898254999</v>
      </c>
      <c r="S549" s="33">
        <f>VLOOKUP($B549,Hitters!$A$1:$R$401,15,FALSE)</f>
        <v>0.31866724671394581</v>
      </c>
      <c r="T549" s="31">
        <f>VLOOKUP($B549,Hitters!$A$1:$R$401,9,FALSE)</f>
        <v>66.338333333333324</v>
      </c>
      <c r="U549" s="31">
        <f>VLOOKUP($B549,Hitters!$A$1:$R$401,10,FALSE)</f>
        <v>13.426666666666664</v>
      </c>
      <c r="V549" s="31">
        <f>VLOOKUP($B549,Hitters!$A$1:$R$401,11,FALSE)</f>
        <v>1.0024999999999999</v>
      </c>
      <c r="W549" s="31">
        <f>VLOOKUP($B549,Hitters!$A$1:$R$401,12,FALSE)</f>
        <v>23.746666666666666</v>
      </c>
      <c r="X549" s="31">
        <f>VLOOKUP($B549,Hitters!$A$1:$R$401,13,FALSE)</f>
        <v>68.806666666666672</v>
      </c>
      <c r="Y549" s="33">
        <f>VLOOKUP($B549,Hitters!$A$1:$R$401,16,FALSE)</f>
        <v>0.39026408286416375</v>
      </c>
      <c r="Z549" s="33">
        <f>VLOOKUP($B549,Hitters!$A$1:$R$401,17,FALSE)</f>
        <v>0.70893132957810956</v>
      </c>
      <c r="AA549" s="31">
        <f>VLOOKUP($B549,Hitters!$A1:$R401,18,FALSE)</f>
        <v>0</v>
      </c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</row>
    <row r="550" spans="1:44" ht="18.600000000000001" customHeight="1">
      <c r="A550" s="25">
        <f ca="1">RANK(I550,I$2:I$651)</f>
        <v>549</v>
      </c>
      <c r="B550" s="26" t="s">
        <v>468</v>
      </c>
      <c r="C550" s="27"/>
      <c r="D550" s="27" t="s">
        <v>69</v>
      </c>
      <c r="E550" s="28" t="s">
        <v>23</v>
      </c>
      <c r="F550" s="29">
        <f ca="1">VLOOKUP(B550,OF!A1:I139,IF(Settings!$J$13="points",4,7),FALSE)</f>
        <v>118</v>
      </c>
      <c r="G550" s="30">
        <f>(M550*Settings!$B$2)+(N550*Settings!$B$3)+(O550*Settings!$B$4)+(P550*Settings!$B$5)+(Q550*Settings!$B$6)+((T550-U550-V550-O550)*Settings!$B$9)+(U550*Settings!$B$10)+(V550*Settings!$B$11)+(W550*Settings!$B$12)+(X550*Settings!$B$13)+(AA550*Settings!$B$16)</f>
        <v>199.52055555555555</v>
      </c>
      <c r="H550" s="31">
        <f>VLOOKUP(B550,'Standard Deviations'!$A1:$D651,4,FALSE)</f>
        <v>-3.2728127162249812</v>
      </c>
      <c r="I550" s="32">
        <f ca="1">VLOOKUP(B550,OF!A1:I139,IF(Settings!$J$13="points",6,9),FALSE)</f>
        <v>-3.1158816260245827</v>
      </c>
      <c r="J550" s="31"/>
      <c r="K550" s="31">
        <f ca="1">J550-A550</f>
        <v>-549</v>
      </c>
      <c r="L550" s="31"/>
      <c r="M550" s="31">
        <f>VLOOKUP($B550,Hitters!$A1:$R401,4,FALSE)</f>
        <v>321.83333333333337</v>
      </c>
      <c r="N550" s="31">
        <f>VLOOKUP($B550,Hitters!$A1:$R401,5,FALSE)</f>
        <v>40.094999999999999</v>
      </c>
      <c r="O550" s="31">
        <f>VLOOKUP($B550,Hitters!$A1:$R401,6,FALSE)</f>
        <v>7.5444444444444443</v>
      </c>
      <c r="P550" s="31">
        <f>VLOOKUP($B550,Hitters!$A1:$R401,7,FALSE)</f>
        <v>34.72</v>
      </c>
      <c r="Q550" s="31">
        <f>VLOOKUP($B550,Hitters!$A1:$R401,8,FALSE)</f>
        <v>7.7277777777777779</v>
      </c>
      <c r="R550" s="33">
        <f>VLOOKUP($B550,Hitters!$A$1:$R$401,14,FALSE)</f>
        <v>0.22082340756084926</v>
      </c>
      <c r="S550" s="33">
        <f>VLOOKUP($B550,Hitters!$A$1:$R$401,15,FALSE)</f>
        <v>0.32616851063334301</v>
      </c>
      <c r="T550" s="31">
        <f>VLOOKUP($B550,Hitters!$A$1:$R$401,9,FALSE)</f>
        <v>71.068333333333328</v>
      </c>
      <c r="U550" s="31">
        <f>VLOOKUP($B550,Hitters!$A$1:$R$401,10,FALSE)</f>
        <v>15.086666666666666</v>
      </c>
      <c r="V550" s="31">
        <f>VLOOKUP($B550,Hitters!$A$1:$R$401,11,FALSE)</f>
        <v>1.0133333333333332</v>
      </c>
      <c r="W550" s="31">
        <f>VLOOKUP($B550,Hitters!$A$1:$R$401,12,FALSE)</f>
        <v>45.384444444444448</v>
      </c>
      <c r="X550" s="31">
        <f>VLOOKUP($B550,Hitters!$A$1:$R$401,13,FALSE)</f>
        <v>93.898888888888891</v>
      </c>
      <c r="Y550" s="33">
        <f>VLOOKUP($B550,Hitters!$A$1:$R$401,16,FALSE)</f>
        <v>0.34432418436043494</v>
      </c>
      <c r="Z550" s="33">
        <f>VLOOKUP($B550,Hitters!$A$1:$R$401,17,FALSE)</f>
        <v>0.67049269499377795</v>
      </c>
      <c r="AA550" s="31">
        <f>VLOOKUP($B550,Hitters!$A1:$R401,18,FALSE)</f>
        <v>0</v>
      </c>
      <c r="AB550" s="31"/>
      <c r="AC550" s="31"/>
      <c r="AD550" s="33"/>
      <c r="AE550" s="33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</row>
    <row r="551" spans="1:44" ht="18.600000000000001" customHeight="1">
      <c r="A551" s="25">
        <f ca="1">RANK(I551,I$2:I$651)</f>
        <v>550</v>
      </c>
      <c r="B551" s="26" t="s">
        <v>337</v>
      </c>
      <c r="C551" s="27" t="s">
        <v>120</v>
      </c>
      <c r="D551" s="27" t="s">
        <v>74</v>
      </c>
      <c r="E551" s="36" t="s">
        <v>31</v>
      </c>
      <c r="F551" s="37">
        <f ca="1">VLOOKUP(B551,SP!A1:I161,IF(Settings!$J$13="points",4,7),FALSE)</f>
        <v>151</v>
      </c>
      <c r="G551" s="30">
        <f>(AC551*Settings!$F$2)+(AF551*Settings!$F$5)+(AG551*Settings!$F$6)+(AH551*Settings!$F$7)+(AI551*Settings!$F$8)+(AJ551*Settings!$F$9)+(AK551*Settings!$F$10)+(AL551*Settings!$F$11)+(AM551*Settings!$F$12)+(AN551*Settings!$F$13)+(AO551*Settings!$F$14)+(AP551*Settings!$F$15)+(AQ551*Settings!$F$16)+(AR551*Settings!$F$17)</f>
        <v>199.20836666666668</v>
      </c>
      <c r="H551" s="31">
        <f>VLOOKUP(B551,'Standard Deviations'!$A1:$D651,4,FALSE)</f>
        <v>-4.0120990981386786</v>
      </c>
      <c r="I551" s="32">
        <f ca="1">IF(Settings!$J$16="no",VLOOKUP(B551,SP!A1:I161,IF(Settings!$J$13="points",6,9),FALSE),VLOOKUP(B551,'SP+RP'!$A1:$I251,IF(Settings!$J$13="points",6,9),FALSE))</f>
        <v>-3.1445151758952665</v>
      </c>
      <c r="J551" s="31"/>
      <c r="K551" s="31">
        <f ca="1">J551-A551</f>
        <v>-550</v>
      </c>
      <c r="L551" s="31"/>
      <c r="M551" s="31"/>
      <c r="N551" s="31"/>
      <c r="O551" s="31"/>
      <c r="P551" s="31"/>
      <c r="Q551" s="31"/>
      <c r="R551" s="33"/>
      <c r="S551" s="33"/>
      <c r="T551" s="31"/>
      <c r="U551" s="31"/>
      <c r="V551" s="31"/>
      <c r="W551" s="31"/>
      <c r="X551" s="31"/>
      <c r="Y551" s="33"/>
      <c r="Z551" s="33"/>
      <c r="AA551" s="31"/>
      <c r="AB551" s="31"/>
      <c r="AC551" s="31">
        <f>VLOOKUP($B551,Pitchers!$A1:$S251,4,FALSE)</f>
        <v>102.37666666666667</v>
      </c>
      <c r="AD551" s="33">
        <f>VLOOKUP($B551,Pitchers!$A1:$S251,5,FALSE)</f>
        <v>4.485198775762707</v>
      </c>
      <c r="AE551" s="33">
        <f>VLOOKUP($B551,Pitchers!$A1:$S251,6,FALSE)</f>
        <v>1.309868785204962</v>
      </c>
      <c r="AF551" s="31">
        <f>VLOOKUP($B551,Pitchers!$A1:$S251,7,FALSE)</f>
        <v>87.016666666666666</v>
      </c>
      <c r="AG551" s="31">
        <f>VLOOKUP($B551,Pitchers!$A1:$S251,8,FALSE)</f>
        <v>5.3533333333333344</v>
      </c>
      <c r="AH551" s="31">
        <f>VLOOKUP($B551,Pitchers!$A1:$S251,9,FALSE)</f>
        <v>0</v>
      </c>
      <c r="AI551" s="31">
        <f>VLOOKUP($B551,Pitchers!$A1:$S251,10,FALSE)</f>
        <v>51.019966666666669</v>
      </c>
      <c r="AJ551" s="31">
        <f>VLOOKUP($B551,Pitchers!$A1:$S251,11,FALSE)</f>
        <v>98.933333333333337</v>
      </c>
      <c r="AK551" s="31">
        <f>VLOOKUP($B551,Pitchers!$A1:$S251,12,FALSE)</f>
        <v>35.166666666666664</v>
      </c>
      <c r="AL551" s="31">
        <f>VLOOKUP($B551,Pitchers!$A1:$S251,13,FALSE)</f>
        <v>15.166666666666666</v>
      </c>
      <c r="AM551" s="31">
        <f>VLOOKUP($B551,Pitchers!$A1:$S251,14,FALSE)</f>
        <v>19.911666666666665</v>
      </c>
      <c r="AN551" s="31">
        <f>VLOOKUP($B551,Pitchers!$A1:$S251,15,FALSE)</f>
        <v>17.911666666666665</v>
      </c>
      <c r="AO551" s="31">
        <f>VLOOKUP($B551,Pitchers!$A1:$S251,16,FALSE)</f>
        <v>6.1566666666666663</v>
      </c>
      <c r="AP551" s="31">
        <f>VLOOKUP($B551,Pitchers!$A1:$S251,17,FALSE)</f>
        <v>9</v>
      </c>
      <c r="AQ551" s="31">
        <f>VLOOKUP($B551,Pitchers!$A1:$S251,18,FALSE)</f>
        <v>0</v>
      </c>
      <c r="AR551" s="31">
        <f>VLOOKUP($B551,Pitchers!$A1:$S251,19,FALSE)</f>
        <v>0</v>
      </c>
    </row>
    <row r="552" spans="1:44" ht="18.600000000000001" customHeight="1">
      <c r="A552" s="25">
        <f ca="1">RANK(I552,I$2:I$651)</f>
        <v>551</v>
      </c>
      <c r="B552" s="26" t="s">
        <v>553</v>
      </c>
      <c r="C552" s="27" t="s">
        <v>137</v>
      </c>
      <c r="D552" s="27" t="s">
        <v>74</v>
      </c>
      <c r="E552" s="36" t="s">
        <v>31</v>
      </c>
      <c r="F552" s="37">
        <f ca="1">VLOOKUP(B552,SP!A1:I161,IF(Settings!$J$13="points",4,7),FALSE)</f>
        <v>152</v>
      </c>
      <c r="G552" s="30">
        <f>(AC552*Settings!$F$2)+(AF552*Settings!$F$5)+(AG552*Settings!$F$6)+(AH552*Settings!$F$7)+(AI552*Settings!$F$8)+(AJ552*Settings!$F$9)+(AK552*Settings!$F$10)+(AL552*Settings!$F$11)+(AM552*Settings!$F$12)+(AN552*Settings!$F$13)+(AO552*Settings!$F$14)+(AP552*Settings!$F$15)+(AQ552*Settings!$F$16)+(AR552*Settings!$F$17)</f>
        <v>195.23157777777777</v>
      </c>
      <c r="H552" s="31">
        <f>VLOOKUP(B552,'Standard Deviations'!$A1:$D651,4,FALSE)</f>
        <v>-4.1073558652718312</v>
      </c>
      <c r="I552" s="32">
        <f ca="1">IF(Settings!$J$16="no",VLOOKUP(B552,SP!A1:I161,IF(Settings!$J$13="points",6,9),FALSE),VLOOKUP(B552,'SP+RP'!$A1:$I251,IF(Settings!$J$13="points",6,9),FALSE))</f>
        <v>-3.2397719409260795</v>
      </c>
      <c r="J552" s="31"/>
      <c r="K552" s="31">
        <f ca="1">J552-A552</f>
        <v>-551</v>
      </c>
      <c r="L552" s="31"/>
      <c r="M552" s="31"/>
      <c r="N552" s="31"/>
      <c r="O552" s="31"/>
      <c r="P552" s="31"/>
      <c r="Q552" s="31"/>
      <c r="R552" s="33"/>
      <c r="S552" s="33"/>
      <c r="T552" s="31"/>
      <c r="U552" s="31"/>
      <c r="V552" s="31"/>
      <c r="W552" s="31"/>
      <c r="X552" s="31"/>
      <c r="Y552" s="33"/>
      <c r="Z552" s="33"/>
      <c r="AA552" s="31"/>
      <c r="AB552" s="31"/>
      <c r="AC552" s="31">
        <f>VLOOKUP($B552,Pitchers!$A1:$S251,4,FALSE)</f>
        <v>105.38555555555557</v>
      </c>
      <c r="AD552" s="33">
        <f>VLOOKUP($B552,Pitchers!$A1:$S251,5,FALSE)</f>
        <v>4.4493365103798741</v>
      </c>
      <c r="AE552" s="33">
        <f>VLOOKUP($B552,Pitchers!$A1:$S251,6,FALSE)</f>
        <v>1.3318818729111093</v>
      </c>
      <c r="AF552" s="31">
        <f>VLOOKUP($B552,Pitchers!$A1:$S251,7,FALSE)</f>
        <v>89.355555555555554</v>
      </c>
      <c r="AG552" s="31">
        <f>VLOOKUP($B552,Pitchers!$A1:$S251,8,FALSE)</f>
        <v>5.4066666666666663</v>
      </c>
      <c r="AH552" s="31">
        <f>VLOOKUP($B552,Pitchers!$A1:$S251,9,FALSE)</f>
        <v>0</v>
      </c>
      <c r="AI552" s="31">
        <f>VLOOKUP($B552,Pitchers!$A1:$S251,10,FALSE)</f>
        <v>52.099533333333333</v>
      </c>
      <c r="AJ552" s="31">
        <f>VLOOKUP($B552,Pitchers!$A1:$S251,11,FALSE)</f>
        <v>104.41000000000001</v>
      </c>
      <c r="AK552" s="31">
        <f>VLOOKUP($B552,Pitchers!$A1:$S251,12,FALSE)</f>
        <v>35.951111111111111</v>
      </c>
      <c r="AL552" s="31">
        <f>VLOOKUP($B552,Pitchers!$A1:$S251,13,FALSE)</f>
        <v>14.066666666666668</v>
      </c>
      <c r="AM552" s="31">
        <f>VLOOKUP($B552,Pitchers!$A1:$S251,14,FALSE)</f>
        <v>21.418888888888887</v>
      </c>
      <c r="AN552" s="31">
        <f>VLOOKUP($B552,Pitchers!$A1:$S251,15,FALSE)</f>
        <v>21.085555555555555</v>
      </c>
      <c r="AO552" s="31">
        <f>VLOOKUP($B552,Pitchers!$A1:$S251,16,FALSE)</f>
        <v>6.9977777777777774</v>
      </c>
      <c r="AP552" s="31">
        <f>VLOOKUP($B552,Pitchers!$A1:$S251,17,FALSE)</f>
        <v>8</v>
      </c>
      <c r="AQ552" s="31">
        <f>VLOOKUP($B552,Pitchers!$A1:$S251,18,FALSE)</f>
        <v>0</v>
      </c>
      <c r="AR552" s="31">
        <f>VLOOKUP($B552,Pitchers!$A1:$S251,19,FALSE)</f>
        <v>0</v>
      </c>
    </row>
    <row r="553" spans="1:44" ht="18.600000000000001" customHeight="1">
      <c r="A553" s="25">
        <f ca="1">RANK(I553,I$2:I$651)</f>
        <v>552</v>
      </c>
      <c r="B553" s="26" t="s">
        <v>714</v>
      </c>
      <c r="C553" s="27" t="s">
        <v>140</v>
      </c>
      <c r="D553" s="27" t="s">
        <v>69</v>
      </c>
      <c r="E553" s="38" t="s">
        <v>27</v>
      </c>
      <c r="F553" s="39">
        <f ca="1">VLOOKUP(B553,SS!A1:I45,IF(Settings!$J$13="points",4,7),FALSE)</f>
        <v>37</v>
      </c>
      <c r="G553" s="30">
        <f>(M553*Settings!$B$2)+(N553*Settings!$B$3)+(O553*Settings!$B$4)+(P553*Settings!$B$5)+(Q553*Settings!$B$6)+((T553-U553-V553-O553)*Settings!$B$9)+(U553*Settings!$B$10)+(V553*Settings!$B$11)+(W553*Settings!$B$12)+(X553*Settings!$B$13)+(AA553*Settings!$B$16)</f>
        <v>202.45222222222225</v>
      </c>
      <c r="H553" s="31">
        <f>VLOOKUP(B553,'Standard Deviations'!$A1:$D651,4,FALSE)</f>
        <v>-3.2345486405323531</v>
      </c>
      <c r="I553" s="32">
        <f ca="1">IF(Settings!$J$16="no",VLOOKUP(B553,SS!A1:I45,IF(Settings!$J$13="points",6,9),FALSE),VLOOKUP(B553,'2B+SS'!$A1:$I94,IF(Settings!$J$13="points",6,9),FALSE))</f>
        <v>-3.2405872002181413</v>
      </c>
      <c r="J553" s="31"/>
      <c r="K553" s="31">
        <f ca="1">J553-A553</f>
        <v>-552</v>
      </c>
      <c r="L553" s="31"/>
      <c r="M553" s="31">
        <f>VLOOKUP($B553,Hitters!$A1:$R401,4,FALSE)</f>
        <v>396.98333333333335</v>
      </c>
      <c r="N553" s="31">
        <f>VLOOKUP($B553,Hitters!$A1:$R401,5,FALSE)</f>
        <v>41.361111111111114</v>
      </c>
      <c r="O553" s="31">
        <f>VLOOKUP($B553,Hitters!$A1:$R401,6,FALSE)</f>
        <v>5.0333333333333332</v>
      </c>
      <c r="P553" s="31">
        <f>VLOOKUP($B553,Hitters!$A1:$R401,7,FALSE)</f>
        <v>31.075000000000003</v>
      </c>
      <c r="Q553" s="31">
        <f>VLOOKUP($B553,Hitters!$A1:$R401,8,FALSE)</f>
        <v>8.2822222222222219</v>
      </c>
      <c r="R553" s="33">
        <f>VLOOKUP($B553,Hitters!$A$1:$R$401,14,FALSE)</f>
        <v>0.22816658969730047</v>
      </c>
      <c r="S553" s="33">
        <f>VLOOKUP($B553,Hitters!$A$1:$R$401,15,FALSE)</f>
        <v>0.29275601656001204</v>
      </c>
      <c r="T553" s="31">
        <f>VLOOKUP($B553,Hitters!$A$1:$R$401,9,FALSE)</f>
        <v>90.578333333333333</v>
      </c>
      <c r="U553" s="31">
        <f>VLOOKUP($B553,Hitters!$A$1:$R$401,10,FALSE)</f>
        <v>19.011666666666667</v>
      </c>
      <c r="V553" s="31">
        <f>VLOOKUP($B553,Hitters!$A$1:$R$401,11,FALSE)</f>
        <v>0.98666666666666669</v>
      </c>
      <c r="W553" s="31">
        <f>VLOOKUP($B553,Hitters!$A$1:$R$401,12,FALSE)</f>
        <v>29.616666666666664</v>
      </c>
      <c r="X553" s="31">
        <f>VLOOKUP($B553,Hitters!$A$1:$R$401,13,FALSE)</f>
        <v>85.65666666666668</v>
      </c>
      <c r="Y553" s="33">
        <f>VLOOKUP($B553,Hitters!$A$1:$R$401,16,FALSE)</f>
        <v>0.31906461228431082</v>
      </c>
      <c r="Z553" s="33">
        <f>VLOOKUP($B553,Hitters!$A$1:$R$401,17,FALSE)</f>
        <v>0.61182062884432287</v>
      </c>
      <c r="AA553" s="31">
        <f>VLOOKUP($B553,Hitters!$A1:$R401,18,FALSE)</f>
        <v>0</v>
      </c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</row>
    <row r="554" spans="1:44" ht="18.600000000000001" customHeight="1">
      <c r="A554" s="25">
        <f ca="1">RANK(I554,I$2:I$651)</f>
        <v>553</v>
      </c>
      <c r="B554" s="26" t="s">
        <v>621</v>
      </c>
      <c r="C554" s="27" t="s">
        <v>76</v>
      </c>
      <c r="D554" s="27" t="s">
        <v>69</v>
      </c>
      <c r="E554" s="46" t="s">
        <v>19</v>
      </c>
      <c r="F554" s="47">
        <f ca="1">VLOOKUP(B554,'C'!A1:I54,IF(Settings!$J$13="points",4,7),FALSE)</f>
        <v>33</v>
      </c>
      <c r="G554" s="30">
        <f>(M554*Settings!$B$2)+(N554*Settings!$B$3)+(O554*Settings!$B$4)+(P554*Settings!$B$5)+(Q554*Settings!$B$6)+((T554-U554-V554-O554)*Settings!$B$9)+(U554*Settings!$B$10)+(V554*Settings!$B$11)+(W554*Settings!$B$12)+(X554*Settings!$B$13)+(AA554*Settings!$B$16)</f>
        <v>172.96888888888887</v>
      </c>
      <c r="H554" s="31">
        <f>VLOOKUP(B554,'Standard Deviations'!$A1:$D651,4,FALSE)</f>
        <v>-4.0842699343045066</v>
      </c>
      <c r="I554" s="32">
        <f ca="1">VLOOKUP(B554,'C'!A1:I54,IF(Settings!$J$13="points",6,9),FALSE)</f>
        <v>-3.2977424248837268</v>
      </c>
      <c r="J554" s="31"/>
      <c r="K554" s="31">
        <f ca="1">J554-A554</f>
        <v>-553</v>
      </c>
      <c r="L554" s="31"/>
      <c r="M554" s="31">
        <f>VLOOKUP($B554,Hitters!$A1:$R401,4,FALSE)</f>
        <v>296.40000000000003</v>
      </c>
      <c r="N554" s="31">
        <f>VLOOKUP($B554,Hitters!$A1:$R401,5,FALSE)</f>
        <v>37.82833333333334</v>
      </c>
      <c r="O554" s="31">
        <f>VLOOKUP($B554,Hitters!$A1:$R401,6,FALSE)</f>
        <v>16.693333333333332</v>
      </c>
      <c r="P554" s="31">
        <f>VLOOKUP($B554,Hitters!$A1:$R401,7,FALSE)</f>
        <v>44.984999999999992</v>
      </c>
      <c r="Q554" s="31">
        <f>VLOOKUP($B554,Hitters!$A1:$R401,8,FALSE)</f>
        <v>0.64555555555555555</v>
      </c>
      <c r="R554" s="33">
        <f>VLOOKUP($B554,Hitters!$A$1:$R$401,14,FALSE)</f>
        <v>0.19561403508771932</v>
      </c>
      <c r="S554" s="33">
        <f>VLOOKUP($B554,Hitters!$A$1:$R$401,15,FALSE)</f>
        <v>0.26758880327397128</v>
      </c>
      <c r="T554" s="31">
        <f>VLOOKUP($B554,Hitters!$A$1:$R$401,9,FALSE)</f>
        <v>57.980000000000011</v>
      </c>
      <c r="U554" s="31">
        <f>VLOOKUP($B554,Hitters!$A$1:$R$401,10,FALSE)</f>
        <v>11.131666666666666</v>
      </c>
      <c r="V554" s="31">
        <f>VLOOKUP($B554,Hitters!$A$1:$R$401,11,FALSE)</f>
        <v>0.99777777777777776</v>
      </c>
      <c r="W554" s="31">
        <f>VLOOKUP($B554,Hitters!$A$1:$R$401,12,FALSE)</f>
        <v>23.883333333333329</v>
      </c>
      <c r="X554" s="31">
        <f>VLOOKUP($B554,Hitters!$A$1:$R$401,13,FALSE)</f>
        <v>112.41222222222223</v>
      </c>
      <c r="Y554" s="33">
        <f>VLOOKUP($B554,Hitters!$A$1:$R$401,16,FALSE)</f>
        <v>0.40886377267956214</v>
      </c>
      <c r="Z554" s="33">
        <f>VLOOKUP($B554,Hitters!$A$1:$R$401,17,FALSE)</f>
        <v>0.67645257595353336</v>
      </c>
      <c r="AA554" s="31">
        <f>VLOOKUP($B554,Hitters!$A1:$R401,18,FALSE)</f>
        <v>0</v>
      </c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</row>
    <row r="555" spans="1:44" ht="18.600000000000001" customHeight="1">
      <c r="A555" s="25">
        <f ca="1">RANK(I555,I$2:I$651)</f>
        <v>554</v>
      </c>
      <c r="B555" s="26" t="s">
        <v>438</v>
      </c>
      <c r="C555" s="27" t="s">
        <v>86</v>
      </c>
      <c r="D555" s="27" t="s">
        <v>69</v>
      </c>
      <c r="E555" s="28" t="s">
        <v>23</v>
      </c>
      <c r="F555" s="29">
        <f ca="1">VLOOKUP(B555,OF!A1:I139,IF(Settings!$J$13="points",4,7),FALSE)</f>
        <v>119</v>
      </c>
      <c r="G555" s="30">
        <f>(M555*Settings!$B$2)+(N555*Settings!$B$3)+(O555*Settings!$B$4)+(P555*Settings!$B$5)+(Q555*Settings!$B$6)+((T555-U555-V555-O555)*Settings!$B$9)+(U555*Settings!$B$10)+(V555*Settings!$B$11)+(W555*Settings!$B$12)+(X555*Settings!$B$13)+(AA555*Settings!$B$16)</f>
        <v>121.13916666666668</v>
      </c>
      <c r="H555" s="31">
        <f>VLOOKUP(B555,'Standard Deviations'!$A1:$D651,4,FALSE)</f>
        <v>-3.4761686149205087</v>
      </c>
      <c r="I555" s="32">
        <f ca="1">VLOOKUP(B555,OF!A1:I139,IF(Settings!$J$13="points",6,9),FALSE)</f>
        <v>-3.3192332533172735</v>
      </c>
      <c r="J555" s="31"/>
      <c r="K555" s="31">
        <f ca="1">J555-A555</f>
        <v>-554</v>
      </c>
      <c r="L555" s="31"/>
      <c r="M555" s="31">
        <f>VLOOKUP($B555,Hitters!$A1:$R401,4,FALSE)</f>
        <v>197.55555555555557</v>
      </c>
      <c r="N555" s="31">
        <f>VLOOKUP($B555,Hitters!$A1:$R401,5,FALSE)</f>
        <v>24.284444444444443</v>
      </c>
      <c r="O555" s="31">
        <f>VLOOKUP($B555,Hitters!$A1:$R401,6,FALSE)</f>
        <v>3.8833333333333333</v>
      </c>
      <c r="P555" s="31">
        <f>VLOOKUP($B555,Hitters!$A1:$R401,7,FALSE)</f>
        <v>18.623333333333331</v>
      </c>
      <c r="Q555" s="31">
        <f>VLOOKUP($B555,Hitters!$A1:$R401,8,FALSE)</f>
        <v>14.048888888888889</v>
      </c>
      <c r="R555" s="33">
        <f>VLOOKUP($B555,Hitters!$A$1:$R$401,14,FALSE)</f>
        <v>0.23641169853768279</v>
      </c>
      <c r="S555" s="33">
        <f>VLOOKUP($B555,Hitters!$A$1:$R$401,15,FALSE)</f>
        <v>0.28590905363293417</v>
      </c>
      <c r="T555" s="31">
        <f>VLOOKUP($B555,Hitters!$A$1:$R$401,9,FALSE)</f>
        <v>46.704444444444448</v>
      </c>
      <c r="U555" s="31">
        <f>VLOOKUP($B555,Hitters!$A$1:$R$401,10,FALSE)</f>
        <v>7.97</v>
      </c>
      <c r="V555" s="31">
        <f>VLOOKUP($B555,Hitters!$A$1:$R$401,11,FALSE)</f>
        <v>1.3766666666666667</v>
      </c>
      <c r="W555" s="31">
        <f>VLOOKUP($B555,Hitters!$A$1:$R$401,12,FALSE)</f>
        <v>10.336666666666666</v>
      </c>
      <c r="X555" s="31">
        <f>VLOOKUP($B555,Hitters!$A$1:$R$401,13,FALSE)</f>
        <v>58.56166666666666</v>
      </c>
      <c r="Y555" s="33">
        <f>VLOOKUP($B555,Hitters!$A$1:$R$401,16,FALSE)</f>
        <v>0.3496625421822272</v>
      </c>
      <c r="Z555" s="33">
        <f>VLOOKUP($B555,Hitters!$A$1:$R$401,17,FALSE)</f>
        <v>0.63557159581516132</v>
      </c>
      <c r="AA555" s="31">
        <f>VLOOKUP($B555,Hitters!$A1:$R401,18,FALSE)</f>
        <v>0</v>
      </c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</row>
    <row r="556" spans="1:44" ht="18.600000000000001" customHeight="1">
      <c r="A556" s="25">
        <f ca="1">RANK(I556,I$2:I$651)</f>
        <v>555</v>
      </c>
      <c r="B556" s="26" t="s">
        <v>616</v>
      </c>
      <c r="C556" s="27" t="s">
        <v>86</v>
      </c>
      <c r="D556" s="27" t="s">
        <v>69</v>
      </c>
      <c r="E556" s="36" t="s">
        <v>31</v>
      </c>
      <c r="F556" s="37">
        <f ca="1">VLOOKUP(B556,SP!A1:I161,IF(Settings!$J$13="points",4,7),FALSE)</f>
        <v>153</v>
      </c>
      <c r="G556" s="30">
        <f>(AC556*Settings!$F$2)+(AF556*Settings!$F$5)+(AG556*Settings!$F$6)+(AH556*Settings!$F$7)+(AI556*Settings!$F$8)+(AJ556*Settings!$F$9)+(AK556*Settings!$F$10)+(AL556*Settings!$F$11)+(AM556*Settings!$F$12)+(AN556*Settings!$F$13)+(AO556*Settings!$F$14)+(AP556*Settings!$F$15)+(AQ556*Settings!$F$16)+(AR556*Settings!$F$17)</f>
        <v>138.66253333333333</v>
      </c>
      <c r="H556" s="31">
        <f>VLOOKUP(B556,'Standard Deviations'!$A1:$D651,4,FALSE)</f>
        <v>-4.2211367157876136</v>
      </c>
      <c r="I556" s="32">
        <f ca="1">IF(Settings!$J$16="no",VLOOKUP(B556,SP!A1:I161,IF(Settings!$J$13="points",6,9),FALSE),VLOOKUP(B556,'SP+RP'!$A1:$I251,IF(Settings!$J$13="points",6,9),FALSE))</f>
        <v>-3.353556775275977</v>
      </c>
      <c r="J556" s="31"/>
      <c r="K556" s="31">
        <f ca="1">J556-A556</f>
        <v>-555</v>
      </c>
      <c r="L556" s="31"/>
      <c r="M556" s="31"/>
      <c r="N556" s="31"/>
      <c r="O556" s="31"/>
      <c r="P556" s="31"/>
      <c r="Q556" s="31"/>
      <c r="R556" s="33"/>
      <c r="S556" s="33"/>
      <c r="T556" s="31"/>
      <c r="U556" s="31"/>
      <c r="V556" s="31"/>
      <c r="W556" s="31"/>
      <c r="X556" s="31"/>
      <c r="Y556" s="33"/>
      <c r="Z556" s="33"/>
      <c r="AA556" s="31"/>
      <c r="AB556" s="31"/>
      <c r="AC556" s="31">
        <f>VLOOKUP($B556,Pitchers!$A1:$S251,4,FALSE)</f>
        <v>77.811666666666667</v>
      </c>
      <c r="AD556" s="33">
        <f>VLOOKUP($B556,Pitchers!$A1:$S251,5,FALSE)</f>
        <v>4.3193034463555167</v>
      </c>
      <c r="AE556" s="33">
        <f>VLOOKUP($B556,Pitchers!$A1:$S251,6,FALSE)</f>
        <v>1.2907090482004269</v>
      </c>
      <c r="AF556" s="31">
        <f>VLOOKUP($B556,Pitchers!$A1:$S251,7,FALSE)</f>
        <v>67.663333333333341</v>
      </c>
      <c r="AG556" s="31">
        <f>VLOOKUP($B556,Pitchers!$A1:$S251,8,FALSE)</f>
        <v>4.0233333333333334</v>
      </c>
      <c r="AH556" s="31">
        <f>VLOOKUP($B556,Pitchers!$A1:$S251,9,FALSE)</f>
        <v>0</v>
      </c>
      <c r="AI556" s="31">
        <f>VLOOKUP($B556,Pitchers!$A1:$S251,10,FALSE)</f>
        <v>37.343577777777774</v>
      </c>
      <c r="AJ556" s="31">
        <f>VLOOKUP($B556,Pitchers!$A1:$S251,11,FALSE)</f>
        <v>76.527777777777771</v>
      </c>
      <c r="AK556" s="31">
        <f>VLOOKUP($B556,Pitchers!$A1:$S251,12,FALSE)</f>
        <v>23.904444444444447</v>
      </c>
      <c r="AL556" s="31">
        <f>VLOOKUP($B556,Pitchers!$A1:$S251,13,FALSE)</f>
        <v>11.5</v>
      </c>
      <c r="AM556" s="31">
        <f>VLOOKUP($B556,Pitchers!$A1:$S251,14,FALSE)</f>
        <v>46.878888888888888</v>
      </c>
      <c r="AN556" s="31">
        <f>VLOOKUP($B556,Pitchers!$A1:$S251,15,FALSE)</f>
        <v>6.4688888888888885</v>
      </c>
      <c r="AO556" s="31">
        <f>VLOOKUP($B556,Pitchers!$A1:$S251,16,FALSE)</f>
        <v>4.9983333333333331</v>
      </c>
      <c r="AP556" s="31">
        <f>VLOOKUP($B556,Pitchers!$A1:$S251,17,FALSE)</f>
        <v>2</v>
      </c>
      <c r="AQ556" s="31">
        <f>VLOOKUP($B556,Pitchers!$A1:$S251,18,FALSE)</f>
        <v>3</v>
      </c>
      <c r="AR556" s="31">
        <f>VLOOKUP($B556,Pitchers!$A1:$S251,19,FALSE)</f>
        <v>0</v>
      </c>
    </row>
    <row r="557" spans="1:44" ht="18.600000000000001" customHeight="1">
      <c r="A557" s="25">
        <f ca="1">RANK(I557,I$2:I$651)</f>
        <v>556</v>
      </c>
      <c r="B557" s="26" t="s">
        <v>688</v>
      </c>
      <c r="C557" s="27" t="s">
        <v>158</v>
      </c>
      <c r="D557" s="27" t="s">
        <v>74</v>
      </c>
      <c r="E557" s="40" t="s">
        <v>7</v>
      </c>
      <c r="F557" s="41">
        <f ca="1">VLOOKUP(B557,'1B'!A1:I63,IF(Settings!$J$13="points",4,7),FALSE)</f>
        <v>47</v>
      </c>
      <c r="G557" s="30">
        <f>(M557*Settings!$B$2)+(N557*Settings!$B$3)+(O557*Settings!$B$4)+(P557*Settings!$B$5)+(Q557*Settings!$B$6)+((T557-U557-V557-O557)*Settings!$B$9)+(U557*Settings!$B$10)+(V557*Settings!$B$11)+(W557*Settings!$B$12)+(X557*Settings!$B$13)+(AA557*Settings!$B$16)</f>
        <v>161.15138888888887</v>
      </c>
      <c r="H557" s="31">
        <f>VLOOKUP(B557,'Standard Deviations'!$A1:$D651,4,FALSE)</f>
        <v>-3.1476669634650483</v>
      </c>
      <c r="I557" s="32">
        <f ca="1">IF(Settings!$J$15="no",VLOOKUP(B557,'1B'!A1:I63,IF(Settings!$J$13="points",6,9),FALSE),VLOOKUP(B557,'1B+3B'!$A1:$I104,IF(Settings!$J$13="points",6,9),FALSE))</f>
        <v>-3.3731440443912586</v>
      </c>
      <c r="J557" s="31"/>
      <c r="K557" s="31">
        <f ca="1">J557-A557</f>
        <v>-556</v>
      </c>
      <c r="L557" s="31"/>
      <c r="M557" s="31">
        <f>VLOOKUP($B557,Hitters!$A1:$R401,4,FALSE)</f>
        <v>246.42222222222222</v>
      </c>
      <c r="N557" s="31">
        <f>VLOOKUP($B557,Hitters!$A1:$R401,5,FALSE)</f>
        <v>30.933333333333334</v>
      </c>
      <c r="O557" s="31">
        <f>VLOOKUP($B557,Hitters!$A1:$R401,6,FALSE)</f>
        <v>9.7211111111111119</v>
      </c>
      <c r="P557" s="31">
        <f>VLOOKUP($B557,Hitters!$A1:$R401,7,FALSE)</f>
        <v>34.673333333333332</v>
      </c>
      <c r="Q557" s="31">
        <f>VLOOKUP($B557,Hitters!$A1:$R401,8,FALSE)</f>
        <v>0.9966666666666667</v>
      </c>
      <c r="R557" s="33">
        <f>VLOOKUP($B557,Hitters!$A$1:$R$401,14,FALSE)</f>
        <v>0.24442690955000451</v>
      </c>
      <c r="S557" s="33">
        <f>VLOOKUP($B557,Hitters!$A$1:$R$401,15,FALSE)</f>
        <v>0.30871377065690975</v>
      </c>
      <c r="T557" s="31">
        <f>VLOOKUP($B557,Hitters!$A$1:$R$401,9,FALSE)</f>
        <v>60.232222222222219</v>
      </c>
      <c r="U557" s="31">
        <f>VLOOKUP($B557,Hitters!$A$1:$R$401,10,FALSE)</f>
        <v>13.017777777777779</v>
      </c>
      <c r="V557" s="31">
        <f>VLOOKUP($B557,Hitters!$A$1:$R$401,11,FALSE)</f>
        <v>0.99444444444444446</v>
      </c>
      <c r="W557" s="31">
        <f>VLOOKUP($B557,Hitters!$A$1:$R$401,12,FALSE)</f>
        <v>18.956666666666667</v>
      </c>
      <c r="X557" s="31">
        <f>VLOOKUP($B557,Hitters!$A$1:$R$401,13,FALSE)</f>
        <v>59.615000000000002</v>
      </c>
      <c r="Y557" s="33">
        <f>VLOOKUP($B557,Hitters!$A$1:$R$401,16,FALSE)</f>
        <v>0.42367210749391282</v>
      </c>
      <c r="Z557" s="33">
        <f>VLOOKUP($B557,Hitters!$A$1:$R$401,17,FALSE)</f>
        <v>0.73238587815082257</v>
      </c>
      <c r="AA557" s="31">
        <f>VLOOKUP($B557,Hitters!$A1:$R401,18,FALSE)</f>
        <v>0</v>
      </c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</row>
    <row r="558" spans="1:44" ht="18.600000000000001" customHeight="1">
      <c r="A558" s="25">
        <f ca="1">RANK(I558,I$2:I$651)</f>
        <v>557</v>
      </c>
      <c r="B558" s="26" t="s">
        <v>593</v>
      </c>
      <c r="C558" s="27" t="s">
        <v>63</v>
      </c>
      <c r="D558" s="27" t="s">
        <v>74</v>
      </c>
      <c r="E558" s="46" t="s">
        <v>19</v>
      </c>
      <c r="F558" s="47">
        <f ca="1">VLOOKUP(B558,'C'!A1:I54,IF(Settings!$J$13="points",4,7),FALSE)</f>
        <v>34</v>
      </c>
      <c r="G558" s="30">
        <f>(M558*Settings!$B$2)+(N558*Settings!$B$3)+(O558*Settings!$B$4)+(P558*Settings!$B$5)+(Q558*Settings!$B$6)+((T558-U558-V558-O558)*Settings!$B$9)+(U558*Settings!$B$10)+(V558*Settings!$B$11)+(W558*Settings!$B$12)+(X558*Settings!$B$13)+(AA558*Settings!$B$16)</f>
        <v>138.75749999999999</v>
      </c>
      <c r="H558" s="31">
        <f>VLOOKUP(B558,'Standard Deviations'!$A1:$D651,4,FALSE)</f>
        <v>-4.1706812573358665</v>
      </c>
      <c r="I558" s="32">
        <f ca="1">VLOOKUP(B558,'C'!A1:I54,IF(Settings!$J$13="points",6,9),FALSE)</f>
        <v>-3.3841632103269665</v>
      </c>
      <c r="J558" s="31"/>
      <c r="K558" s="31">
        <f ca="1">J558-A558</f>
        <v>-557</v>
      </c>
      <c r="L558" s="31"/>
      <c r="M558" s="31">
        <f>VLOOKUP($B558,Hitters!$A1:$R401,4,FALSE)</f>
        <v>240.06666666666669</v>
      </c>
      <c r="N558" s="31">
        <f>VLOOKUP($B558,Hitters!$A1:$R401,5,FALSE)</f>
        <v>27.91333333333333</v>
      </c>
      <c r="O558" s="31">
        <f>VLOOKUP($B558,Hitters!$A1:$R401,6,FALSE)</f>
        <v>7.0399999999999991</v>
      </c>
      <c r="P558" s="31">
        <f>VLOOKUP($B558,Hitters!$A1:$R401,7,FALSE)</f>
        <v>29.551666666666666</v>
      </c>
      <c r="Q558" s="31">
        <f>VLOOKUP($B558,Hitters!$A1:$R401,8,FALSE)</f>
        <v>0.53333333333333333</v>
      </c>
      <c r="R558" s="33">
        <f>VLOOKUP($B558,Hitters!$A$1:$R$401,14,FALSE)</f>
        <v>0.23966953623993334</v>
      </c>
      <c r="S558" s="33">
        <f>VLOOKUP($B558,Hitters!$A$1:$R$401,15,FALSE)</f>
        <v>0.30302579328169221</v>
      </c>
      <c r="T558" s="31">
        <f>VLOOKUP($B558,Hitters!$A$1:$R$401,9,FALSE)</f>
        <v>57.536666666666669</v>
      </c>
      <c r="U558" s="31">
        <f>VLOOKUP($B558,Hitters!$A$1:$R$401,10,FALSE)</f>
        <v>10.668333333333331</v>
      </c>
      <c r="V558" s="31">
        <f>VLOOKUP($B558,Hitters!$A$1:$R$401,11,FALSE)</f>
        <v>0.29249999999999998</v>
      </c>
      <c r="W558" s="31">
        <f>VLOOKUP($B558,Hitters!$A$1:$R$401,12,FALSE)</f>
        <v>17.908333333333335</v>
      </c>
      <c r="X558" s="31">
        <f>VLOOKUP($B558,Hitters!$A$1:$R$401,13,FALSE)</f>
        <v>55.185000000000002</v>
      </c>
      <c r="Y558" s="33">
        <f>VLOOKUP($B558,Hitters!$A$1:$R$401,16,FALSE)</f>
        <v>0.37452096639822269</v>
      </c>
      <c r="Z558" s="33">
        <f>VLOOKUP($B558,Hitters!$A$1:$R$401,17,FALSE)</f>
        <v>0.67754675967991496</v>
      </c>
      <c r="AA558" s="31">
        <f>VLOOKUP($B558,Hitters!$A1:$R401,18,FALSE)</f>
        <v>0</v>
      </c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</row>
    <row r="559" spans="1:44" ht="18.600000000000001" customHeight="1">
      <c r="A559" s="25">
        <f ca="1">RANK(I559,I$2:I$651)</f>
        <v>558</v>
      </c>
      <c r="B559" s="26" t="s">
        <v>667</v>
      </c>
      <c r="C559" s="27" t="s">
        <v>156</v>
      </c>
      <c r="D559" s="27" t="s">
        <v>69</v>
      </c>
      <c r="E559" s="38" t="s">
        <v>27</v>
      </c>
      <c r="F559" s="39">
        <f ca="1">VLOOKUP(B559,SS!A1:I45,IF(Settings!$J$13="points",4,7),FALSE)</f>
        <v>38</v>
      </c>
      <c r="G559" s="30">
        <f>(M559*Settings!$B$2)+(N559*Settings!$B$3)+(O559*Settings!$B$4)+(P559*Settings!$B$5)+(Q559*Settings!$B$6)+((T559-U559-V559-O559)*Settings!$B$9)+(U559*Settings!$B$10)+(V559*Settings!$B$11)+(W559*Settings!$B$12)+(X559*Settings!$B$13)+(AA559*Settings!$B$16)</f>
        <v>150.9061111111111</v>
      </c>
      <c r="H559" s="31">
        <f>VLOOKUP(B559,'Standard Deviations'!$A1:$D651,4,FALSE)</f>
        <v>-3.3992290783150998</v>
      </c>
      <c r="I559" s="32">
        <f ca="1">IF(Settings!$J$16="no",VLOOKUP(B559,SS!A1:I45,IF(Settings!$J$13="points",6,9),FALSE),VLOOKUP(B559,'2B+SS'!$A1:$I94,IF(Settings!$J$13="points",6,9),FALSE))</f>
        <v>-3.4052699863221938</v>
      </c>
      <c r="J559" s="31"/>
      <c r="K559" s="31">
        <f ca="1">J559-A559</f>
        <v>-558</v>
      </c>
      <c r="L559" s="31"/>
      <c r="M559" s="31">
        <f>VLOOKUP($B559,Hitters!$A1:$R401,4,FALSE)</f>
        <v>254.6888888888889</v>
      </c>
      <c r="N559" s="31">
        <f>VLOOKUP($B559,Hitters!$A1:$R401,5,FALSE)</f>
        <v>29.402222222222221</v>
      </c>
      <c r="O559" s="31">
        <f>VLOOKUP($B559,Hitters!$A1:$R401,6,FALSE)</f>
        <v>6.2911111111111113</v>
      </c>
      <c r="P559" s="31">
        <f>VLOOKUP($B559,Hitters!$A1:$R401,7,FALSE)</f>
        <v>30.146666666666665</v>
      </c>
      <c r="Q559" s="31">
        <f>VLOOKUP($B559,Hitters!$A1:$R401,8,FALSE)</f>
        <v>2.0366666666666666</v>
      </c>
      <c r="R559" s="33">
        <f>VLOOKUP($B559,Hitters!$A$1:$R$401,14,FALSE)</f>
        <v>0.25031847133757962</v>
      </c>
      <c r="S559" s="33">
        <f>VLOOKUP($B559,Hitters!$A$1:$R$401,15,FALSE)</f>
        <v>0.30264012405140239</v>
      </c>
      <c r="T559" s="31">
        <f>VLOOKUP($B559,Hitters!$A$1:$R$401,9,FALSE)</f>
        <v>63.75333333333333</v>
      </c>
      <c r="U559" s="31">
        <f>VLOOKUP($B559,Hitters!$A$1:$R$401,10,FALSE)</f>
        <v>12.478888888888889</v>
      </c>
      <c r="V559" s="31">
        <f>VLOOKUP($B559,Hitters!$A$1:$R$401,11,FALSE)</f>
        <v>0.99777777777777776</v>
      </c>
      <c r="W559" s="31">
        <f>VLOOKUP($B559,Hitters!$A$1:$R$401,12,FALSE)</f>
        <v>14.952222222222224</v>
      </c>
      <c r="X559" s="31">
        <f>VLOOKUP($B559,Hitters!$A$1:$R$401,13,FALSE)</f>
        <v>49.538888888888891</v>
      </c>
      <c r="Y559" s="33">
        <f>VLOOKUP($B559,Hitters!$A$1:$R$401,16,FALSE)</f>
        <v>0.38125381729342989</v>
      </c>
      <c r="Z559" s="33">
        <f>VLOOKUP($B559,Hitters!$A$1:$R$401,17,FALSE)</f>
        <v>0.68389394134483228</v>
      </c>
      <c r="AA559" s="31">
        <f>VLOOKUP($B559,Hitters!$A1:$R401,18,FALSE)</f>
        <v>0</v>
      </c>
      <c r="AB559" s="31"/>
      <c r="AC559" s="31"/>
      <c r="AD559" s="33"/>
      <c r="AE559" s="33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</row>
    <row r="560" spans="1:44" ht="18.600000000000001" customHeight="1">
      <c r="A560" s="25">
        <f ca="1">RANK(I560,I$2:I$651)</f>
        <v>559</v>
      </c>
      <c r="B560" s="26" t="s">
        <v>753</v>
      </c>
      <c r="C560" s="27" t="s">
        <v>217</v>
      </c>
      <c r="D560" s="27" t="s">
        <v>74</v>
      </c>
      <c r="E560" s="36" t="s">
        <v>31</v>
      </c>
      <c r="F560" s="37">
        <f ca="1">VLOOKUP(B560,SP!A1:I161,IF(Settings!$J$13="points",4,7),FALSE)</f>
        <v>154</v>
      </c>
      <c r="G560" s="30">
        <f>(AC560*Settings!$F$2)+(AF560*Settings!$F$5)+(AG560*Settings!$F$6)+(AH560*Settings!$F$7)+(AI560*Settings!$F$8)+(AJ560*Settings!$F$9)+(AK560*Settings!$F$10)+(AL560*Settings!$F$11)+(AM560*Settings!$F$12)+(AN560*Settings!$F$13)+(AO560*Settings!$F$14)+(AP560*Settings!$F$15)+(AQ560*Settings!$F$16)+(AR560*Settings!$F$17)</f>
        <v>106.23666666666665</v>
      </c>
      <c r="H560" s="31">
        <f>VLOOKUP(B560,'Standard Deviations'!$A1:$D651,4,FALSE)</f>
        <v>-4.3904275545589897</v>
      </c>
      <c r="I560" s="32">
        <f ca="1">IF(Settings!$J$16="no",VLOOKUP(B560,SP!A1:I161,IF(Settings!$J$13="points",6,9),FALSE),VLOOKUP(B560,'SP+RP'!$A1:$I251,IF(Settings!$J$13="points",6,9),FALSE))</f>
        <v>-3.5228428763487551</v>
      </c>
      <c r="J560" s="31"/>
      <c r="K560" s="31">
        <f ca="1">J560-A560</f>
        <v>-559</v>
      </c>
      <c r="L560" s="31"/>
      <c r="M560" s="31"/>
      <c r="N560" s="31"/>
      <c r="O560" s="31"/>
      <c r="P560" s="31"/>
      <c r="Q560" s="31"/>
      <c r="R560" s="33"/>
      <c r="S560" s="33"/>
      <c r="T560" s="31"/>
      <c r="U560" s="31"/>
      <c r="V560" s="31"/>
      <c r="W560" s="31"/>
      <c r="X560" s="31"/>
      <c r="Y560" s="33"/>
      <c r="Z560" s="33"/>
      <c r="AA560" s="31"/>
      <c r="AB560" s="31"/>
      <c r="AC560" s="31">
        <f>VLOOKUP($B560,Pitchers!$A1:$S251,4,FALSE)</f>
        <v>48.594444444444441</v>
      </c>
      <c r="AD560" s="33">
        <f>VLOOKUP($B560,Pitchers!$A1:$S251,5,FALSE)</f>
        <v>4.0877100720246951</v>
      </c>
      <c r="AE560" s="33">
        <f>VLOOKUP($B560,Pitchers!$A1:$S251,6,FALSE)</f>
        <v>1.2950040013718991</v>
      </c>
      <c r="AF560" s="31">
        <f>VLOOKUP($B560,Pitchers!$A1:$S251,7,FALSE)</f>
        <v>54.55777777777778</v>
      </c>
      <c r="AG560" s="31">
        <f>VLOOKUP($B560,Pitchers!$A1:$S251,8,FALSE)</f>
        <v>2.7488888888888887</v>
      </c>
      <c r="AH560" s="31">
        <f>VLOOKUP($B560,Pitchers!$A1:$S251,9,FALSE)</f>
        <v>0</v>
      </c>
      <c r="AI560" s="31">
        <f>VLOOKUP($B560,Pitchers!$A1:$S251,10,FALSE)</f>
        <v>22.071111111111112</v>
      </c>
      <c r="AJ560" s="31">
        <f>VLOOKUP($B560,Pitchers!$A1:$S251,11,FALSE)</f>
        <v>43.68</v>
      </c>
      <c r="AK560" s="31">
        <f>VLOOKUP($B560,Pitchers!$A1:$S251,12,FALSE)</f>
        <v>19.25</v>
      </c>
      <c r="AL560" s="31">
        <f>VLOOKUP($B560,Pitchers!$A1:$S251,13,FALSE)</f>
        <v>6.1000000000000005</v>
      </c>
      <c r="AM560" s="31">
        <f>VLOOKUP($B560,Pitchers!$A1:$S251,14,FALSE)</f>
        <v>9.93888888888889</v>
      </c>
      <c r="AN560" s="31">
        <f>VLOOKUP($B560,Pitchers!$A1:$S251,15,FALSE)</f>
        <v>9.6055555555555561</v>
      </c>
      <c r="AO560" s="31">
        <f>VLOOKUP($B560,Pitchers!$A1:$S251,16,FALSE)</f>
        <v>2.793333333333333</v>
      </c>
      <c r="AP560" s="31">
        <f>VLOOKUP($B560,Pitchers!$A1:$S251,17,FALSE)</f>
        <v>4.3</v>
      </c>
      <c r="AQ560" s="31">
        <f>VLOOKUP($B560,Pitchers!$A1:$S251,18,FALSE)</f>
        <v>0</v>
      </c>
      <c r="AR560" s="31">
        <f>VLOOKUP($B560,Pitchers!$A1:$S251,19,FALSE)</f>
        <v>0</v>
      </c>
    </row>
    <row r="561" spans="1:44" ht="18.600000000000001" customHeight="1">
      <c r="A561" s="25">
        <f ca="1">RANK(I561,I$2:I$651)</f>
        <v>560</v>
      </c>
      <c r="B561" s="26" t="s">
        <v>626</v>
      </c>
      <c r="C561" s="27" t="s">
        <v>95</v>
      </c>
      <c r="D561" s="27" t="s">
        <v>74</v>
      </c>
      <c r="E561" s="46" t="s">
        <v>19</v>
      </c>
      <c r="F561" s="47">
        <f ca="1">VLOOKUP(B561,'C'!A1:I54,IF(Settings!$J$13="points",4,7),FALSE)</f>
        <v>35</v>
      </c>
      <c r="G561" s="30">
        <f>(M561*Settings!$B$2)+(N561*Settings!$B$3)+(O561*Settings!$B$4)+(P561*Settings!$B$5)+(Q561*Settings!$B$6)+((T561-U561-V561-O561)*Settings!$B$9)+(U561*Settings!$B$10)+(V561*Settings!$B$11)+(W561*Settings!$B$12)+(X561*Settings!$B$13)+(AA561*Settings!$B$16)</f>
        <v>159.11833333333337</v>
      </c>
      <c r="H561" s="31">
        <f>VLOOKUP(B561,'Standard Deviations'!$A1:$D651,4,FALSE)</f>
        <v>-4.3150086707617303</v>
      </c>
      <c r="I561" s="32">
        <f ca="1">VLOOKUP(B561,'C'!A1:I54,IF(Settings!$J$13="points",6,9),FALSE)</f>
        <v>-3.5284869644008419</v>
      </c>
      <c r="J561" s="31"/>
      <c r="K561" s="31">
        <f ca="1">J561-A561</f>
        <v>-560</v>
      </c>
      <c r="L561" s="31"/>
      <c r="M561" s="31">
        <f>VLOOKUP($B561,Hitters!$A1:$R401,4,FALSE)</f>
        <v>283.51111111111112</v>
      </c>
      <c r="N561" s="31">
        <f>VLOOKUP($B561,Hitters!$A1:$R401,5,FALSE)</f>
        <v>31.786666666666665</v>
      </c>
      <c r="O561" s="31">
        <f>VLOOKUP($B561,Hitters!$A1:$R401,6,FALSE)</f>
        <v>6.03</v>
      </c>
      <c r="P561" s="31">
        <f>VLOOKUP($B561,Hitters!$A1:$R401,7,FALSE)</f>
        <v>30.906666666666666</v>
      </c>
      <c r="Q561" s="31">
        <f>VLOOKUP($B561,Hitters!$A1:$R401,8,FALSE)</f>
        <v>0.64666666666666661</v>
      </c>
      <c r="R561" s="33">
        <f>VLOOKUP($B561,Hitters!$A$1:$R$401,14,FALSE)</f>
        <v>0.23444505408371219</v>
      </c>
      <c r="S561" s="33">
        <f>VLOOKUP($B561,Hitters!$A$1:$R$401,15,FALSE)</f>
        <v>0.31679628557220074</v>
      </c>
      <c r="T561" s="31">
        <f>VLOOKUP($B561,Hitters!$A$1:$R$401,9,FALSE)</f>
        <v>66.467777777777783</v>
      </c>
      <c r="U561" s="31">
        <f>VLOOKUP($B561,Hitters!$A$1:$R$401,10,FALSE)</f>
        <v>11.492222222222223</v>
      </c>
      <c r="V561" s="31">
        <f>VLOOKUP($B561,Hitters!$A$1:$R$401,11,FALSE)</f>
        <v>0.99555555555555564</v>
      </c>
      <c r="W561" s="31">
        <f>VLOOKUP($B561,Hitters!$A$1:$R$401,12,FALSE)</f>
        <v>29.715</v>
      </c>
      <c r="X561" s="31">
        <f>VLOOKUP($B561,Hitters!$A$1:$R$401,13,FALSE)</f>
        <v>65.248888888888885</v>
      </c>
      <c r="Y561" s="33">
        <f>VLOOKUP($B561,Hitters!$A$1:$R$401,16,FALSE)</f>
        <v>0.34581047186079328</v>
      </c>
      <c r="Z561" s="33">
        <f>VLOOKUP($B561,Hitters!$A$1:$R$401,17,FALSE)</f>
        <v>0.66260675743299402</v>
      </c>
      <c r="AA561" s="31">
        <f>VLOOKUP($B561,Hitters!$A1:$R401,18,FALSE)</f>
        <v>0</v>
      </c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</row>
    <row r="562" spans="1:44" ht="18.600000000000001" customHeight="1">
      <c r="A562" s="25">
        <f ca="1">RANK(I562,I$2:I$651)</f>
        <v>561</v>
      </c>
      <c r="B562" s="26" t="s">
        <v>618</v>
      </c>
      <c r="C562" s="27" t="s">
        <v>103</v>
      </c>
      <c r="D562" s="27" t="s">
        <v>69</v>
      </c>
      <c r="E562" s="46" t="s">
        <v>19</v>
      </c>
      <c r="F562" s="47">
        <f ca="1">VLOOKUP(B562,'C'!A1:I54,IF(Settings!$J$13="points",4,7),FALSE)</f>
        <v>36</v>
      </c>
      <c r="G562" s="30">
        <f>(M562*Settings!$B$2)+(N562*Settings!$B$3)+(O562*Settings!$B$4)+(P562*Settings!$B$5)+(Q562*Settings!$B$6)+((T562-U562-V562-O562)*Settings!$B$9)+(U562*Settings!$B$10)+(V562*Settings!$B$11)+(W562*Settings!$B$12)+(X562*Settings!$B$13)+(AA562*Settings!$B$16)</f>
        <v>140.95666666666665</v>
      </c>
      <c r="H562" s="31">
        <f>VLOOKUP(B562,'Standard Deviations'!$A1:$D651,4,FALSE)</f>
        <v>-4.3290533694774496</v>
      </c>
      <c r="I562" s="32">
        <f ca="1">VLOOKUP(B562,'C'!A1:I54,IF(Settings!$J$13="points",6,9),FALSE)</f>
        <v>-3.5425281230345158</v>
      </c>
      <c r="J562" s="31"/>
      <c r="K562" s="31">
        <f ca="1">J562-A562</f>
        <v>-561</v>
      </c>
      <c r="L562" s="31"/>
      <c r="M562" s="31">
        <f>VLOOKUP($B562,Hitters!$A1:$R401,4,FALSE)</f>
        <v>275.63333333333327</v>
      </c>
      <c r="N562" s="31">
        <f>VLOOKUP($B562,Hitters!$A1:$R401,5,FALSE)</f>
        <v>29.516666666666666</v>
      </c>
      <c r="O562" s="31">
        <f>VLOOKUP($B562,Hitters!$A1:$R401,6,FALSE)</f>
        <v>4.2716666666666665</v>
      </c>
      <c r="P562" s="31">
        <f>VLOOKUP($B562,Hitters!$A1:$R401,7,FALSE)</f>
        <v>25.796666666666667</v>
      </c>
      <c r="Q562" s="31">
        <f>VLOOKUP($B562,Hitters!$A1:$R401,8,FALSE)</f>
        <v>1.1866666666666668</v>
      </c>
      <c r="R562" s="33">
        <f>VLOOKUP($B562,Hitters!$A$1:$R$401,14,FALSE)</f>
        <v>0.24339500947313261</v>
      </c>
      <c r="S562" s="33">
        <f>VLOOKUP($B562,Hitters!$A$1:$R$401,15,FALSE)</f>
        <v>0.30029602212438966</v>
      </c>
      <c r="T562" s="31">
        <f>VLOOKUP($B562,Hitters!$A$1:$R$401,9,FALSE)</f>
        <v>67.087777777777774</v>
      </c>
      <c r="U562" s="31">
        <f>VLOOKUP($B562,Hitters!$A$1:$R$401,10,FALSE)</f>
        <v>14.85</v>
      </c>
      <c r="V562" s="31">
        <f>VLOOKUP($B562,Hitters!$A$1:$R$401,11,FALSE)</f>
        <v>1.0016666666666667</v>
      </c>
      <c r="W562" s="31">
        <f>VLOOKUP($B562,Hitters!$A$1:$R$401,12,FALSE)</f>
        <v>17.889999999999997</v>
      </c>
      <c r="X562" s="31">
        <f>VLOOKUP($B562,Hitters!$A$1:$R$401,13,FALSE)</f>
        <v>62.752222222222223</v>
      </c>
      <c r="Y562" s="33">
        <f>VLOOKUP($B562,Hitters!$A$1:$R$401,16,FALSE)</f>
        <v>0.35103196678356918</v>
      </c>
      <c r="Z562" s="33">
        <f>VLOOKUP($B562,Hitters!$A$1:$R$401,17,FALSE)</f>
        <v>0.65132798890795884</v>
      </c>
      <c r="AA562" s="31">
        <f>VLOOKUP($B562,Hitters!$A1:$R401,18,FALSE)</f>
        <v>0</v>
      </c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</row>
    <row r="563" spans="1:44" ht="20.100000000000001" customHeight="1">
      <c r="A563" s="25">
        <f ca="1">RANK(I563,I$2:I$651)</f>
        <v>562</v>
      </c>
      <c r="B563" s="26" t="s">
        <v>672</v>
      </c>
      <c r="C563" s="27"/>
      <c r="D563" s="27" t="s">
        <v>69</v>
      </c>
      <c r="E563" s="40" t="s">
        <v>7</v>
      </c>
      <c r="F563" s="41">
        <f ca="1">VLOOKUP(B563,'1B'!A1:I63,IF(Settings!$J$13="points",4,7),FALSE)</f>
        <v>49</v>
      </c>
      <c r="G563" s="30">
        <f>(M563*Settings!$B$2)+(N563*Settings!$B$3)+(O563*Settings!$B$4)+(P563*Settings!$B$5)+(Q563*Settings!$B$6)+((T563-U563-V563-O563)*Settings!$B$9)+(U563*Settings!$B$10)+(V563*Settings!$B$11)+(W563*Settings!$B$12)+(X563*Settings!$B$13)+(AA563*Settings!$B$16)</f>
        <v>127.82277777777774</v>
      </c>
      <c r="H563" s="31">
        <f>VLOOKUP(B563,'Standard Deviations'!$A1:$D651,4,FALSE)</f>
        <v>-3.343183231515459</v>
      </c>
      <c r="I563" s="32">
        <f ca="1">IF(Settings!$J$15="no",VLOOKUP(B563,'1B'!A1:I63,IF(Settings!$J$13="points",6,9),FALSE),VLOOKUP(B563,'1B+3B'!$A1:$I104,IF(Settings!$J$13="points",6,9),FALSE))</f>
        <v>-3.5686655668109752</v>
      </c>
      <c r="J563" s="31"/>
      <c r="K563" s="31">
        <f ca="1">J563-A563</f>
        <v>-562</v>
      </c>
      <c r="L563" s="31"/>
      <c r="M563" s="31">
        <f>VLOOKUP($B563,Hitters!$A1:$R401,4,FALSE)</f>
        <v>227.04999999999998</v>
      </c>
      <c r="N563" s="31">
        <f>VLOOKUP($B563,Hitters!$A1:$R401,5,FALSE)</f>
        <v>24.858333333333334</v>
      </c>
      <c r="O563" s="31">
        <f>VLOOKUP($B563,Hitters!$A1:$R401,6,FALSE)</f>
        <v>4.0949999999999998</v>
      </c>
      <c r="P563" s="31">
        <f>VLOOKUP($B563,Hitters!$A1:$R401,7,FALSE)</f>
        <v>24.819999999999997</v>
      </c>
      <c r="Q563" s="31">
        <f>VLOOKUP($B563,Hitters!$A1:$R401,8,FALSE)</f>
        <v>4.5000000000000005E-2</v>
      </c>
      <c r="R563" s="33">
        <f>VLOOKUP($B563,Hitters!$A$1:$R$401,14,FALSE)</f>
        <v>0.27075534023342873</v>
      </c>
      <c r="S563" s="33">
        <f>VLOOKUP($B563,Hitters!$A$1:$R$401,15,FALSE)</f>
        <v>0.32618142340853723</v>
      </c>
      <c r="T563" s="31">
        <f>VLOOKUP($B563,Hitters!$A$1:$R$401,9,FALSE)</f>
        <v>61.474999999999994</v>
      </c>
      <c r="U563" s="31">
        <f>VLOOKUP($B563,Hitters!$A$1:$R$401,10,FALSE)</f>
        <v>12.913333333333332</v>
      </c>
      <c r="V563" s="31">
        <f>VLOOKUP($B563,Hitters!$A$1:$R$401,11,FALSE)</f>
        <v>6.6666666666666654E-3</v>
      </c>
      <c r="W563" s="31">
        <f>VLOOKUP($B563,Hitters!$A$1:$R$401,12,FALSE)</f>
        <v>15.198333333333332</v>
      </c>
      <c r="X563" s="31">
        <f>VLOOKUP($B563,Hitters!$A$1:$R$401,13,FALSE)</f>
        <v>47.661111111111119</v>
      </c>
      <c r="Y563" s="33">
        <f>VLOOKUP($B563,Hitters!$A$1:$R$401,16,FALSE)</f>
        <v>0.38179549291639137</v>
      </c>
      <c r="Z563" s="33">
        <f>VLOOKUP($B563,Hitters!$A$1:$R$401,17,FALSE)</f>
        <v>0.70797691632492854</v>
      </c>
      <c r="AA563" s="31">
        <f>VLOOKUP($B563,Hitters!$A1:$R401,18,FALSE)</f>
        <v>0</v>
      </c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</row>
    <row r="564" spans="1:44" ht="18.600000000000001" customHeight="1">
      <c r="A564" s="25">
        <f ca="1">RANK(I564,I$2:I$651)</f>
        <v>563</v>
      </c>
      <c r="B564" s="26" t="s">
        <v>631</v>
      </c>
      <c r="C564" s="27" t="s">
        <v>103</v>
      </c>
      <c r="D564" s="27" t="s">
        <v>69</v>
      </c>
      <c r="E564" s="46" t="s">
        <v>19</v>
      </c>
      <c r="F564" s="47">
        <f ca="1">VLOOKUP(B564,'C'!A1:I54,IF(Settings!$J$13="points",4,7),FALSE)</f>
        <v>37</v>
      </c>
      <c r="G564" s="30">
        <f>(M564*Settings!$B$2)+(N564*Settings!$B$3)+(O564*Settings!$B$4)+(P564*Settings!$B$5)+(Q564*Settings!$B$6)+((T564-U564-V564-O564)*Settings!$B$9)+(U564*Settings!$B$10)+(V564*Settings!$B$11)+(W564*Settings!$B$12)+(X564*Settings!$B$13)+(AA564*Settings!$B$16)</f>
        <v>104.48222222222219</v>
      </c>
      <c r="H564" s="31">
        <f>VLOOKUP(B564,'Standard Deviations'!$A1:$D651,4,FALSE)</f>
        <v>-4.4552618376727704</v>
      </c>
      <c r="I564" s="32">
        <f ca="1">VLOOKUP(B564,'C'!A1:I54,IF(Settings!$J$13="points",6,9),FALSE)</f>
        <v>-3.6687398626463024</v>
      </c>
      <c r="J564" s="31"/>
      <c r="K564" s="31">
        <f ca="1">J564-A564</f>
        <v>-563</v>
      </c>
      <c r="L564" s="31"/>
      <c r="M564" s="31">
        <f>VLOOKUP($B564,Hitters!$A1:$R401,4,FALSE)</f>
        <v>202.14444444444447</v>
      </c>
      <c r="N564" s="31">
        <f>VLOOKUP($B564,Hitters!$A1:$R401,5,FALSE)</f>
        <v>22.426666666666666</v>
      </c>
      <c r="O564" s="31">
        <f>VLOOKUP($B564,Hitters!$A1:$R401,6,FALSE)</f>
        <v>5.9244444444444442</v>
      </c>
      <c r="P564" s="31">
        <f>VLOOKUP($B564,Hitters!$A1:$R401,7,FALSE)</f>
        <v>25.034444444444443</v>
      </c>
      <c r="Q564" s="31">
        <f>VLOOKUP($B564,Hitters!$A1:$R401,8,FALSE)</f>
        <v>2.0183333333333335</v>
      </c>
      <c r="R564" s="33">
        <f>VLOOKUP($B564,Hitters!$A$1:$R$401,14,FALSE)</f>
        <v>0.24160391359314015</v>
      </c>
      <c r="S564" s="33">
        <f>VLOOKUP($B564,Hitters!$A$1:$R$401,15,FALSE)</f>
        <v>0.28799765303123726</v>
      </c>
      <c r="T564" s="31">
        <f>VLOOKUP($B564,Hitters!$A$1:$R$401,9,FALSE)</f>
        <v>48.838888888888881</v>
      </c>
      <c r="U564" s="31">
        <f>VLOOKUP($B564,Hitters!$A$1:$R$401,10,FALSE)</f>
        <v>9.3944444444444439</v>
      </c>
      <c r="V564" s="31">
        <f>VLOOKUP($B564,Hitters!$A$1:$R$401,11,FALSE)</f>
        <v>0.87222222222222223</v>
      </c>
      <c r="W564" s="31">
        <f>VLOOKUP($B564,Hitters!$A$1:$R$401,12,FALSE)</f>
        <v>9.7533333333333321</v>
      </c>
      <c r="X564" s="31">
        <f>VLOOKUP($B564,Hitters!$A$1:$R$401,13,FALSE)</f>
        <v>69.040000000000006</v>
      </c>
      <c r="Y564" s="33">
        <f>VLOOKUP($B564,Hitters!$A$1:$R$401,16,FALSE)</f>
        <v>0.38463145165723067</v>
      </c>
      <c r="Z564" s="33">
        <f>VLOOKUP($B564,Hitters!$A$1:$R$401,17,FALSE)</f>
        <v>0.67262910468846793</v>
      </c>
      <c r="AA564" s="31">
        <f>VLOOKUP($B564,Hitters!$A1:$R401,18,FALSE)</f>
        <v>0</v>
      </c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</row>
    <row r="565" spans="1:44" ht="18.600000000000001" customHeight="1">
      <c r="A565" s="25">
        <f ca="1">RANK(I565,I$2:I$651)</f>
        <v>564</v>
      </c>
      <c r="B565" s="26" t="s">
        <v>636</v>
      </c>
      <c r="C565" s="27" t="s">
        <v>117</v>
      </c>
      <c r="D565" s="27" t="s">
        <v>69</v>
      </c>
      <c r="E565" s="36" t="s">
        <v>31</v>
      </c>
      <c r="F565" s="37">
        <f ca="1">VLOOKUP(B565,SP!A1:I161,IF(Settings!$J$13="points",4,7),FALSE)</f>
        <v>155</v>
      </c>
      <c r="G565" s="30">
        <f>(AC565*Settings!$F$2)+(AF565*Settings!$F$5)+(AG565*Settings!$F$6)+(AH565*Settings!$F$7)+(AI565*Settings!$F$8)+(AJ565*Settings!$F$9)+(AK565*Settings!$F$10)+(AL565*Settings!$F$11)+(AM565*Settings!$F$12)+(AN565*Settings!$F$13)+(AO565*Settings!$F$14)+(AP565*Settings!$F$15)+(AQ565*Settings!$F$16)+(AR565*Settings!$F$17)</f>
        <v>263.54904444444435</v>
      </c>
      <c r="H565" s="31">
        <f>VLOOKUP(B565,'Standard Deviations'!$A1:$D651,4,FALSE)</f>
        <v>-4.5611176762843044</v>
      </c>
      <c r="I565" s="32">
        <f ca="1">IF(Settings!$J$16="no",VLOOKUP(B565,SP!A1:I161,IF(Settings!$J$13="points",6,9),FALSE),VLOOKUP(B565,'SP+RP'!$A1:$I251,IF(Settings!$J$13="points",6,9),FALSE))</f>
        <v>-3.693537143488741</v>
      </c>
      <c r="J565" s="31"/>
      <c r="K565" s="31">
        <f ca="1">J565-A565</f>
        <v>-564</v>
      </c>
      <c r="L565" s="31"/>
      <c r="M565" s="31"/>
      <c r="N565" s="31"/>
      <c r="O565" s="31"/>
      <c r="P565" s="31"/>
      <c r="Q565" s="31"/>
      <c r="R565" s="33"/>
      <c r="S565" s="33"/>
      <c r="T565" s="31"/>
      <c r="U565" s="31"/>
      <c r="V565" s="31"/>
      <c r="W565" s="31"/>
      <c r="X565" s="31"/>
      <c r="Y565" s="33"/>
      <c r="Z565" s="33"/>
      <c r="AA565" s="31"/>
      <c r="AB565" s="31"/>
      <c r="AC565" s="31">
        <f>VLOOKUP($B565,Pitchers!$A1:$S251,4,FALSE)</f>
        <v>163.76833333333332</v>
      </c>
      <c r="AD565" s="33">
        <f>VLOOKUP($B565,Pitchers!$A1:$S251,5,FALSE)</f>
        <v>4.901488484749799</v>
      </c>
      <c r="AE565" s="33">
        <f>VLOOKUP($B565,Pitchers!$A1:$S251,6,FALSE)</f>
        <v>1.4067364807332854</v>
      </c>
      <c r="AF565" s="31">
        <f>VLOOKUP($B565,Pitchers!$A1:$S251,7,FALSE)</f>
        <v>118.80555555555556</v>
      </c>
      <c r="AG565" s="31">
        <f>VLOOKUP($B565,Pitchers!$A1:$S251,8,FALSE)</f>
        <v>8.0549999999999997</v>
      </c>
      <c r="AH565" s="31">
        <f>VLOOKUP($B565,Pitchers!$A1:$S251,9,FALSE)</f>
        <v>0</v>
      </c>
      <c r="AI565" s="31">
        <f>VLOOKUP($B565,Pitchers!$A1:$S251,10,FALSE)</f>
        <v>89.189844444444432</v>
      </c>
      <c r="AJ565" s="31">
        <f>VLOOKUP($B565,Pitchers!$A1:$S251,11,FALSE)</f>
        <v>178.03444444444446</v>
      </c>
      <c r="AK565" s="31">
        <f>VLOOKUP($B565,Pitchers!$A1:$S251,12,FALSE)</f>
        <v>52.344444444444441</v>
      </c>
      <c r="AL565" s="31">
        <f>VLOOKUP($B565,Pitchers!$A1:$S251,13,FALSE)</f>
        <v>26</v>
      </c>
      <c r="AM565" s="31">
        <f>VLOOKUP($B565,Pitchers!$A1:$S251,14,FALSE)</f>
        <v>29.08</v>
      </c>
      <c r="AN565" s="31">
        <f>VLOOKUP($B565,Pitchers!$A1:$S251,15,FALSE)</f>
        <v>29.046666666666667</v>
      </c>
      <c r="AO565" s="31">
        <f>VLOOKUP($B565,Pitchers!$A1:$S251,16,FALSE)</f>
        <v>11.994999999999999</v>
      </c>
      <c r="AP565" s="31">
        <f>VLOOKUP($B565,Pitchers!$A1:$S251,17,FALSE)</f>
        <v>12</v>
      </c>
      <c r="AQ565" s="31">
        <f>VLOOKUP($B565,Pitchers!$A1:$S251,18,FALSE)</f>
        <v>0</v>
      </c>
      <c r="AR565" s="31">
        <f>VLOOKUP($B565,Pitchers!$A1:$S251,19,FALSE)</f>
        <v>0</v>
      </c>
    </row>
    <row r="566" spans="1:44" ht="18.600000000000001" customHeight="1">
      <c r="A566" s="25">
        <f ca="1">RANK(I566,I$2:I$651)</f>
        <v>565</v>
      </c>
      <c r="B566" s="26" t="s">
        <v>598</v>
      </c>
      <c r="C566" s="27" t="s">
        <v>134</v>
      </c>
      <c r="D566" s="27" t="s">
        <v>74</v>
      </c>
      <c r="E566" s="46" t="s">
        <v>19</v>
      </c>
      <c r="F566" s="47">
        <f ca="1">VLOOKUP(B566,'C'!A1:I54,IF(Settings!$J$13="points",4,7),FALSE)</f>
        <v>38</v>
      </c>
      <c r="G566" s="30">
        <f>(M566*Settings!$B$2)+(N566*Settings!$B$3)+(O566*Settings!$B$4)+(P566*Settings!$B$5)+(Q566*Settings!$B$6)+((T566-U566-V566-O566)*Settings!$B$9)+(U566*Settings!$B$10)+(V566*Settings!$B$11)+(W566*Settings!$B$12)+(X566*Settings!$B$13)+(AA566*Settings!$B$16)</f>
        <v>164.25777777777776</v>
      </c>
      <c r="H566" s="31">
        <f>VLOOKUP(B566,'Standard Deviations'!$A1:$D651,4,FALSE)</f>
        <v>-4.4802471696055131</v>
      </c>
      <c r="I566" s="32">
        <f ca="1">VLOOKUP(B566,'C'!A1:I54,IF(Settings!$J$13="points",6,9),FALSE)</f>
        <v>-3.6937227103826507</v>
      </c>
      <c r="J566" s="31"/>
      <c r="K566" s="31">
        <f ca="1">J566-A566</f>
        <v>-565</v>
      </c>
      <c r="L566" s="31"/>
      <c r="M566" s="31">
        <f>VLOOKUP($B566,Hitters!$A1:$R401,4,FALSE)</f>
        <v>327.21666666666664</v>
      </c>
      <c r="N566" s="31">
        <f>VLOOKUP($B566,Hitters!$A1:$R401,5,FALSE)</f>
        <v>32.351666666666667</v>
      </c>
      <c r="O566" s="31">
        <f>VLOOKUP($B566,Hitters!$A1:$R401,6,FALSE)</f>
        <v>5.6783333333333337</v>
      </c>
      <c r="P566" s="31">
        <f>VLOOKUP($B566,Hitters!$A1:$R401,7,FALSE)</f>
        <v>34.00888888888889</v>
      </c>
      <c r="Q566" s="31">
        <f>VLOOKUP($B566,Hitters!$A1:$R401,8,FALSE)</f>
        <v>0.34333333333333343</v>
      </c>
      <c r="R566" s="33">
        <f>VLOOKUP($B566,Hitters!$A$1:$R$401,14,FALSE)</f>
        <v>0.22973564916212502</v>
      </c>
      <c r="S566" s="33">
        <f>VLOOKUP($B566,Hitters!$A$1:$R$401,15,FALSE)</f>
        <v>0.30624833300058557</v>
      </c>
      <c r="T566" s="31">
        <f>VLOOKUP($B566,Hitters!$A$1:$R$401,9,FALSE)</f>
        <v>75.173333333333332</v>
      </c>
      <c r="U566" s="31">
        <f>VLOOKUP($B566,Hitters!$A$1:$R$401,10,FALSE)</f>
        <v>14.081666666666665</v>
      </c>
      <c r="V566" s="31">
        <f>VLOOKUP($B566,Hitters!$A$1:$R$401,11,FALSE)</f>
        <v>2.8333333333333332E-2</v>
      </c>
      <c r="W566" s="31">
        <f>VLOOKUP($B566,Hitters!$A$1:$R$401,12,FALSE)</f>
        <v>30.796666666666667</v>
      </c>
      <c r="X566" s="31">
        <f>VLOOKUP($B566,Hitters!$A$1:$R$401,13,FALSE)</f>
        <v>79.865555555555559</v>
      </c>
      <c r="Y566" s="33">
        <f>VLOOKUP($B566,Hitters!$A$1:$R$401,16,FALSE)</f>
        <v>0.32500382009881323</v>
      </c>
      <c r="Z566" s="33">
        <f>VLOOKUP($B566,Hitters!$A$1:$R$401,17,FALSE)</f>
        <v>0.63125215309939886</v>
      </c>
      <c r="AA566" s="31">
        <f>VLOOKUP($B566,Hitters!$A1:$R401,18,FALSE)</f>
        <v>0</v>
      </c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</row>
    <row r="567" spans="1:44" ht="18.600000000000001" customHeight="1">
      <c r="A567" s="25">
        <f ca="1">RANK(I567,I$2:I$651)</f>
        <v>566</v>
      </c>
      <c r="B567" s="26" t="s">
        <v>576</v>
      </c>
      <c r="C567" s="27" t="s">
        <v>63</v>
      </c>
      <c r="D567" s="27" t="s">
        <v>74</v>
      </c>
      <c r="E567" s="44" t="s">
        <v>112</v>
      </c>
      <c r="F567" s="45">
        <f ca="1">VLOOKUP(B567,'1B'!A1:I63,IF(Settings!$J$13="points",4,7),FALSE)</f>
        <v>43</v>
      </c>
      <c r="G567" s="30">
        <f>(M567*Settings!$B$2)+(N567*Settings!$B$3)+(O567*Settings!$B$4)+(P567*Settings!$B$5)+(Q567*Settings!$B$6)+((T567-U567-V567-O567)*Settings!$B$9)+(U567*Settings!$B$10)+(V567*Settings!$B$11)+(W567*Settings!$B$12)+(X567*Settings!$B$13)+(AA567*Settings!$B$16)</f>
        <v>205.63444444444443</v>
      </c>
      <c r="H567" s="31">
        <f>VLOOKUP(B567,'Standard Deviations'!$A1:$D651,4,FALSE)</f>
        <v>-1.9229267129023966</v>
      </c>
      <c r="I567" s="32">
        <f ca="1">VLOOKUP(B567,'1B'!A1:I63,IF(Settings!$J$13="points",6,9),FALSE)</f>
        <v>-3.7150479897794395</v>
      </c>
      <c r="J567" s="31"/>
      <c r="K567" s="31">
        <f ca="1">J567-A567</f>
        <v>-566</v>
      </c>
      <c r="L567" s="31"/>
      <c r="M567" s="31">
        <f>VLOOKUP($B567,Hitters!$A1:$R401,4,FALSE)</f>
        <v>321.04444444444442</v>
      </c>
      <c r="N567" s="31">
        <f>VLOOKUP($B567,Hitters!$A1:$R401,5,FALSE)</f>
        <v>40.234444444444442</v>
      </c>
      <c r="O567" s="31">
        <f>VLOOKUP($B567,Hitters!$A1:$R401,6,FALSE)</f>
        <v>12.683333333333332</v>
      </c>
      <c r="P567" s="31">
        <f>VLOOKUP($B567,Hitters!$A1:$R401,7,FALSE)</f>
        <v>45.265555555555558</v>
      </c>
      <c r="Q567" s="31">
        <f>VLOOKUP($B567,Hitters!$A1:$R401,8,FALSE)</f>
        <v>1.9955555555555555</v>
      </c>
      <c r="R567" s="33">
        <f>VLOOKUP($B567,Hitters!$A$1:$R$401,14,FALSE)</f>
        <v>0.24061742922406038</v>
      </c>
      <c r="S567" s="33">
        <f>VLOOKUP($B567,Hitters!$A$1:$R$401,15,FALSE)</f>
        <v>0.31456167002443836</v>
      </c>
      <c r="T567" s="31">
        <f>VLOOKUP($B567,Hitters!$A$1:$R$401,9,FALSE)</f>
        <v>77.248888888888885</v>
      </c>
      <c r="U567" s="31">
        <f>VLOOKUP($B567,Hitters!$A$1:$R$401,10,FALSE)</f>
        <v>13.36</v>
      </c>
      <c r="V567" s="31">
        <f>VLOOKUP($B567,Hitters!$A$1:$R$401,11,FALSE)</f>
        <v>6.6666666666666654E-3</v>
      </c>
      <c r="W567" s="31">
        <f>VLOOKUP($B567,Hitters!$A$1:$R$401,12,FALSE)</f>
        <v>29.554444444444442</v>
      </c>
      <c r="X567" s="31">
        <f>VLOOKUP($B567,Hitters!$A$1:$R$401,13,FALSE)</f>
        <v>84.166666666666671</v>
      </c>
      <c r="Y567" s="33">
        <f>VLOOKUP($B567,Hitters!$A$1:$R$401,16,FALSE)</f>
        <v>0.40079255208693848</v>
      </c>
      <c r="Z567" s="33">
        <f>VLOOKUP($B567,Hitters!$A$1:$R$401,17,FALSE)</f>
        <v>0.71535422211137689</v>
      </c>
      <c r="AA567" s="31">
        <f>VLOOKUP($B567,Hitters!$A1:$R401,18,FALSE)</f>
        <v>0</v>
      </c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</row>
    <row r="568" spans="1:44" ht="20.100000000000001" customHeight="1">
      <c r="A568" s="25">
        <f ca="1">RANK(I568,I$2:I$651)</f>
        <v>567</v>
      </c>
      <c r="B568" s="26" t="s">
        <v>542</v>
      </c>
      <c r="C568" s="27" t="s">
        <v>258</v>
      </c>
      <c r="D568" s="27" t="s">
        <v>69</v>
      </c>
      <c r="E568" s="28" t="s">
        <v>23</v>
      </c>
      <c r="F568" s="29">
        <f ca="1">VLOOKUP(B568,OF!A1:I139,IF(Settings!$J$13="points",4,7),FALSE)</f>
        <v>120</v>
      </c>
      <c r="G568" s="30">
        <f>(M568*Settings!$B$2)+(N568*Settings!$B$3)+(O568*Settings!$B$4)+(P568*Settings!$B$5)+(Q568*Settings!$B$6)+((T568-U568-V568-O568)*Settings!$B$9)+(U568*Settings!$B$10)+(V568*Settings!$B$11)+(W568*Settings!$B$12)+(X568*Settings!$B$13)+(AA568*Settings!$B$16)</f>
        <v>188.35361111111112</v>
      </c>
      <c r="H568" s="31">
        <f>VLOOKUP(B568,'Standard Deviations'!$A1:$D651,4,FALSE)</f>
        <v>-3.8953787664658406</v>
      </c>
      <c r="I568" s="32">
        <f ca="1">VLOOKUP(B568,OF!A1:I139,IF(Settings!$J$13="points",6,9),FALSE)</f>
        <v>-3.7384488119203922</v>
      </c>
      <c r="J568" s="31"/>
      <c r="K568" s="31">
        <f ca="1">J568-A568</f>
        <v>-567</v>
      </c>
      <c r="L568" s="31"/>
      <c r="M568" s="31">
        <f>VLOOKUP($B568,Hitters!$A1:$R401,4,FALSE)</f>
        <v>345.43333333333334</v>
      </c>
      <c r="N568" s="31">
        <f>VLOOKUP($B568,Hitters!$A1:$R401,5,FALSE)</f>
        <v>38.782222222222224</v>
      </c>
      <c r="O568" s="31">
        <f>VLOOKUP($B568,Hitters!$A1:$R401,6,FALSE)</f>
        <v>8.0549999999999997</v>
      </c>
      <c r="P568" s="31">
        <f>VLOOKUP($B568,Hitters!$A1:$R401,7,FALSE)</f>
        <v>36.295555555555559</v>
      </c>
      <c r="Q568" s="31">
        <f>VLOOKUP($B568,Hitters!$A1:$R401,8,FALSE)</f>
        <v>3.03</v>
      </c>
      <c r="R568" s="33">
        <f>VLOOKUP($B568,Hitters!$A$1:$R$401,14,FALSE)</f>
        <v>0.22026440220013507</v>
      </c>
      <c r="S568" s="33">
        <f>VLOOKUP($B568,Hitters!$A$1:$R$401,15,FALSE)</f>
        <v>0.30524728318160843</v>
      </c>
      <c r="T568" s="31">
        <f>VLOOKUP($B568,Hitters!$A$1:$R$401,9,FALSE)</f>
        <v>76.086666666666659</v>
      </c>
      <c r="U568" s="31">
        <f>VLOOKUP($B568,Hitters!$A$1:$R$401,10,FALSE)</f>
        <v>16.508888888888887</v>
      </c>
      <c r="V568" s="31">
        <f>VLOOKUP($B568,Hitters!$A$1:$R$401,11,FALSE)</f>
        <v>2.6688888888888891</v>
      </c>
      <c r="W568" s="31">
        <f>VLOOKUP($B568,Hitters!$A$1:$R$401,12,FALSE)</f>
        <v>36.653333333333336</v>
      </c>
      <c r="X568" s="31">
        <f>VLOOKUP($B568,Hitters!$A$1:$R$401,13,FALSE)</f>
        <v>103.07166666666667</v>
      </c>
      <c r="Y568" s="33">
        <f>VLOOKUP($B568,Hitters!$A$1:$R$401,16,FALSE)</f>
        <v>0.35346424780468977</v>
      </c>
      <c r="Z568" s="33">
        <f>VLOOKUP($B568,Hitters!$A$1:$R$401,17,FALSE)</f>
        <v>0.6587115309862982</v>
      </c>
      <c r="AA568" s="31">
        <f>VLOOKUP($B568,Hitters!$A1:$R401,18,FALSE)</f>
        <v>0</v>
      </c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</row>
    <row r="569" spans="1:44" ht="18.600000000000001" customHeight="1">
      <c r="A569" s="25">
        <f ca="1">RANK(I569,I$2:I$651)</f>
        <v>568</v>
      </c>
      <c r="B569" s="26" t="s">
        <v>754</v>
      </c>
      <c r="C569" s="27" t="s">
        <v>223</v>
      </c>
      <c r="D569" s="27" t="s">
        <v>74</v>
      </c>
      <c r="E569" s="40" t="s">
        <v>7</v>
      </c>
      <c r="F569" s="41">
        <f ca="1">VLOOKUP(B569,'1B'!A1:I63,IF(Settings!$J$13="points",4,7),FALSE)</f>
        <v>50</v>
      </c>
      <c r="G569" s="30">
        <f>(M569*Settings!$B$2)+(N569*Settings!$B$3)+(O569*Settings!$B$4)+(P569*Settings!$B$5)+(Q569*Settings!$B$6)+((T569-U569-V569-O569)*Settings!$B$9)+(U569*Settings!$B$10)+(V569*Settings!$B$11)+(W569*Settings!$B$12)+(X569*Settings!$B$13)+(AA569*Settings!$B$16)</f>
        <v>146.05312500000002</v>
      </c>
      <c r="H569" s="31">
        <f>VLOOKUP(B569,'Standard Deviations'!$A1:$D651,4,FALSE)</f>
        <v>-3.5588786638730232</v>
      </c>
      <c r="I569" s="32">
        <f ca="1">IF(Settings!$J$15="no",VLOOKUP(B569,'1B'!A1:I63,IF(Settings!$J$13="points",6,9),FALSE),VLOOKUP(B569,'1B+3B'!$A1:$I104,IF(Settings!$J$13="points",6,9),FALSE))</f>
        <v>-3.7843533122267319</v>
      </c>
      <c r="J569" s="31"/>
      <c r="K569" s="31">
        <f ca="1">J569-A569</f>
        <v>-568</v>
      </c>
      <c r="L569" s="31"/>
      <c r="M569" s="31">
        <f>VLOOKUP($B569,Hitters!$A1:$R401,4,FALSE)</f>
        <v>197.26041666666666</v>
      </c>
      <c r="N569" s="31">
        <f>VLOOKUP($B569,Hitters!$A1:$R401,5,FALSE)</f>
        <v>25.933333333333337</v>
      </c>
      <c r="O569" s="31">
        <f>VLOOKUP($B569,Hitters!$A1:$R401,6,FALSE)</f>
        <v>9.625</v>
      </c>
      <c r="P569" s="31">
        <f>VLOOKUP($B569,Hitters!$A1:$R401,7,FALSE)</f>
        <v>32.984375</v>
      </c>
      <c r="Q569" s="31">
        <f>VLOOKUP($B569,Hitters!$A1:$R401,8,FALSE)</f>
        <v>0.82187500000000002</v>
      </c>
      <c r="R569" s="33">
        <f>VLOOKUP($B569,Hitters!$A$1:$R$401,14,FALSE)</f>
        <v>0.24311136927707658</v>
      </c>
      <c r="S569" s="33">
        <f>VLOOKUP($B569,Hitters!$A$1:$R$401,15,FALSE)</f>
        <v>0.32533425600395111</v>
      </c>
      <c r="T569" s="31">
        <f>VLOOKUP($B569,Hitters!$A$1:$R$401,9,FALSE)</f>
        <v>47.95624999999999</v>
      </c>
      <c r="U569" s="31">
        <f>VLOOKUP($B569,Hitters!$A$1:$R$401,10,FALSE)</f>
        <v>9.140625</v>
      </c>
      <c r="V569" s="31">
        <f>VLOOKUP($B569,Hitters!$A$1:$R$401,11,FALSE)</f>
        <v>1.0375000000000001</v>
      </c>
      <c r="W569" s="31">
        <f>VLOOKUP($B569,Hitters!$A$1:$R$401,12,FALSE)</f>
        <v>21.011458333333334</v>
      </c>
      <c r="X569" s="31">
        <f>VLOOKUP($B569,Hitters!$A$1:$R$401,13,FALSE)</f>
        <v>47.133333333333333</v>
      </c>
      <c r="Y569" s="33">
        <f>VLOOKUP($B569,Hitters!$A$1:$R$401,16,FALSE)</f>
        <v>0.44634841844009077</v>
      </c>
      <c r="Z569" s="33">
        <f>VLOOKUP($B569,Hitters!$A$1:$R$401,17,FALSE)</f>
        <v>0.77168267444404193</v>
      </c>
      <c r="AA569" s="31">
        <f>VLOOKUP($B569,Hitters!$A1:$R401,18,FALSE)</f>
        <v>0</v>
      </c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</row>
    <row r="570" spans="1:44" ht="18.600000000000001" customHeight="1">
      <c r="A570" s="25">
        <f ca="1">RANK(I570,I$2:I$651)</f>
        <v>569</v>
      </c>
      <c r="B570" s="26" t="s">
        <v>744</v>
      </c>
      <c r="C570" s="27" t="s">
        <v>86</v>
      </c>
      <c r="D570" s="27" t="s">
        <v>74</v>
      </c>
      <c r="E570" s="42" t="s">
        <v>34</v>
      </c>
      <c r="F570" s="43">
        <f ca="1">VLOOKUP(B570,RP!A1:I91,IF(Settings!$J$13="points",4,7),FALSE)</f>
        <v>90</v>
      </c>
      <c r="G570" s="30">
        <f>(AC570*Settings!$F$2)+(AF570*Settings!$F$5)+(AG570*Settings!$F$6)+(AH570*Settings!$F$7)+(AI570*Settings!$F$8)+(AJ570*Settings!$F$9)+(AK570*Settings!$F$10)+(AL570*Settings!$F$11)+(AM570*Settings!$F$12)+(AN570*Settings!$F$13)+(AO570*Settings!$F$14)+(AP570*Settings!$F$15)+(AQ570*Settings!$F$16)+(AR570*Settings!$F$17)</f>
        <v>143.6033333333333</v>
      </c>
      <c r="H570" s="31">
        <f>VLOOKUP(B570,'Standard Deviations'!$A1:$D651,4,FALSE)</f>
        <v>-4.6534264257319293</v>
      </c>
      <c r="I570" s="32">
        <f ca="1">IF(Settings!$J$16="no",VLOOKUP(B570,RP!A1:I91,IF(Settings!$J$13="points",6,9),FALSE),VLOOKUP(B570,'SP+RP'!$A1:$I251,IF(Settings!$J$13="points",6,9),FALSE))</f>
        <v>-3.7858453709550233</v>
      </c>
      <c r="J570" s="31"/>
      <c r="K570" s="31">
        <f ca="1">J570-A570</f>
        <v>-569</v>
      </c>
      <c r="L570" s="31"/>
      <c r="M570" s="31"/>
      <c r="N570" s="31"/>
      <c r="O570" s="31"/>
      <c r="P570" s="31"/>
      <c r="Q570" s="31"/>
      <c r="R570" s="33"/>
      <c r="S570" s="33"/>
      <c r="T570" s="31"/>
      <c r="U570" s="31"/>
      <c r="V570" s="31"/>
      <c r="W570" s="31"/>
      <c r="X570" s="31"/>
      <c r="Y570" s="33"/>
      <c r="Z570" s="33"/>
      <c r="AA570" s="31"/>
      <c r="AB570" s="31"/>
      <c r="AC570" s="31">
        <f>VLOOKUP($B570,Pitchers!$A1:$S251,4,FALSE)</f>
        <v>56.512222222222221</v>
      </c>
      <c r="AD570" s="33">
        <f>VLOOKUP($B570,Pitchers!$A1:$S251,5,FALSE)</f>
        <v>4.0769941605552393</v>
      </c>
      <c r="AE570" s="33">
        <f>VLOOKUP($B570,Pitchers!$A1:$S251,6,FALSE)</f>
        <v>1.4079550146477655</v>
      </c>
      <c r="AF570" s="31">
        <f>VLOOKUP($B570,Pitchers!$A1:$S251,7,FALSE)</f>
        <v>55.233333333333327</v>
      </c>
      <c r="AG570" s="31">
        <f>VLOOKUP($B570,Pitchers!$A1:$S251,8,FALSE)</f>
        <v>3</v>
      </c>
      <c r="AH570" s="31">
        <f>VLOOKUP($B570,Pitchers!$A1:$S251,9,FALSE)</f>
        <v>6.5166666666666666</v>
      </c>
      <c r="AI570" s="31">
        <f>VLOOKUP($B570,Pitchers!$A1:$S251,10,FALSE)</f>
        <v>25.600000000000005</v>
      </c>
      <c r="AJ570" s="31">
        <f>VLOOKUP($B570,Pitchers!$A1:$S251,11,FALSE)</f>
        <v>51.800000000000004</v>
      </c>
      <c r="AK570" s="31">
        <f>VLOOKUP($B570,Pitchers!$A1:$S251,12,FALSE)</f>
        <v>27.766666666666666</v>
      </c>
      <c r="AL570" s="31">
        <f>VLOOKUP($B570,Pitchers!$A1:$S251,13,FALSE)</f>
        <v>5.6000000000000005</v>
      </c>
      <c r="AM570" s="31">
        <f>VLOOKUP($B570,Pitchers!$A1:$S251,14,FALSE)</f>
        <v>56.288888888888891</v>
      </c>
      <c r="AN570" s="31">
        <f>VLOOKUP($B570,Pitchers!$A1:$S251,15,FALSE)</f>
        <v>0</v>
      </c>
      <c r="AO570" s="31">
        <f>VLOOKUP($B570,Pitchers!$A1:$S251,16,FALSE)</f>
        <v>3</v>
      </c>
      <c r="AP570" s="31">
        <f>VLOOKUP($B570,Pitchers!$A1:$S251,17,FALSE)</f>
        <v>0</v>
      </c>
      <c r="AQ570" s="31">
        <f>VLOOKUP($B570,Pitchers!$A1:$S251,18,FALSE)</f>
        <v>8.6999999999999993</v>
      </c>
      <c r="AR570" s="31">
        <f>VLOOKUP($B570,Pitchers!$A1:$S251,19,FALSE)</f>
        <v>3.1</v>
      </c>
    </row>
    <row r="571" spans="1:44" ht="18.600000000000001" customHeight="1">
      <c r="A571" s="25">
        <f ca="1">RANK(I571,I$2:I$651)</f>
        <v>570</v>
      </c>
      <c r="B571" s="26" t="s">
        <v>629</v>
      </c>
      <c r="C571" s="27" t="s">
        <v>86</v>
      </c>
      <c r="D571" s="27" t="s">
        <v>69</v>
      </c>
      <c r="E571" s="34" t="s">
        <v>15</v>
      </c>
      <c r="F571" s="35">
        <f ca="1">VLOOKUP(B571,'3B'!A1:I55,IF(Settings!$J$13="points",4,7),FALSE)</f>
        <v>41</v>
      </c>
      <c r="G571" s="30">
        <f>(M571*Settings!$B$2)+(N571*Settings!$B$3)+(O571*Settings!$B$4)+(P571*Settings!$B$5)+(Q571*Settings!$B$6)+((T571-U571-V571-O571)*Settings!$B$9)+(U571*Settings!$B$10)+(V571*Settings!$B$11)+(W571*Settings!$B$12)+(X571*Settings!$B$13)+(AA571*Settings!$B$16)</f>
        <v>167.45277777777778</v>
      </c>
      <c r="H571" s="31">
        <f>VLOOKUP(B571,'Standard Deviations'!$A1:$D651,4,FALSE)</f>
        <v>-3.6269110799683557</v>
      </c>
      <c r="I571" s="32">
        <f ca="1">IF(Settings!$J$15="no",VLOOKUP(B571,'3B'!A1:I55,IF(Settings!$J$13="points",6,9),FALSE),VLOOKUP(B571,'1B+3B'!$A1:$I104,IF(Settings!$J$13="points",6,9),FALSE))</f>
        <v>-3.8523890342161282</v>
      </c>
      <c r="J571" s="31"/>
      <c r="K571" s="31">
        <f ca="1">J571-A571</f>
        <v>-570</v>
      </c>
      <c r="L571" s="31"/>
      <c r="M571" s="31">
        <f>VLOOKUP($B571,Hitters!$A1:$R401,4,FALSE)</f>
        <v>275.17777777777775</v>
      </c>
      <c r="N571" s="31">
        <f>VLOOKUP($B571,Hitters!$A1:$R401,5,FALSE)</f>
        <v>34.443333333333335</v>
      </c>
      <c r="O571" s="31">
        <f>VLOOKUP($B571,Hitters!$A1:$R401,6,FALSE)</f>
        <v>11.031666666666666</v>
      </c>
      <c r="P571" s="31">
        <f>VLOOKUP($B571,Hitters!$A1:$R401,7,FALSE)</f>
        <v>35.436666666666667</v>
      </c>
      <c r="Q571" s="31">
        <f>VLOOKUP($B571,Hitters!$A1:$R401,8,FALSE)</f>
        <v>3.6877777777777774</v>
      </c>
      <c r="R571" s="33">
        <f>VLOOKUP($B571,Hitters!$A$1:$R$401,14,FALSE)</f>
        <v>0.22100864087862393</v>
      </c>
      <c r="S571" s="33">
        <f>VLOOKUP($B571,Hitters!$A$1:$R$401,15,FALSE)</f>
        <v>0.30558624242517823</v>
      </c>
      <c r="T571" s="31">
        <f>VLOOKUP($B571,Hitters!$A$1:$R$401,9,FALSE)</f>
        <v>60.816666666666663</v>
      </c>
      <c r="U571" s="31">
        <f>VLOOKUP($B571,Hitters!$A$1:$R$401,10,FALSE)</f>
        <v>10.245555555555557</v>
      </c>
      <c r="V571" s="31">
        <f>VLOOKUP($B571,Hitters!$A$1:$R$401,11,FALSE)</f>
        <v>0.99777777777777776</v>
      </c>
      <c r="W571" s="31">
        <f>VLOOKUP($B571,Hitters!$A$1:$R$401,12,FALSE)</f>
        <v>29.058333333333337</v>
      </c>
      <c r="X571" s="31">
        <f>VLOOKUP($B571,Hitters!$A$1:$R$401,13,FALSE)</f>
        <v>90.027777777777771</v>
      </c>
      <c r="Y571" s="33">
        <f>VLOOKUP($B571,Hitters!$A$1:$R$401,16,FALSE)</f>
        <v>0.38576072034240494</v>
      </c>
      <c r="Z571" s="33">
        <f>VLOOKUP($B571,Hitters!$A$1:$R$401,17,FALSE)</f>
        <v>0.69134696276758323</v>
      </c>
      <c r="AA571" s="31">
        <f>VLOOKUP($B571,Hitters!$A1:$R401,18,FALSE)</f>
        <v>0</v>
      </c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</row>
    <row r="572" spans="1:44" ht="18.600000000000001" customHeight="1">
      <c r="A572" s="25">
        <f ca="1">RANK(I572,I$2:I$651)</f>
        <v>571</v>
      </c>
      <c r="B572" s="26" t="s">
        <v>652</v>
      </c>
      <c r="C572" s="27" t="s">
        <v>86</v>
      </c>
      <c r="D572" s="27" t="s">
        <v>69</v>
      </c>
      <c r="E572" s="36" t="s">
        <v>31</v>
      </c>
      <c r="F572" s="37">
        <f ca="1">VLOOKUP(B572,SP!A1:I161,IF(Settings!$J$13="points",4,7),FALSE)</f>
        <v>156</v>
      </c>
      <c r="G572" s="30">
        <f>(AC572*Settings!$F$2)+(AF572*Settings!$F$5)+(AG572*Settings!$F$6)+(AH572*Settings!$F$7)+(AI572*Settings!$F$8)+(AJ572*Settings!$F$9)+(AK572*Settings!$F$10)+(AL572*Settings!$F$11)+(AM572*Settings!$F$12)+(AN572*Settings!$F$13)+(AO572*Settings!$F$14)+(AP572*Settings!$F$15)+(AQ572*Settings!$F$16)+(AR572*Settings!$F$17)</f>
        <v>130.64364444444442</v>
      </c>
      <c r="H572" s="31">
        <f>VLOOKUP(B572,'Standard Deviations'!$A1:$D651,4,FALSE)</f>
        <v>-4.7349137541353832</v>
      </c>
      <c r="I572" s="32">
        <f ca="1">IF(Settings!$J$16="no",VLOOKUP(B572,SP!A1:I161,IF(Settings!$J$13="points",6,9),FALSE),VLOOKUP(B572,'SP+RP'!$A1:$I251,IF(Settings!$J$13="points",6,9),FALSE))</f>
        <v>-3.8673356231110869</v>
      </c>
      <c r="J572" s="31"/>
      <c r="K572" s="31">
        <f ca="1">J572-A572</f>
        <v>-571</v>
      </c>
      <c r="L572" s="31"/>
      <c r="M572" s="31"/>
      <c r="N572" s="31"/>
      <c r="O572" s="31"/>
      <c r="P572" s="31"/>
      <c r="Q572" s="31"/>
      <c r="R572" s="33"/>
      <c r="S572" s="33"/>
      <c r="T572" s="31"/>
      <c r="U572" s="31"/>
      <c r="V572" s="31"/>
      <c r="W572" s="31"/>
      <c r="X572" s="31"/>
      <c r="Y572" s="33"/>
      <c r="Z572" s="33"/>
      <c r="AA572" s="31"/>
      <c r="AB572" s="31"/>
      <c r="AC572" s="31">
        <f>VLOOKUP($B572,Pitchers!$A1:$S251,4,FALSE)</f>
        <v>71.842222222222219</v>
      </c>
      <c r="AD572" s="33">
        <f>VLOOKUP($B572,Pitchers!$A1:$S251,5,FALSE)</f>
        <v>4.1908809428067686</v>
      </c>
      <c r="AE572" s="33">
        <f>VLOOKUP($B572,Pitchers!$A1:$S251,6,FALSE)</f>
        <v>1.3420149092146372</v>
      </c>
      <c r="AF572" s="31">
        <f>VLOOKUP($B572,Pitchers!$A1:$S251,7,FALSE)</f>
        <v>65.165555555555557</v>
      </c>
      <c r="AG572" s="31">
        <f>VLOOKUP($B572,Pitchers!$A1:$S251,8,FALSE)</f>
        <v>3.3699999999999997</v>
      </c>
      <c r="AH572" s="31">
        <f>VLOOKUP($B572,Pitchers!$A1:$S251,9,FALSE)</f>
        <v>0</v>
      </c>
      <c r="AI572" s="31">
        <f>VLOOKUP($B572,Pitchers!$A1:$S251,10,FALSE)</f>
        <v>33.453577777777781</v>
      </c>
      <c r="AJ572" s="31">
        <f>VLOOKUP($B572,Pitchers!$A1:$S251,11,FALSE)</f>
        <v>70.51444444444445</v>
      </c>
      <c r="AK572" s="31">
        <f>VLOOKUP($B572,Pitchers!$A1:$S251,12,FALSE)</f>
        <v>25.898888888888891</v>
      </c>
      <c r="AL572" s="31">
        <f>VLOOKUP($B572,Pitchers!$A1:$S251,13,FALSE)</f>
        <v>8.1666666666666661</v>
      </c>
      <c r="AM572" s="31">
        <f>VLOOKUP($B572,Pitchers!$A1:$S251,14,FALSE)</f>
        <v>34.93888888888889</v>
      </c>
      <c r="AN572" s="31">
        <f>VLOOKUP($B572,Pitchers!$A1:$S251,15,FALSE)</f>
        <v>7.9788888888888891</v>
      </c>
      <c r="AO572" s="31">
        <f>VLOOKUP($B572,Pitchers!$A1:$S251,16,FALSE)</f>
        <v>4.0377777777777775</v>
      </c>
      <c r="AP572" s="31">
        <f>VLOOKUP($B572,Pitchers!$A1:$S251,17,FALSE)</f>
        <v>3</v>
      </c>
      <c r="AQ572" s="31">
        <f>VLOOKUP($B572,Pitchers!$A1:$S251,18,FALSE)</f>
        <v>2.5</v>
      </c>
      <c r="AR572" s="31">
        <f>VLOOKUP($B572,Pitchers!$A1:$S251,19,FALSE)</f>
        <v>0</v>
      </c>
    </row>
    <row r="573" spans="1:44" ht="18.600000000000001" customHeight="1">
      <c r="A573" s="25">
        <f ca="1">RANK(I573,I$2:I$651)</f>
        <v>572</v>
      </c>
      <c r="B573" s="26" t="s">
        <v>670</v>
      </c>
      <c r="C573" s="27" t="s">
        <v>223</v>
      </c>
      <c r="D573" s="27" t="s">
        <v>74</v>
      </c>
      <c r="E573" s="28" t="s">
        <v>23</v>
      </c>
      <c r="F573" s="29">
        <f ca="1">VLOOKUP(B573,OF!A1:I139,IF(Settings!$J$13="points",4,7),FALSE)</f>
        <v>121</v>
      </c>
      <c r="G573" s="30">
        <f>(M573*Settings!$B$2)+(N573*Settings!$B$3)+(O573*Settings!$B$4)+(P573*Settings!$B$5)+(Q573*Settings!$B$6)+((T573-U573-V573-O573)*Settings!$B$9)+(U573*Settings!$B$10)+(V573*Settings!$B$11)+(W573*Settings!$B$12)+(X573*Settings!$B$13)+(AA573*Settings!$B$16)</f>
        <v>133.19944444444445</v>
      </c>
      <c r="H573" s="31">
        <f>VLOOKUP(B573,'Standard Deviations'!$A1:$D651,4,FALSE)</f>
        <v>-4.0614134424393589</v>
      </c>
      <c r="I573" s="32">
        <f ca="1">VLOOKUP(B573,OF!A1:I139,IF(Settings!$J$13="points",6,9),FALSE)</f>
        <v>-3.9044777454176605</v>
      </c>
      <c r="J573" s="31"/>
      <c r="K573" s="31">
        <f ca="1">J573-A573</f>
        <v>-572</v>
      </c>
      <c r="L573" s="31"/>
      <c r="M573" s="31">
        <f>VLOOKUP($B573,Hitters!$A1:$R401,4,FALSE)</f>
        <v>211.06666666666669</v>
      </c>
      <c r="N573" s="31">
        <f>VLOOKUP($B573,Hitters!$A1:$R401,5,FALSE)</f>
        <v>27.046666666666667</v>
      </c>
      <c r="O573" s="31">
        <f>VLOOKUP($B573,Hitters!$A1:$R401,6,FALSE)</f>
        <v>8.0833333333333339</v>
      </c>
      <c r="P573" s="31">
        <f>VLOOKUP($B573,Hitters!$A1:$R401,7,FALSE)</f>
        <v>26.813333333333333</v>
      </c>
      <c r="Q573" s="31">
        <f>VLOOKUP($B573,Hitters!$A1:$R401,8,FALSE)</f>
        <v>4.04</v>
      </c>
      <c r="R573" s="33">
        <f>VLOOKUP($B573,Hitters!$A$1:$R$401,14,FALSE)</f>
        <v>0.23284112444725205</v>
      </c>
      <c r="S573" s="33">
        <f>VLOOKUP($B573,Hitters!$A$1:$R$401,15,FALSE)</f>
        <v>0.3047624627049918</v>
      </c>
      <c r="T573" s="31">
        <f>VLOOKUP($B573,Hitters!$A$1:$R$401,9,FALSE)</f>
        <v>49.145000000000003</v>
      </c>
      <c r="U573" s="31">
        <f>VLOOKUP($B573,Hitters!$A$1:$R$401,10,FALSE)</f>
        <v>10.794444444444444</v>
      </c>
      <c r="V573" s="31">
        <f>VLOOKUP($B573,Hitters!$A$1:$R$401,11,FALSE)</f>
        <v>1.0016666666666667</v>
      </c>
      <c r="W573" s="31">
        <f>VLOOKUP($B573,Hitters!$A$1:$R$401,12,FALSE)</f>
        <v>18.408333333333335</v>
      </c>
      <c r="X573" s="31">
        <f>VLOOKUP($B573,Hitters!$A$1:$R$401,13,FALSE)</f>
        <v>66.683333333333337</v>
      </c>
      <c r="Y573" s="33">
        <f>VLOOKUP($B573,Hitters!$A$1:$R$401,16,FALSE)</f>
        <v>0.4083675510633818</v>
      </c>
      <c r="Z573" s="33">
        <f>VLOOKUP($B573,Hitters!$A$1:$R$401,17,FALSE)</f>
        <v>0.71313001376837359</v>
      </c>
      <c r="AA573" s="31">
        <f>VLOOKUP($B573,Hitters!$A1:$R401,18,FALSE)</f>
        <v>0</v>
      </c>
      <c r="AB573" s="31"/>
      <c r="AC573" s="31"/>
      <c r="AD573" s="33"/>
      <c r="AE573" s="33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</row>
    <row r="574" spans="1:44" ht="18.600000000000001" customHeight="1">
      <c r="A574" s="25">
        <f ca="1">RANK(I574,I$2:I$651)</f>
        <v>573</v>
      </c>
      <c r="B574" s="26" t="s">
        <v>619</v>
      </c>
      <c r="C574" s="27" t="s">
        <v>306</v>
      </c>
      <c r="D574" s="27" t="s">
        <v>74</v>
      </c>
      <c r="E574" s="28" t="s">
        <v>23</v>
      </c>
      <c r="F574" s="29">
        <f ca="1">VLOOKUP(B574,OF!A1:I139,IF(Settings!$J$13="points",4,7),FALSE)</f>
        <v>122</v>
      </c>
      <c r="G574" s="30">
        <f>(M574*Settings!$B$2)+(N574*Settings!$B$3)+(O574*Settings!$B$4)+(P574*Settings!$B$5)+(Q574*Settings!$B$6)+((T574-U574-V574-O574)*Settings!$B$9)+(U574*Settings!$B$10)+(V574*Settings!$B$11)+(W574*Settings!$B$12)+(X574*Settings!$B$13)+(AA574*Settings!$B$16)</f>
        <v>129.43305555555557</v>
      </c>
      <c r="H574" s="31">
        <f>VLOOKUP(B574,'Standard Deviations'!$A1:$D651,4,FALSE)</f>
        <v>-4.0701156303576989</v>
      </c>
      <c r="I574" s="32">
        <f ca="1">VLOOKUP(B574,OF!A1:I139,IF(Settings!$J$13="points",6,9),FALSE)</f>
        <v>-3.9131815330056212</v>
      </c>
      <c r="J574" s="31"/>
      <c r="K574" s="31">
        <f ca="1">J574-A574</f>
        <v>-573</v>
      </c>
      <c r="L574" s="31"/>
      <c r="M574" s="31">
        <f>VLOOKUP($B574,Hitters!$A1:$R401,4,FALSE)</f>
        <v>210.76666666666665</v>
      </c>
      <c r="N574" s="31">
        <f>VLOOKUP($B574,Hitters!$A1:$R401,5,FALSE)</f>
        <v>25.666666666666668</v>
      </c>
      <c r="O574" s="31">
        <f>VLOOKUP($B574,Hitters!$A1:$R401,6,FALSE)</f>
        <v>8.8866666666666667</v>
      </c>
      <c r="P574" s="31">
        <f>VLOOKUP($B574,Hitters!$A1:$R401,7,FALSE)</f>
        <v>27.653333333333336</v>
      </c>
      <c r="Q574" s="31">
        <f>VLOOKUP($B574,Hitters!$A1:$R401,8,FALSE)</f>
        <v>5.2522222222222217</v>
      </c>
      <c r="R574" s="33">
        <f>VLOOKUP($B574,Hitters!$A$1:$R$401,14,FALSE)</f>
        <v>0.22790342137171174</v>
      </c>
      <c r="S574" s="33">
        <f>VLOOKUP($B574,Hitters!$A$1:$R$401,15,FALSE)</f>
        <v>0.27757537176528679</v>
      </c>
      <c r="T574" s="31">
        <f>VLOOKUP($B574,Hitters!$A$1:$R$401,9,FALSE)</f>
        <v>48.034444444444439</v>
      </c>
      <c r="U574" s="31">
        <f>VLOOKUP($B574,Hitters!$A$1:$R$401,10,FALSE)</f>
        <v>10.795555555555557</v>
      </c>
      <c r="V574" s="31">
        <f>VLOOKUP($B574,Hitters!$A$1:$R$401,11,FALSE)</f>
        <v>0.98777777777777775</v>
      </c>
      <c r="W574" s="31">
        <f>VLOOKUP($B574,Hitters!$A$1:$R$401,12,FALSE)</f>
        <v>10.842222222222224</v>
      </c>
      <c r="X574" s="31">
        <f>VLOOKUP($B574,Hitters!$A$1:$R$401,13,FALSE)</f>
        <v>65.398333333333326</v>
      </c>
      <c r="Y574" s="33">
        <f>VLOOKUP($B574,Hitters!$A$1:$R$401,16,FALSE)</f>
        <v>0.41498761136591278</v>
      </c>
      <c r="Z574" s="33">
        <f>VLOOKUP($B574,Hitters!$A$1:$R$401,17,FALSE)</f>
        <v>0.69256298313119957</v>
      </c>
      <c r="AA574" s="31">
        <f>VLOOKUP($B574,Hitters!$A1:$R401,18,FALSE)</f>
        <v>0</v>
      </c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</row>
    <row r="575" spans="1:44" ht="18.600000000000001" customHeight="1">
      <c r="A575" s="25">
        <f ca="1">RANK(I575,I$2:I$651)</f>
        <v>574</v>
      </c>
      <c r="B575" s="26" t="s">
        <v>729</v>
      </c>
      <c r="C575" s="27" t="s">
        <v>176</v>
      </c>
      <c r="D575" s="27" t="s">
        <v>74</v>
      </c>
      <c r="E575" s="38" t="s">
        <v>27</v>
      </c>
      <c r="F575" s="39">
        <f ca="1">VLOOKUP(B575,SS!A1:I45,IF(Settings!$J$13="points",4,7),FALSE)</f>
        <v>39</v>
      </c>
      <c r="G575" s="30">
        <f>(M575*Settings!$B$2)+(N575*Settings!$B$3)+(O575*Settings!$B$4)+(P575*Settings!$B$5)+(Q575*Settings!$B$6)+((T575-U575-V575-O575)*Settings!$B$9)+(U575*Settings!$B$10)+(V575*Settings!$B$11)+(W575*Settings!$B$12)+(X575*Settings!$B$13)+(AA575*Settings!$B$16)</f>
        <v>118.93583333333331</v>
      </c>
      <c r="H575" s="31">
        <f>VLOOKUP(B575,'Standard Deviations'!$A1:$D651,4,FALSE)</f>
        <v>-3.959035182196708</v>
      </c>
      <c r="I575" s="32">
        <f ca="1">IF(Settings!$J$16="no",VLOOKUP(B575,SS!A1:I45,IF(Settings!$J$13="points",6,9),FALSE),VLOOKUP(B575,'2B+SS'!$A1:$I94,IF(Settings!$J$13="points",6,9),FALSE))</f>
        <v>-3.9650816849991926</v>
      </c>
      <c r="J575" s="31"/>
      <c r="K575" s="31">
        <f ca="1">J575-A575</f>
        <v>-574</v>
      </c>
      <c r="L575" s="31"/>
      <c r="M575" s="31">
        <f>VLOOKUP($B575,Hitters!$A1:$R401,4,FALSE)</f>
        <v>196.26666666666665</v>
      </c>
      <c r="N575" s="31">
        <f>VLOOKUP($B575,Hitters!$A1:$R401,5,FALSE)</f>
        <v>23.628888888888891</v>
      </c>
      <c r="O575" s="31">
        <f>VLOOKUP($B575,Hitters!$A1:$R401,6,FALSE)</f>
        <v>6.2922222222222217</v>
      </c>
      <c r="P575" s="31">
        <f>VLOOKUP($B575,Hitters!$A1:$R401,7,FALSE)</f>
        <v>24.843333333333334</v>
      </c>
      <c r="Q575" s="31">
        <f>VLOOKUP($B575,Hitters!$A1:$R401,8,FALSE)</f>
        <v>1.7822222222222222</v>
      </c>
      <c r="R575" s="33">
        <f>VLOOKUP($B575,Hitters!$A$1:$R$401,14,FALSE)</f>
        <v>0.24998867753623188</v>
      </c>
      <c r="S575" s="33">
        <f>VLOOKUP($B575,Hitters!$A$1:$R$401,15,FALSE)</f>
        <v>0.294202504478213</v>
      </c>
      <c r="T575" s="31">
        <f>VLOOKUP($B575,Hitters!$A$1:$R$401,9,FALSE)</f>
        <v>49.06444444444444</v>
      </c>
      <c r="U575" s="31">
        <f>VLOOKUP($B575,Hitters!$A$1:$R$401,10,FALSE)</f>
        <v>11.24111111111111</v>
      </c>
      <c r="V575" s="31">
        <f>VLOOKUP($B575,Hitters!$A$1:$R$401,11,FALSE)</f>
        <v>0.98333333333333339</v>
      </c>
      <c r="W575" s="31">
        <f>VLOOKUP($B575,Hitters!$A$1:$R$401,12,FALSE)</f>
        <v>9.0244444444444447</v>
      </c>
      <c r="X575" s="31">
        <f>VLOOKUP($B575,Hitters!$A$1:$R$401,13,FALSE)</f>
        <v>46.548333333333339</v>
      </c>
      <c r="Y575" s="33">
        <f>VLOOKUP($B575,Hitters!$A$1:$R$401,16,FALSE)</f>
        <v>0.41346240942028983</v>
      </c>
      <c r="Z575" s="33">
        <f>VLOOKUP($B575,Hitters!$A$1:$R$401,17,FALSE)</f>
        <v>0.70766491389850283</v>
      </c>
      <c r="AA575" s="31">
        <f>VLOOKUP($B575,Hitters!$A1:$R401,18,FALSE)</f>
        <v>0</v>
      </c>
      <c r="AB575" s="31"/>
      <c r="AC575" s="31"/>
      <c r="AD575" s="33"/>
      <c r="AE575" s="33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</row>
    <row r="576" spans="1:44" ht="18.600000000000001" customHeight="1">
      <c r="A576" s="25">
        <f ca="1">RANK(I576,I$2:I$651)</f>
        <v>575</v>
      </c>
      <c r="B576" s="26" t="s">
        <v>608</v>
      </c>
      <c r="C576" s="27" t="s">
        <v>63</v>
      </c>
      <c r="D576" s="27" t="s">
        <v>74</v>
      </c>
      <c r="E576" s="28" t="s">
        <v>23</v>
      </c>
      <c r="F576" s="29">
        <f ca="1">VLOOKUP(B576,OF!A1:I139,IF(Settings!$J$13="points",4,7),FALSE)</f>
        <v>123</v>
      </c>
      <c r="G576" s="30">
        <f>(M576*Settings!$B$2)+(N576*Settings!$B$3)+(O576*Settings!$B$4)+(P576*Settings!$B$5)+(Q576*Settings!$B$6)+((T576-U576-V576-O576)*Settings!$B$9)+(U576*Settings!$B$10)+(V576*Settings!$B$11)+(W576*Settings!$B$12)+(X576*Settings!$B$13)+(AA576*Settings!$B$16)</f>
        <v>128.28333333333336</v>
      </c>
      <c r="H576" s="31">
        <f>VLOOKUP(B576,'Standard Deviations'!$A1:$D651,4,FALSE)</f>
        <v>-4.1467001859372239</v>
      </c>
      <c r="I576" s="32">
        <f ca="1">VLOOKUP(B576,OF!A1:I139,IF(Settings!$J$13="points",6,9),FALSE)</f>
        <v>-3.9897676657991554</v>
      </c>
      <c r="J576" s="31"/>
      <c r="K576" s="31">
        <f ca="1">J576-A576</f>
        <v>-575</v>
      </c>
      <c r="L576" s="31"/>
      <c r="M576" s="31">
        <f>VLOOKUP($B576,Hitters!$A1:$R401,4,FALSE)</f>
        <v>225.13333333333333</v>
      </c>
      <c r="N576" s="31">
        <f>VLOOKUP($B576,Hitters!$A1:$R401,5,FALSE)</f>
        <v>27.181666666666668</v>
      </c>
      <c r="O576" s="31">
        <f>VLOOKUP($B576,Hitters!$A1:$R401,6,FALSE)</f>
        <v>4.6766666666666667</v>
      </c>
      <c r="P576" s="31">
        <f>VLOOKUP($B576,Hitters!$A1:$R401,7,FALSE)</f>
        <v>23.091666666666665</v>
      </c>
      <c r="Q576" s="31">
        <f>VLOOKUP($B576,Hitters!$A1:$R401,8,FALSE)</f>
        <v>9.9877777777777776</v>
      </c>
      <c r="R576" s="33">
        <f>VLOOKUP($B576,Hitters!$A$1:$R$401,14,FALSE)</f>
        <v>0.22629552857565888</v>
      </c>
      <c r="S576" s="33">
        <f>VLOOKUP($B576,Hitters!$A$1:$R$401,15,FALSE)</f>
        <v>0.28166824786805811</v>
      </c>
      <c r="T576" s="31">
        <f>VLOOKUP($B576,Hitters!$A$1:$R$401,9,FALSE)</f>
        <v>50.946666666666665</v>
      </c>
      <c r="U576" s="31">
        <f>VLOOKUP($B576,Hitters!$A$1:$R$401,10,FALSE)</f>
        <v>10.741666666666667</v>
      </c>
      <c r="V576" s="31">
        <f>VLOOKUP($B576,Hitters!$A$1:$R$401,11,FALSE)</f>
        <v>0.99888888888888883</v>
      </c>
      <c r="W576" s="31">
        <f>VLOOKUP($B576,Hitters!$A$1:$R$401,12,FALSE)</f>
        <v>13.491666666666667</v>
      </c>
      <c r="X576" s="31">
        <f>VLOOKUP($B576,Hitters!$A$1:$R$401,13,FALSE)</f>
        <v>66.346666666666664</v>
      </c>
      <c r="Y576" s="33">
        <f>VLOOKUP($B576,Hitters!$A$1:$R$401,16,FALSE)</f>
        <v>0.34520037508636853</v>
      </c>
      <c r="Z576" s="33">
        <f>VLOOKUP($B576,Hitters!$A$1:$R$401,17,FALSE)</f>
        <v>0.62686862295442669</v>
      </c>
      <c r="AA576" s="31">
        <f>VLOOKUP($B576,Hitters!$A1:$R401,18,FALSE)</f>
        <v>0</v>
      </c>
      <c r="AB576" s="31"/>
      <c r="AC576" s="31"/>
      <c r="AD576" s="33"/>
      <c r="AE576" s="33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</row>
    <row r="577" spans="1:44" ht="18.600000000000001" customHeight="1">
      <c r="A577" s="25">
        <f ca="1">RANK(I577,I$2:I$651)</f>
        <v>576</v>
      </c>
      <c r="B577" s="26" t="s">
        <v>655</v>
      </c>
      <c r="C577" s="27" t="s">
        <v>99</v>
      </c>
      <c r="D577" s="27" t="s">
        <v>69</v>
      </c>
      <c r="E577" s="46" t="s">
        <v>19</v>
      </c>
      <c r="F577" s="47">
        <f ca="1">VLOOKUP(B577,'C'!A1:I54,IF(Settings!$J$13="points",4,7),FALSE)</f>
        <v>39</v>
      </c>
      <c r="G577" s="30">
        <f>(M577*Settings!$B$2)+(N577*Settings!$B$3)+(O577*Settings!$B$4)+(P577*Settings!$B$5)+(Q577*Settings!$B$6)+((T577-U577-V577-O577)*Settings!$B$9)+(U577*Settings!$B$10)+(V577*Settings!$B$11)+(W577*Settings!$B$12)+(X577*Settings!$B$13)+(AA577*Settings!$B$16)</f>
        <v>114.31777777777775</v>
      </c>
      <c r="H577" s="31">
        <f>VLOOKUP(B577,'Standard Deviations'!$A1:$D651,4,FALSE)</f>
        <v>-4.9096626522734539</v>
      </c>
      <c r="I577" s="32">
        <f ca="1">VLOOKUP(B577,'C'!A1:I54,IF(Settings!$J$13="points",6,9),FALSE)</f>
        <v>-4.1231436377423778</v>
      </c>
      <c r="J577" s="31"/>
      <c r="K577" s="31">
        <f ca="1">J577-A577</f>
        <v>-576</v>
      </c>
      <c r="L577" s="31"/>
      <c r="M577" s="31">
        <f>VLOOKUP($B577,Hitters!$A1:$R401,4,FALSE)</f>
        <v>219.39999999999998</v>
      </c>
      <c r="N577" s="31">
        <f>VLOOKUP($B577,Hitters!$A1:$R401,5,FALSE)</f>
        <v>24.647777777777776</v>
      </c>
      <c r="O577" s="31">
        <f>VLOOKUP($B577,Hitters!$A1:$R401,6,FALSE)</f>
        <v>5.6750000000000007</v>
      </c>
      <c r="P577" s="31">
        <f>VLOOKUP($B577,Hitters!$A1:$R401,7,FALSE)</f>
        <v>24.656666666666666</v>
      </c>
      <c r="Q577" s="31">
        <f>VLOOKUP($B577,Hitters!$A1:$R401,8,FALSE)</f>
        <v>1.9977777777777777</v>
      </c>
      <c r="R577" s="33">
        <f>VLOOKUP($B577,Hitters!$A$1:$R$401,14,FALSE)</f>
        <v>0.23194317836523859</v>
      </c>
      <c r="S577" s="33">
        <f>VLOOKUP($B577,Hitters!$A$1:$R$401,15,FALSE)</f>
        <v>0.29412765332034174</v>
      </c>
      <c r="T577" s="31">
        <f>VLOOKUP($B577,Hitters!$A$1:$R$401,9,FALSE)</f>
        <v>50.888333333333343</v>
      </c>
      <c r="U577" s="31">
        <f>VLOOKUP($B577,Hitters!$A$1:$R$401,10,FALSE)</f>
        <v>8.4450000000000003</v>
      </c>
      <c r="V577" s="31">
        <f>VLOOKUP($B577,Hitters!$A$1:$R$401,11,FALSE)</f>
        <v>0.47333333333333333</v>
      </c>
      <c r="W577" s="31">
        <f>VLOOKUP($B577,Hitters!$A$1:$R$401,12,FALSE)</f>
        <v>15.671666666666667</v>
      </c>
      <c r="X577" s="31">
        <f>VLOOKUP($B577,Hitters!$A$1:$R$401,13,FALSE)</f>
        <v>63.917777777777779</v>
      </c>
      <c r="Y577" s="33">
        <f>VLOOKUP($B577,Hitters!$A$1:$R$401,16,FALSE)</f>
        <v>0.35234731084776671</v>
      </c>
      <c r="Z577" s="33">
        <f>VLOOKUP($B577,Hitters!$A$1:$R$401,17,FALSE)</f>
        <v>0.64647496416810846</v>
      </c>
      <c r="AA577" s="31">
        <f>VLOOKUP($B577,Hitters!$A1:$R401,18,FALSE)</f>
        <v>0</v>
      </c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</row>
    <row r="578" spans="1:44" ht="18.600000000000001" customHeight="1">
      <c r="A578" s="25">
        <f ca="1">RANK(I578,I$2:I$651)</f>
        <v>577</v>
      </c>
      <c r="B578" s="26" t="s">
        <v>641</v>
      </c>
      <c r="C578" s="27" t="s">
        <v>86</v>
      </c>
      <c r="D578" s="27" t="s">
        <v>69</v>
      </c>
      <c r="E578" s="34" t="s">
        <v>15</v>
      </c>
      <c r="F578" s="35">
        <f ca="1">VLOOKUP(B578,'3B'!A1:I55,IF(Settings!$J$13="points",4,7),FALSE)</f>
        <v>42</v>
      </c>
      <c r="G578" s="30">
        <f>(M578*Settings!$B$2)+(N578*Settings!$B$3)+(O578*Settings!$B$4)+(P578*Settings!$B$5)+(Q578*Settings!$B$6)+((T578-U578-V578-O578)*Settings!$B$9)+(U578*Settings!$B$10)+(V578*Settings!$B$11)+(W578*Settings!$B$12)+(X578*Settings!$B$13)+(AA578*Settings!$B$16)</f>
        <v>135.36333333333332</v>
      </c>
      <c r="H578" s="31">
        <f>VLOOKUP(B578,'Standard Deviations'!$A1:$D651,4,FALSE)</f>
        <v>-3.9069194752455134</v>
      </c>
      <c r="I578" s="32">
        <f ca="1">IF(Settings!$J$15="no",VLOOKUP(B578,'3B'!A1:I55,IF(Settings!$J$13="points",6,9),FALSE),VLOOKUP(B578,'1B+3B'!$A1:$I104,IF(Settings!$J$13="points",6,9),FALSE))</f>
        <v>-4.1323992040551669</v>
      </c>
      <c r="J578" s="31"/>
      <c r="K578" s="31">
        <f ca="1">J578-A578</f>
        <v>-577</v>
      </c>
      <c r="L578" s="31"/>
      <c r="M578" s="31">
        <f>VLOOKUP($B578,Hitters!$A1:$R401,4,FALSE)</f>
        <v>226.10000000000002</v>
      </c>
      <c r="N578" s="31">
        <f>VLOOKUP($B578,Hitters!$A1:$R401,5,FALSE)</f>
        <v>27.178888888888888</v>
      </c>
      <c r="O578" s="31">
        <f>VLOOKUP($B578,Hitters!$A1:$R401,6,FALSE)</f>
        <v>6.5711111111111107</v>
      </c>
      <c r="P578" s="31">
        <f>VLOOKUP($B578,Hitters!$A1:$R401,7,FALSE)</f>
        <v>26.564444444444444</v>
      </c>
      <c r="Q578" s="31">
        <f>VLOOKUP($B578,Hitters!$A1:$R401,8,FALSE)</f>
        <v>5.442222222222223</v>
      </c>
      <c r="R578" s="33">
        <f>VLOOKUP($B578,Hitters!$A$1:$R$401,14,FALSE)</f>
        <v>0.23570691434468521</v>
      </c>
      <c r="S578" s="33">
        <f>VLOOKUP($B578,Hitters!$A$1:$R$401,15,FALSE)</f>
        <v>0.29061297585687068</v>
      </c>
      <c r="T578" s="31">
        <f>VLOOKUP($B578,Hitters!$A$1:$R$401,9,FALSE)</f>
        <v>53.293333333333329</v>
      </c>
      <c r="U578" s="31">
        <f>VLOOKUP($B578,Hitters!$A$1:$R$401,10,FALSE)</f>
        <v>12.228888888888889</v>
      </c>
      <c r="V578" s="31">
        <f>VLOOKUP($B578,Hitters!$A$1:$R$401,11,FALSE)</f>
        <v>0.99777777777777776</v>
      </c>
      <c r="W578" s="31">
        <f>VLOOKUP($B578,Hitters!$A$1:$R$401,12,FALSE)</f>
        <v>13.700000000000001</v>
      </c>
      <c r="X578" s="31">
        <f>VLOOKUP($B578,Hitters!$A$1:$R$401,13,FALSE)</f>
        <v>60.391111111111115</v>
      </c>
      <c r="Y578" s="33">
        <f>VLOOKUP($B578,Hitters!$A$1:$R$401,16,FALSE)</f>
        <v>0.3858076563958916</v>
      </c>
      <c r="Z578" s="33">
        <f>VLOOKUP($B578,Hitters!$A$1:$R$401,17,FALSE)</f>
        <v>0.67642063225276228</v>
      </c>
      <c r="AA578" s="31">
        <f>VLOOKUP($B578,Hitters!$A1:$R401,18,FALSE)</f>
        <v>0</v>
      </c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</row>
    <row r="579" spans="1:44" ht="18.600000000000001" customHeight="1">
      <c r="A579" s="25">
        <f ca="1">RANK(I579,I$2:I$651)</f>
        <v>578</v>
      </c>
      <c r="B579" s="26" t="s">
        <v>627</v>
      </c>
      <c r="C579" s="27" t="s">
        <v>78</v>
      </c>
      <c r="D579" s="27" t="s">
        <v>69</v>
      </c>
      <c r="E579" s="28" t="s">
        <v>23</v>
      </c>
      <c r="F579" s="29">
        <f ca="1">VLOOKUP(B579,OF!A1:I139,IF(Settings!$J$13="points",4,7),FALSE)</f>
        <v>124</v>
      </c>
      <c r="G579" s="30">
        <f>(M579*Settings!$B$2)+(N579*Settings!$B$3)+(O579*Settings!$B$4)+(P579*Settings!$B$5)+(Q579*Settings!$B$6)+((T579-U579-V579-O579)*Settings!$B$9)+(U579*Settings!$B$10)+(V579*Settings!$B$11)+(W579*Settings!$B$12)+(X579*Settings!$B$13)+(AA579*Settings!$B$16)</f>
        <v>125.6122222222222</v>
      </c>
      <c r="H579" s="31">
        <f>VLOOKUP(B579,'Standard Deviations'!$A1:$D651,4,FALSE)</f>
        <v>-4.2926184153724876</v>
      </c>
      <c r="I579" s="32">
        <f ca="1">VLOOKUP(B579,OF!A1:I139,IF(Settings!$J$13="points",6,9),FALSE)</f>
        <v>-4.1356866153956338</v>
      </c>
      <c r="J579" s="31"/>
      <c r="K579" s="31">
        <f ca="1">J579-A579</f>
        <v>-578</v>
      </c>
      <c r="L579" s="31"/>
      <c r="M579" s="31">
        <f>VLOOKUP($B579,Hitters!$A1:$R401,4,FALSE)</f>
        <v>214.5</v>
      </c>
      <c r="N579" s="31">
        <f>VLOOKUP($B579,Hitters!$A1:$R401,5,FALSE)</f>
        <v>26.396666666666665</v>
      </c>
      <c r="O579" s="31">
        <f>VLOOKUP($B579,Hitters!$A1:$R401,6,FALSE)</f>
        <v>5.8688888888888888</v>
      </c>
      <c r="P579" s="31">
        <f>VLOOKUP($B579,Hitters!$A1:$R401,7,FALSE)</f>
        <v>25.959999999999997</v>
      </c>
      <c r="Q579" s="31">
        <f>VLOOKUP($B579,Hitters!$A1:$R401,8,FALSE)</f>
        <v>3.86</v>
      </c>
      <c r="R579" s="33">
        <f>VLOOKUP($B579,Hitters!$A$1:$R$401,14,FALSE)</f>
        <v>0.23554001554001555</v>
      </c>
      <c r="S579" s="33">
        <f>VLOOKUP($B579,Hitters!$A$1:$R$401,15,FALSE)</f>
        <v>0.30178277302061707</v>
      </c>
      <c r="T579" s="31">
        <f>VLOOKUP($B579,Hitters!$A$1:$R$401,9,FALSE)</f>
        <v>50.523333333333333</v>
      </c>
      <c r="U579" s="31">
        <f>VLOOKUP($B579,Hitters!$A$1:$R$401,10,FALSE)</f>
        <v>10.001666666666667</v>
      </c>
      <c r="V579" s="31">
        <f>VLOOKUP($B579,Hitters!$A$1:$R$401,11,FALSE)</f>
        <v>1.0049999999999999</v>
      </c>
      <c r="W579" s="31">
        <f>VLOOKUP($B579,Hitters!$A$1:$R$401,12,FALSE)</f>
        <v>16.842222222222222</v>
      </c>
      <c r="X579" s="31">
        <f>VLOOKUP($B579,Hitters!$A$1:$R$401,13,FALSE)</f>
        <v>62.896666666666668</v>
      </c>
      <c r="Y579" s="33">
        <f>VLOOKUP($B579,Hitters!$A$1:$R$401,16,FALSE)</f>
        <v>0.37362082362082361</v>
      </c>
      <c r="Z579" s="33">
        <f>VLOOKUP($B579,Hitters!$A$1:$R$401,17,FALSE)</f>
        <v>0.67540359664144067</v>
      </c>
      <c r="AA579" s="31">
        <f>VLOOKUP($B579,Hitters!$A1:$R401,18,FALSE)</f>
        <v>0</v>
      </c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</row>
    <row r="580" spans="1:44" ht="18.600000000000001" customHeight="1">
      <c r="A580" s="25">
        <f ca="1">RANK(I580,I$2:I$651)</f>
        <v>579</v>
      </c>
      <c r="B580" s="26" t="s">
        <v>610</v>
      </c>
      <c r="C580" s="27" t="s">
        <v>120</v>
      </c>
      <c r="D580" s="27" t="s">
        <v>74</v>
      </c>
      <c r="E580" s="34" t="s">
        <v>15</v>
      </c>
      <c r="F580" s="35">
        <f ca="1">VLOOKUP(B580,'3B'!A1:I55,IF(Settings!$J$13="points",4,7),FALSE)</f>
        <v>43</v>
      </c>
      <c r="G580" s="30">
        <f>(M580*Settings!$B$2)+(N580*Settings!$B$3)+(O580*Settings!$B$4)+(P580*Settings!$B$5)+(Q580*Settings!$B$6)+((T580-U580-V580-O580)*Settings!$B$9)+(U580*Settings!$B$10)+(V580*Settings!$B$11)+(W580*Settings!$B$12)+(X580*Settings!$B$13)+(AA580*Settings!$B$16)</f>
        <v>133.77333333333331</v>
      </c>
      <c r="H580" s="31">
        <f>VLOOKUP(B580,'Standard Deviations'!$A1:$D651,4,FALSE)</f>
        <v>-3.9190594700323116</v>
      </c>
      <c r="I580" s="32">
        <f ca="1">IF(Settings!$J$15="no",VLOOKUP(B580,'3B'!A1:I55,IF(Settings!$J$13="points",6,9),FALSE),VLOOKUP(B580,'1B+3B'!$A1:$I104,IF(Settings!$J$13="points",6,9),FALSE))</f>
        <v>-4.144538035816387</v>
      </c>
      <c r="J580" s="31"/>
      <c r="K580" s="31">
        <f ca="1">J580-A580</f>
        <v>-579</v>
      </c>
      <c r="L580" s="31"/>
      <c r="M580" s="31">
        <f>VLOOKUP($B580,Hitters!$A1:$R401,4,FALSE)</f>
        <v>217.93333333333337</v>
      </c>
      <c r="N580" s="31">
        <f>VLOOKUP($B580,Hitters!$A1:$R401,5,FALSE)</f>
        <v>26.953333333333333</v>
      </c>
      <c r="O580" s="31">
        <f>VLOOKUP($B580,Hitters!$A1:$R401,6,FALSE)</f>
        <v>6.8433333333333337</v>
      </c>
      <c r="P580" s="31">
        <f>VLOOKUP($B580,Hitters!$A1:$R401,7,FALSE)</f>
        <v>27.405555555555555</v>
      </c>
      <c r="Q580" s="31">
        <f>VLOOKUP($B580,Hitters!$A1:$R401,8,FALSE)</f>
        <v>1.9466666666666665</v>
      </c>
      <c r="R580" s="33">
        <f>VLOOKUP($B580,Hitters!$A$1:$R$401,14,FALSE)</f>
        <v>0.24382583868665236</v>
      </c>
      <c r="S580" s="33">
        <f>VLOOKUP($B580,Hitters!$A$1:$R$401,15,FALSE)</f>
        <v>0.30554582411887921</v>
      </c>
      <c r="T580" s="31">
        <f>VLOOKUP($B580,Hitters!$A$1:$R$401,9,FALSE)</f>
        <v>53.137777777777778</v>
      </c>
      <c r="U580" s="31">
        <f>VLOOKUP($B580,Hitters!$A$1:$R$401,10,FALSE)</f>
        <v>10.848333333333334</v>
      </c>
      <c r="V580" s="31">
        <f>VLOOKUP($B580,Hitters!$A$1:$R$401,11,FALSE)</f>
        <v>1.0466666666666666</v>
      </c>
      <c r="W580" s="31">
        <f>VLOOKUP($B580,Hitters!$A$1:$R$401,12,FALSE)</f>
        <v>15.838333333333333</v>
      </c>
      <c r="X580" s="31">
        <f>VLOOKUP($B580,Hitters!$A$1:$R$401,13,FALSE)</f>
        <v>53.853333333333332</v>
      </c>
      <c r="Y580" s="33">
        <f>VLOOKUP($B580,Hitters!$A$1:$R$401,16,FALSE)</f>
        <v>0.39741256245538897</v>
      </c>
      <c r="Z580" s="33">
        <f>VLOOKUP($B580,Hitters!$A$1:$R$401,17,FALSE)</f>
        <v>0.70295838657426812</v>
      </c>
      <c r="AA580" s="31">
        <f>VLOOKUP($B580,Hitters!$A1:$R401,18,FALSE)</f>
        <v>0</v>
      </c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</row>
    <row r="581" spans="1:44" ht="18.600000000000001" customHeight="1">
      <c r="A581" s="25">
        <f ca="1">RANK(I581,I$2:I$651)</f>
        <v>580</v>
      </c>
      <c r="B581" s="26" t="s">
        <v>698</v>
      </c>
      <c r="C581" s="27" t="s">
        <v>86</v>
      </c>
      <c r="D581" s="27" t="s">
        <v>69</v>
      </c>
      <c r="E581" s="44" t="s">
        <v>112</v>
      </c>
      <c r="F581" s="45">
        <f ca="1">VLOOKUP(B581,'1B'!A1:I63,IF(Settings!$J$13="points",4,7),FALSE)</f>
        <v>45</v>
      </c>
      <c r="G581" s="30">
        <f>(M581*Settings!$B$2)+(N581*Settings!$B$3)+(O581*Settings!$B$4)+(P581*Settings!$B$5)+(Q581*Settings!$B$6)+((T581-U581-V581-O581)*Settings!$B$9)+(U581*Settings!$B$10)+(V581*Settings!$B$11)+(W581*Settings!$B$12)+(X581*Settings!$B$13)+(AA581*Settings!$B$16)</f>
        <v>211.61333333333329</v>
      </c>
      <c r="H581" s="31">
        <f>VLOOKUP(B581,'Standard Deviations'!$A1:$D651,4,FALSE)</f>
        <v>-2.3650893575893588</v>
      </c>
      <c r="I581" s="32">
        <f ca="1">VLOOKUP(B581,'1B'!A1:I63,IF(Settings!$J$13="points",6,9),FALSE)</f>
        <v>-4.1572095080311726</v>
      </c>
      <c r="J581" s="31"/>
      <c r="K581" s="31">
        <f ca="1">J581-A581</f>
        <v>-580</v>
      </c>
      <c r="L581" s="31"/>
      <c r="M581" s="31">
        <f>VLOOKUP($B581,Hitters!$A1:$R401,4,FALSE)</f>
        <v>317.14444444444445</v>
      </c>
      <c r="N581" s="31">
        <f>VLOOKUP($B581,Hitters!$A1:$R401,5,FALSE)</f>
        <v>42.712222222222216</v>
      </c>
      <c r="O581" s="31">
        <f>VLOOKUP($B581,Hitters!$A1:$R401,6,FALSE)</f>
        <v>15.063333333333333</v>
      </c>
      <c r="P581" s="31">
        <f>VLOOKUP($B581,Hitters!$A1:$R401,7,FALSE)</f>
        <v>43.987777777777779</v>
      </c>
      <c r="Q581" s="31">
        <f>VLOOKUP($B581,Hitters!$A1:$R401,8,FALSE)</f>
        <v>1.9922222222222221</v>
      </c>
      <c r="R581" s="33">
        <f>VLOOKUP($B581,Hitters!$A$1:$R$401,14,FALSE)</f>
        <v>0.22539326629996845</v>
      </c>
      <c r="S581" s="33">
        <f>VLOOKUP($B581,Hitters!$A$1:$R$401,15,FALSE)</f>
        <v>0.31679054105446786</v>
      </c>
      <c r="T581" s="31">
        <f>VLOOKUP($B581,Hitters!$A$1:$R$401,9,FALSE)</f>
        <v>71.482222222222219</v>
      </c>
      <c r="U581" s="31">
        <f>VLOOKUP($B581,Hitters!$A$1:$R$401,10,FALSE)</f>
        <v>14.708888888888888</v>
      </c>
      <c r="V581" s="31">
        <f>VLOOKUP($B581,Hitters!$A$1:$R$401,11,FALSE)</f>
        <v>0.98444444444444434</v>
      </c>
      <c r="W581" s="31">
        <f>VLOOKUP($B581,Hitters!$A$1:$R$401,12,FALSE)</f>
        <v>37.43888888888889</v>
      </c>
      <c r="X581" s="31">
        <f>VLOOKUP($B581,Hitters!$A$1:$R$401,13,FALSE)</f>
        <v>99.720000000000013</v>
      </c>
      <c r="Y581" s="33">
        <f>VLOOKUP($B581,Hitters!$A$1:$R$401,16,FALSE)</f>
        <v>0.42047086851417159</v>
      </c>
      <c r="Z581" s="33">
        <f>VLOOKUP($B581,Hitters!$A$1:$R$401,17,FALSE)</f>
        <v>0.73726140956863939</v>
      </c>
      <c r="AA581" s="31">
        <f>VLOOKUP($B581,Hitters!$A1:$R401,18,FALSE)</f>
        <v>0</v>
      </c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</row>
    <row r="582" spans="1:44" ht="18.600000000000001" customHeight="1">
      <c r="A582" s="25">
        <f ca="1">RANK(I582,I$2:I$651)</f>
        <v>581</v>
      </c>
      <c r="B582" s="26" t="s">
        <v>606</v>
      </c>
      <c r="C582" s="27" t="s">
        <v>158</v>
      </c>
      <c r="D582" s="27" t="s">
        <v>74</v>
      </c>
      <c r="E582" s="36" t="s">
        <v>31</v>
      </c>
      <c r="F582" s="37">
        <f ca="1">VLOOKUP(B582,SP!A1:I161,IF(Settings!$J$13="points",4,7),FALSE)</f>
        <v>157</v>
      </c>
      <c r="G582" s="30">
        <f>(AC582*Settings!$F$2)+(AF582*Settings!$F$5)+(AG582*Settings!$F$6)+(AH582*Settings!$F$7)+(AI582*Settings!$F$8)+(AJ582*Settings!$F$9)+(AK582*Settings!$F$10)+(AL582*Settings!$F$11)+(AM582*Settings!$F$12)+(AN582*Settings!$F$13)+(AO582*Settings!$F$14)+(AP582*Settings!$F$15)+(AQ582*Settings!$F$16)+(AR582*Settings!$F$17)</f>
        <v>186.9857777777778</v>
      </c>
      <c r="H582" s="31">
        <f>VLOOKUP(B582,'Standard Deviations'!$A1:$D651,4,FALSE)</f>
        <v>-5.0363432558902055</v>
      </c>
      <c r="I582" s="32">
        <f ca="1">IF(Settings!$J$16="no",VLOOKUP(B582,SP!A1:I161,IF(Settings!$J$13="points",6,9),FALSE),VLOOKUP(B582,'SP+RP'!$A1:$I251,IF(Settings!$J$13="points",6,9),FALSE))</f>
        <v>-4.1687643580442648</v>
      </c>
      <c r="J582" s="31"/>
      <c r="K582" s="31">
        <f ca="1">J582-A582</f>
        <v>-581</v>
      </c>
      <c r="L582" s="31"/>
      <c r="M582" s="31"/>
      <c r="N582" s="31"/>
      <c r="O582" s="31"/>
      <c r="P582" s="31"/>
      <c r="Q582" s="31"/>
      <c r="R582" s="33"/>
      <c r="S582" s="33"/>
      <c r="T582" s="31"/>
      <c r="U582" s="31"/>
      <c r="V582" s="31"/>
      <c r="W582" s="31"/>
      <c r="X582" s="31"/>
      <c r="Y582" s="33"/>
      <c r="Z582" s="33"/>
      <c r="AA582" s="31"/>
      <c r="AB582" s="31"/>
      <c r="AC582" s="31">
        <f>VLOOKUP($B582,Pitchers!$A1:$S251,4,FALSE)</f>
        <v>104.04111111111111</v>
      </c>
      <c r="AD582" s="33">
        <f>VLOOKUP($B582,Pitchers!$A1:$S251,5,FALSE)</f>
        <v>4.693510044106497</v>
      </c>
      <c r="AE582" s="33">
        <f>VLOOKUP($B582,Pitchers!$A1:$S251,6,FALSE)</f>
        <v>1.3385841067099544</v>
      </c>
      <c r="AF582" s="31">
        <f>VLOOKUP($B582,Pitchers!$A1:$S251,7,FALSE)</f>
        <v>75.58</v>
      </c>
      <c r="AG582" s="31">
        <f>VLOOKUP($B582,Pitchers!$A1:$S251,8,FALSE)</f>
        <v>5.3655555555555559</v>
      </c>
      <c r="AH582" s="31">
        <f>VLOOKUP($B582,Pitchers!$A1:$S251,9,FALSE)</f>
        <v>0</v>
      </c>
      <c r="AI582" s="31">
        <f>VLOOKUP($B582,Pitchers!$A1:$S251,10,FALSE)</f>
        <v>54.257555555555562</v>
      </c>
      <c r="AJ582" s="31">
        <f>VLOOKUP($B582,Pitchers!$A1:$S251,11,FALSE)</f>
        <v>112.96888888888888</v>
      </c>
      <c r="AK582" s="31">
        <f>VLOOKUP($B582,Pitchers!$A1:$S251,12,FALSE)</f>
        <v>26.298888888888893</v>
      </c>
      <c r="AL582" s="31">
        <f>VLOOKUP($B582,Pitchers!$A1:$S251,13,FALSE)</f>
        <v>16.3</v>
      </c>
      <c r="AM582" s="31">
        <f>VLOOKUP($B582,Pitchers!$A1:$S251,14,FALSE)</f>
        <v>18.512222222222224</v>
      </c>
      <c r="AN582" s="31">
        <f>VLOOKUP($B582,Pitchers!$A1:$S251,15,FALSE)</f>
        <v>18.512222222222224</v>
      </c>
      <c r="AO582" s="31">
        <f>VLOOKUP($B582,Pitchers!$A1:$S251,16,FALSE)</f>
        <v>6.7922222222222217</v>
      </c>
      <c r="AP582" s="31">
        <f>VLOOKUP($B582,Pitchers!$A1:$S251,17,FALSE)</f>
        <v>9</v>
      </c>
      <c r="AQ582" s="31">
        <f>VLOOKUP($B582,Pitchers!$A1:$S251,18,FALSE)</f>
        <v>0</v>
      </c>
      <c r="AR582" s="31">
        <f>VLOOKUP($B582,Pitchers!$A1:$S251,19,FALSE)</f>
        <v>0</v>
      </c>
    </row>
    <row r="583" spans="1:44" ht="18.600000000000001" customHeight="1">
      <c r="A583" s="25">
        <f ca="1">RANK(I583,I$2:I$651)</f>
        <v>582</v>
      </c>
      <c r="B583" s="26" t="s">
        <v>668</v>
      </c>
      <c r="C583" s="27" t="s">
        <v>120</v>
      </c>
      <c r="D583" s="27" t="s">
        <v>74</v>
      </c>
      <c r="E583" s="36" t="s">
        <v>31</v>
      </c>
      <c r="F583" s="37">
        <f ca="1">VLOOKUP(B583,SP!A1:I161,IF(Settings!$J$13="points",4,7),FALSE)</f>
        <v>158</v>
      </c>
      <c r="G583" s="30">
        <f>(AC583*Settings!$F$2)+(AF583*Settings!$F$5)+(AG583*Settings!$F$6)+(AH583*Settings!$F$7)+(AI583*Settings!$F$8)+(AJ583*Settings!$F$9)+(AK583*Settings!$F$10)+(AL583*Settings!$F$11)+(AM583*Settings!$F$12)+(AN583*Settings!$F$13)+(AO583*Settings!$F$14)+(AP583*Settings!$F$15)+(AQ583*Settings!$F$16)+(AR583*Settings!$F$17)</f>
        <v>234.93573333333339</v>
      </c>
      <c r="H583" s="31">
        <f>VLOOKUP(B583,'Standard Deviations'!$A1:$D651,4,FALSE)</f>
        <v>-5.0384119866008099</v>
      </c>
      <c r="I583" s="32">
        <f ca="1">IF(Settings!$J$16="no",VLOOKUP(B583,SP!A1:I161,IF(Settings!$J$13="points",6,9),FALSE),VLOOKUP(B583,'SP+RP'!$A1:$I251,IF(Settings!$J$13="points",6,9),FALSE))</f>
        <v>-4.1708268950960958</v>
      </c>
      <c r="J583" s="31"/>
      <c r="K583" s="31">
        <f ca="1">J583-A583</f>
        <v>-582</v>
      </c>
      <c r="L583" s="31"/>
      <c r="M583" s="31"/>
      <c r="N583" s="31"/>
      <c r="O583" s="31"/>
      <c r="P583" s="31"/>
      <c r="Q583" s="31"/>
      <c r="R583" s="33"/>
      <c r="S583" s="33"/>
      <c r="T583" s="31"/>
      <c r="U583" s="31"/>
      <c r="V583" s="31"/>
      <c r="W583" s="31"/>
      <c r="X583" s="31"/>
      <c r="Y583" s="33"/>
      <c r="Z583" s="33"/>
      <c r="AA583" s="31"/>
      <c r="AB583" s="31"/>
      <c r="AC583" s="31">
        <f>VLOOKUP($B583,Pitchers!$A1:$S251,4,FALSE)</f>
        <v>146.6577777777778</v>
      </c>
      <c r="AD583" s="33">
        <f>VLOOKUP($B583,Pitchers!$A1:$S251,5,FALSE)</f>
        <v>5.0030991272198309</v>
      </c>
      <c r="AE583" s="33">
        <f>VLOOKUP($B583,Pitchers!$A1:$S251,6,FALSE)</f>
        <v>1.3813034123280197</v>
      </c>
      <c r="AF583" s="31">
        <f>VLOOKUP($B583,Pitchers!$A1:$S251,7,FALSE)</f>
        <v>108.4211111111111</v>
      </c>
      <c r="AG583" s="31">
        <f>VLOOKUP($B583,Pitchers!$A1:$S251,8,FALSE)</f>
        <v>6.9955555555555557</v>
      </c>
      <c r="AH583" s="31">
        <f>VLOOKUP($B583,Pitchers!$A1:$S251,9,FALSE)</f>
        <v>0</v>
      </c>
      <c r="AI583" s="31">
        <f>VLOOKUP($B583,Pitchers!$A1:$S251,10,FALSE)</f>
        <v>81.527044444444442</v>
      </c>
      <c r="AJ583" s="31">
        <f>VLOOKUP($B583,Pitchers!$A1:$S251,11,FALSE)</f>
        <v>158.74333333333334</v>
      </c>
      <c r="AK583" s="31">
        <f>VLOOKUP($B583,Pitchers!$A1:$S251,12,FALSE)</f>
        <v>43.835555555555551</v>
      </c>
      <c r="AL583" s="31">
        <f>VLOOKUP($B583,Pitchers!$A1:$S251,13,FALSE)</f>
        <v>24.966666666666669</v>
      </c>
      <c r="AM583" s="31">
        <f>VLOOKUP($B583,Pitchers!$A1:$S251,14,FALSE)</f>
        <v>26.931111111111111</v>
      </c>
      <c r="AN583" s="31">
        <f>VLOOKUP($B583,Pitchers!$A1:$S251,15,FALSE)</f>
        <v>26.931111111111111</v>
      </c>
      <c r="AO583" s="31">
        <f>VLOOKUP($B583,Pitchers!$A1:$S251,16,FALSE)</f>
        <v>10.822222222222223</v>
      </c>
      <c r="AP583" s="31">
        <f>VLOOKUP($B583,Pitchers!$A1:$S251,17,FALSE)</f>
        <v>10</v>
      </c>
      <c r="AQ583" s="31">
        <f>VLOOKUP($B583,Pitchers!$A1:$S251,18,FALSE)</f>
        <v>0</v>
      </c>
      <c r="AR583" s="31">
        <f>VLOOKUP($B583,Pitchers!$A1:$S251,19,FALSE)</f>
        <v>0</v>
      </c>
    </row>
    <row r="584" spans="1:44" ht="18.600000000000001" customHeight="1">
      <c r="A584" s="25">
        <f ca="1">RANK(I584,I$2:I$651)</f>
        <v>583</v>
      </c>
      <c r="B584" s="26" t="s">
        <v>644</v>
      </c>
      <c r="C584" s="27" t="s">
        <v>97</v>
      </c>
      <c r="D584" s="27" t="s">
        <v>74</v>
      </c>
      <c r="E584" s="46" t="s">
        <v>19</v>
      </c>
      <c r="F584" s="47">
        <f ca="1">VLOOKUP(B584,'C'!A1:I54,IF(Settings!$J$13="points",4,7),FALSE)</f>
        <v>40</v>
      </c>
      <c r="G584" s="30">
        <f>(M584*Settings!$B$2)+(N584*Settings!$B$3)+(O584*Settings!$B$4)+(P584*Settings!$B$5)+(Q584*Settings!$B$6)+((T584-U584-V584-O584)*Settings!$B$9)+(U584*Settings!$B$10)+(V584*Settings!$B$11)+(W584*Settings!$B$12)+(X584*Settings!$B$13)+(AA584*Settings!$B$16)</f>
        <v>129.05277777777778</v>
      </c>
      <c r="H584" s="31">
        <f>VLOOKUP(B584,'Standard Deviations'!$A1:$D651,4,FALSE)</f>
        <v>-5.0002981949547651</v>
      </c>
      <c r="I584" s="32">
        <f ca="1">VLOOKUP(B584,'C'!A1:I54,IF(Settings!$J$13="points",6,9),FALSE)</f>
        <v>-4.2137761370630349</v>
      </c>
      <c r="J584" s="31"/>
      <c r="K584" s="31">
        <f ca="1">J584-A584</f>
        <v>-583</v>
      </c>
      <c r="L584" s="31"/>
      <c r="M584" s="31">
        <f>VLOOKUP($B584,Hitters!$A1:$R401,4,FALSE)</f>
        <v>220.68333333333331</v>
      </c>
      <c r="N584" s="31">
        <f>VLOOKUP($B584,Hitters!$A1:$R401,5,FALSE)</f>
        <v>25.308333333333334</v>
      </c>
      <c r="O584" s="31">
        <f>VLOOKUP($B584,Hitters!$A1:$R401,6,FALSE)</f>
        <v>6.2133333333333338</v>
      </c>
      <c r="P584" s="31">
        <f>VLOOKUP($B584,Hitters!$A1:$R401,7,FALSE)</f>
        <v>27.287777777777777</v>
      </c>
      <c r="Q584" s="31">
        <f>VLOOKUP($B584,Hitters!$A1:$R401,8,FALSE)</f>
        <v>1</v>
      </c>
      <c r="R584" s="33">
        <f>VLOOKUP($B584,Hitters!$A$1:$R$401,14,FALSE)</f>
        <v>0.22875160486368099</v>
      </c>
      <c r="S584" s="33">
        <f>VLOOKUP($B584,Hitters!$A$1:$R$401,15,FALSE)</f>
        <v>0.313288078735528</v>
      </c>
      <c r="T584" s="31">
        <f>VLOOKUP($B584,Hitters!$A$1:$R$401,9,FALSE)</f>
        <v>50.481666666666662</v>
      </c>
      <c r="U584" s="31">
        <f>VLOOKUP($B584,Hitters!$A$1:$R$401,10,FALSE)</f>
        <v>9.431111111111111</v>
      </c>
      <c r="V584" s="31">
        <f>VLOOKUP($B584,Hitters!$A$1:$R$401,11,FALSE)</f>
        <v>6.6666666666666654E-3</v>
      </c>
      <c r="W584" s="31">
        <f>VLOOKUP($B584,Hitters!$A$1:$R$401,12,FALSE)</f>
        <v>23.663333333333338</v>
      </c>
      <c r="X584" s="31">
        <f>VLOOKUP($B584,Hitters!$A$1:$R$401,13,FALSE)</f>
        <v>55.545555555555552</v>
      </c>
      <c r="Y584" s="33">
        <f>VLOOKUP($B584,Hitters!$A$1:$R$401,16,FALSE)</f>
        <v>0.35601288925811247</v>
      </c>
      <c r="Z584" s="33">
        <f>VLOOKUP($B584,Hitters!$A$1:$R$401,17,FALSE)</f>
        <v>0.66930096799364047</v>
      </c>
      <c r="AA584" s="31">
        <f>VLOOKUP($B584,Hitters!$A1:$R401,18,FALSE)</f>
        <v>0</v>
      </c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</row>
    <row r="585" spans="1:44" ht="18.600000000000001" customHeight="1">
      <c r="A585" s="25">
        <f ca="1">RANK(I585,I$2:I$651)</f>
        <v>584</v>
      </c>
      <c r="B585" s="26" t="s">
        <v>705</v>
      </c>
      <c r="C585" s="27" t="s">
        <v>97</v>
      </c>
      <c r="D585" s="27" t="s">
        <v>74</v>
      </c>
      <c r="E585" s="40" t="s">
        <v>7</v>
      </c>
      <c r="F585" s="41">
        <f ca="1">VLOOKUP(B585,'1B'!A1:I63,IF(Settings!$J$13="points",4,7),FALSE)</f>
        <v>54</v>
      </c>
      <c r="G585" s="30">
        <f>(M585*Settings!$B$2)+(N585*Settings!$B$3)+(O585*Settings!$B$4)+(P585*Settings!$B$5)+(Q585*Settings!$B$6)+((T585-U585-V585-O585)*Settings!$B$9)+(U585*Settings!$B$10)+(V585*Settings!$B$11)+(W585*Settings!$B$12)+(X585*Settings!$B$13)+(AA585*Settings!$B$16)</f>
        <v>140.69333333333333</v>
      </c>
      <c r="H585" s="31">
        <f>VLOOKUP(B585,'Standard Deviations'!$A1:$D651,4,FALSE)</f>
        <v>-4.0170874302783552</v>
      </c>
      <c r="I585" s="32">
        <f ca="1">IF(Settings!$J$15="no",VLOOKUP(B585,'1B'!A1:I63,IF(Settings!$J$13="points",6,9),FALSE),VLOOKUP(B585,'1B+3B'!$A1:$I104,IF(Settings!$J$13="points",6,9),FALSE))</f>
        <v>-4.2425671998705914</v>
      </c>
      <c r="J585" s="31"/>
      <c r="K585" s="31">
        <f ca="1">J585-A585</f>
        <v>-584</v>
      </c>
      <c r="L585" s="31"/>
      <c r="M585" s="31">
        <f>VLOOKUP($B585,Hitters!$A1:$R401,4,FALSE)</f>
        <v>226.35</v>
      </c>
      <c r="N585" s="31">
        <f>VLOOKUP($B585,Hitters!$A1:$R401,5,FALSE)</f>
        <v>30.443333333333332</v>
      </c>
      <c r="O585" s="31">
        <f>VLOOKUP($B585,Hitters!$A1:$R401,6,FALSE)</f>
        <v>10.901666666666666</v>
      </c>
      <c r="P585" s="31">
        <f>VLOOKUP($B585,Hitters!$A1:$R401,7,FALSE)</f>
        <v>32.159999999999997</v>
      </c>
      <c r="Q585" s="31">
        <f>VLOOKUP($B585,Hitters!$A1:$R401,8,FALSE)</f>
        <v>4.0166666666666666</v>
      </c>
      <c r="R585" s="33">
        <f>VLOOKUP($B585,Hitters!$A$1:$R$401,14,FALSE)</f>
        <v>0.21932111037478833</v>
      </c>
      <c r="S585" s="33">
        <f>VLOOKUP($B585,Hitters!$A$1:$R$401,15,FALSE)</f>
        <v>0.29726451311874974</v>
      </c>
      <c r="T585" s="31">
        <f>VLOOKUP($B585,Hitters!$A$1:$R$401,9,FALSE)</f>
        <v>49.643333333333338</v>
      </c>
      <c r="U585" s="31">
        <f>VLOOKUP($B585,Hitters!$A$1:$R$401,10,FALSE)</f>
        <v>9.6783333333333328</v>
      </c>
      <c r="V585" s="31">
        <f>VLOOKUP($B585,Hitters!$A$1:$R$401,11,FALSE)</f>
        <v>0.99888888888888883</v>
      </c>
      <c r="W585" s="31">
        <f>VLOOKUP($B585,Hitters!$A$1:$R$401,12,FALSE)</f>
        <v>21.361666666666665</v>
      </c>
      <c r="X585" s="31">
        <f>VLOOKUP($B585,Hitters!$A$1:$R$401,13,FALSE)</f>
        <v>90.658888888888896</v>
      </c>
      <c r="Y585" s="33">
        <f>VLOOKUP($B585,Hitters!$A$1:$R$401,16,FALSE)</f>
        <v>0.41539405542056301</v>
      </c>
      <c r="Z585" s="33">
        <f>VLOOKUP($B585,Hitters!$A$1:$R$401,17,FALSE)</f>
        <v>0.71265856853931275</v>
      </c>
      <c r="AA585" s="31">
        <f>VLOOKUP($B585,Hitters!$A1:$R401,18,FALSE)</f>
        <v>0</v>
      </c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</row>
    <row r="586" spans="1:44" ht="18.600000000000001" customHeight="1">
      <c r="A586" s="25">
        <f ca="1">RANK(I586,I$2:I$651)</f>
        <v>585</v>
      </c>
      <c r="B586" s="26" t="s">
        <v>696</v>
      </c>
      <c r="C586" s="27" t="s">
        <v>63</v>
      </c>
      <c r="D586" s="27" t="s">
        <v>74</v>
      </c>
      <c r="E586" s="44" t="s">
        <v>112</v>
      </c>
      <c r="F586" s="45">
        <f ca="1">VLOOKUP(B586,'1B'!A1:I63,IF(Settings!$J$13="points",4,7),FALSE)</f>
        <v>46</v>
      </c>
      <c r="G586" s="30">
        <f>(M586*Settings!$B$2)+(N586*Settings!$B$3)+(O586*Settings!$B$4)+(P586*Settings!$B$5)+(Q586*Settings!$B$6)+((T586-U586-V586-O586)*Settings!$B$9)+(U586*Settings!$B$10)+(V586*Settings!$B$11)+(W586*Settings!$B$12)+(X586*Settings!$B$13)+(AA586*Settings!$B$16)</f>
        <v>220.96166666666664</v>
      </c>
      <c r="H586" s="31">
        <f>VLOOKUP(B586,'Standard Deviations'!$A1:$D651,4,FALSE)</f>
        <v>-2.459404083713681</v>
      </c>
      <c r="I586" s="32">
        <f ca="1">VLOOKUP(B586,'1B'!A1:I63,IF(Settings!$J$13="points",6,9),FALSE)</f>
        <v>-4.2515300489912971</v>
      </c>
      <c r="J586" s="31"/>
      <c r="K586" s="31">
        <f ca="1">J586-A586</f>
        <v>-585</v>
      </c>
      <c r="L586" s="31"/>
      <c r="M586" s="31">
        <f>VLOOKUP($B586,Hitters!$A1:$R401,4,FALSE)</f>
        <v>323.13333333333338</v>
      </c>
      <c r="N586" s="31">
        <f>VLOOKUP($B586,Hitters!$A1:$R401,5,FALSE)</f>
        <v>44.568333333333335</v>
      </c>
      <c r="O586" s="31">
        <f>VLOOKUP($B586,Hitters!$A1:$R401,6,FALSE)</f>
        <v>14.381666666666668</v>
      </c>
      <c r="P586" s="31">
        <f>VLOOKUP($B586,Hitters!$A1:$R401,7,FALSE)</f>
        <v>46.699999999999996</v>
      </c>
      <c r="Q586" s="31">
        <f>VLOOKUP($B586,Hitters!$A1:$R401,8,FALSE)</f>
        <v>1.9988888888888889</v>
      </c>
      <c r="R586" s="33">
        <f>VLOOKUP($B586,Hitters!$A$1:$R$401,14,FALSE)</f>
        <v>0.22120211814868299</v>
      </c>
      <c r="S586" s="33">
        <f>VLOOKUP($B586,Hitters!$A$1:$R$401,15,FALSE)</f>
        <v>0.32405188740871094</v>
      </c>
      <c r="T586" s="31">
        <f>VLOOKUP($B586,Hitters!$A$1:$R$401,9,FALSE)</f>
        <v>71.477777777777774</v>
      </c>
      <c r="U586" s="31">
        <f>VLOOKUP($B586,Hitters!$A$1:$R$401,10,FALSE)</f>
        <v>16.051666666666666</v>
      </c>
      <c r="V586" s="31">
        <f>VLOOKUP($B586,Hitters!$A$1:$R$401,11,FALSE)</f>
        <v>0.98777777777777775</v>
      </c>
      <c r="W586" s="31">
        <f>VLOOKUP($B586,Hitters!$A$1:$R$401,12,FALSE)</f>
        <v>44.186666666666667</v>
      </c>
      <c r="X586" s="31">
        <f>VLOOKUP($B586,Hitters!$A$1:$R$401,13,FALSE)</f>
        <v>102.28222222222223</v>
      </c>
      <c r="Y586" s="33">
        <f>VLOOKUP($B586,Hitters!$A$1:$R$401,16,FALSE)</f>
        <v>0.41051165669486278</v>
      </c>
      <c r="Z586" s="33">
        <f>VLOOKUP($B586,Hitters!$A$1:$R$401,17,FALSE)</f>
        <v>0.73456354410357372</v>
      </c>
      <c r="AA586" s="31">
        <f>VLOOKUP($B586,Hitters!$A1:$R401,18,FALSE)</f>
        <v>0</v>
      </c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</row>
    <row r="587" spans="1:44" ht="18.600000000000001" customHeight="1">
      <c r="A587" s="25">
        <f ca="1">RANK(I587,I$2:I$651)</f>
        <v>586</v>
      </c>
      <c r="B587" s="26" t="s">
        <v>643</v>
      </c>
      <c r="C587" s="27" t="s">
        <v>76</v>
      </c>
      <c r="D587" s="27" t="s">
        <v>69</v>
      </c>
      <c r="E587" s="46" t="s">
        <v>19</v>
      </c>
      <c r="F587" s="47">
        <f ca="1">VLOOKUP(B587,'C'!A1:I54,IF(Settings!$J$13="points",4,7),FALSE)</f>
        <v>41</v>
      </c>
      <c r="G587" s="30">
        <f>(M587*Settings!$B$2)+(N587*Settings!$B$3)+(O587*Settings!$B$4)+(P587*Settings!$B$5)+(Q587*Settings!$B$6)+((T587-U587-V587-O587)*Settings!$B$9)+(U587*Settings!$B$10)+(V587*Settings!$B$11)+(W587*Settings!$B$12)+(X587*Settings!$B$13)+(AA587*Settings!$B$16)</f>
        <v>122.64500000000002</v>
      </c>
      <c r="H587" s="31">
        <f>VLOOKUP(B587,'Standard Deviations'!$A1:$D651,4,FALSE)</f>
        <v>-5.0669919298497774</v>
      </c>
      <c r="I587" s="32">
        <f ca="1">VLOOKUP(B587,'C'!A1:I54,IF(Settings!$J$13="points",6,9),FALSE)</f>
        <v>-4.2804716590876088</v>
      </c>
      <c r="J587" s="31"/>
      <c r="K587" s="31">
        <f ca="1">J587-A587</f>
        <v>-586</v>
      </c>
      <c r="L587" s="31"/>
      <c r="M587" s="31">
        <f>VLOOKUP($B587,Hitters!$A1:$R401,4,FALSE)</f>
        <v>197</v>
      </c>
      <c r="N587" s="31">
        <f>VLOOKUP($B587,Hitters!$A1:$R401,5,FALSE)</f>
        <v>25.076666666666668</v>
      </c>
      <c r="O587" s="31">
        <f>VLOOKUP($B587,Hitters!$A1:$R401,6,FALSE)</f>
        <v>6.37</v>
      </c>
      <c r="P587" s="31">
        <f>VLOOKUP($B587,Hitters!$A1:$R401,7,FALSE)</f>
        <v>24.546666666666667</v>
      </c>
      <c r="Q587" s="31">
        <f>VLOOKUP($B587,Hitters!$A1:$R401,8,FALSE)</f>
        <v>3.9777777777777779</v>
      </c>
      <c r="R587" s="33">
        <f>VLOOKUP($B587,Hitters!$A$1:$R$401,14,FALSE)</f>
        <v>0.2215736040609137</v>
      </c>
      <c r="S587" s="33">
        <f>VLOOKUP($B587,Hitters!$A$1:$R$401,15,FALSE)</f>
        <v>0.31085196030465229</v>
      </c>
      <c r="T587" s="31">
        <f>VLOOKUP($B587,Hitters!$A$1:$R$401,9,FALSE)</f>
        <v>43.65</v>
      </c>
      <c r="U587" s="31">
        <f>VLOOKUP($B587,Hitters!$A$1:$R$401,10,FALSE)</f>
        <v>9.3249999999999993</v>
      </c>
      <c r="V587" s="31">
        <f>VLOOKUP($B587,Hitters!$A$1:$R$401,11,FALSE)</f>
        <v>0.99888888888888883</v>
      </c>
      <c r="W587" s="31">
        <f>VLOOKUP($B587,Hitters!$A$1:$R$401,12,FALSE)</f>
        <v>22.373333333333335</v>
      </c>
      <c r="X587" s="31">
        <f>VLOOKUP($B587,Hitters!$A$1:$R$401,13,FALSE)</f>
        <v>62.78</v>
      </c>
      <c r="Y587" s="33">
        <f>VLOOKUP($B587,Hitters!$A$1:$R$401,16,FALSE)</f>
        <v>0.37605470953186687</v>
      </c>
      <c r="Z587" s="33">
        <f>VLOOKUP($B587,Hitters!$A$1:$R$401,17,FALSE)</f>
        <v>0.68690666983651916</v>
      </c>
      <c r="AA587" s="31">
        <f>VLOOKUP($B587,Hitters!$A1:$R401,18,FALSE)</f>
        <v>0</v>
      </c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</row>
    <row r="588" spans="1:44" ht="18.600000000000001" customHeight="1">
      <c r="A588" s="25">
        <f ca="1">RANK(I588,I$2:I$651)</f>
        <v>587</v>
      </c>
      <c r="B588" s="26" t="s">
        <v>645</v>
      </c>
      <c r="C588" s="27" t="s">
        <v>176</v>
      </c>
      <c r="D588" s="27" t="s">
        <v>74</v>
      </c>
      <c r="E588" s="36" t="s">
        <v>31</v>
      </c>
      <c r="F588" s="37">
        <f ca="1">VLOOKUP(B588,SP!A1:I161,IF(Settings!$J$13="points",4,7),FALSE)</f>
        <v>159</v>
      </c>
      <c r="G588" s="30">
        <f>(AC588*Settings!$F$2)+(AF588*Settings!$F$5)+(AG588*Settings!$F$6)+(AH588*Settings!$F$7)+(AI588*Settings!$F$8)+(AJ588*Settings!$F$9)+(AK588*Settings!$F$10)+(AL588*Settings!$F$11)+(AM588*Settings!$F$12)+(AN588*Settings!$F$13)+(AO588*Settings!$F$14)+(AP588*Settings!$F$15)+(AQ588*Settings!$F$16)+(AR588*Settings!$F$17)</f>
        <v>261.71031111111108</v>
      </c>
      <c r="H588" s="31">
        <f>VLOOKUP(B588,'Standard Deviations'!$A1:$D651,4,FALSE)</f>
        <v>-5.2149493113800638</v>
      </c>
      <c r="I588" s="32">
        <f ca="1">IF(Settings!$J$16="no",VLOOKUP(B588,SP!A1:I161,IF(Settings!$J$13="points",6,9),FALSE),VLOOKUP(B588,'SP+RP'!$A1:$I251,IF(Settings!$J$13="points",6,9),FALSE))</f>
        <v>-4.3473721446374816</v>
      </c>
      <c r="J588" s="31"/>
      <c r="K588" s="31">
        <f ca="1">J588-A588</f>
        <v>-587</v>
      </c>
      <c r="L588" s="31"/>
      <c r="M588" s="31"/>
      <c r="N588" s="31"/>
      <c r="O588" s="31"/>
      <c r="P588" s="31"/>
      <c r="Q588" s="31"/>
      <c r="R588" s="33"/>
      <c r="S588" s="33"/>
      <c r="T588" s="31"/>
      <c r="U588" s="31"/>
      <c r="V588" s="31"/>
      <c r="W588" s="31"/>
      <c r="X588" s="31"/>
      <c r="Y588" s="33"/>
      <c r="Z588" s="33"/>
      <c r="AA588" s="31"/>
      <c r="AB588" s="31"/>
      <c r="AC588" s="31">
        <f>VLOOKUP($B588,Pitchers!$A1:$S251,4,FALSE)</f>
        <v>171.03777777777779</v>
      </c>
      <c r="AD588" s="33">
        <f>VLOOKUP($B588,Pitchers!$A1:$S251,5,FALSE)</f>
        <v>5.047172684397208</v>
      </c>
      <c r="AE588" s="33">
        <f>VLOOKUP($B588,Pitchers!$A1:$S251,6,FALSE)</f>
        <v>1.4492249925292657</v>
      </c>
      <c r="AF588" s="31">
        <f>VLOOKUP($B588,Pitchers!$A1:$S251,7,FALSE)</f>
        <v>125.8</v>
      </c>
      <c r="AG588" s="31">
        <f>VLOOKUP($B588,Pitchers!$A1:$S251,8,FALSE)</f>
        <v>8.0322222222222219</v>
      </c>
      <c r="AH588" s="31">
        <f>VLOOKUP($B588,Pitchers!$A1:$S251,9,FALSE)</f>
        <v>0</v>
      </c>
      <c r="AI588" s="31">
        <f>VLOOKUP($B588,Pitchers!$A1:$S251,10,FALSE)</f>
        <v>95.917466666666655</v>
      </c>
      <c r="AJ588" s="31">
        <f>VLOOKUP($B588,Pitchers!$A1:$S251,11,FALSE)</f>
        <v>193.29222222222222</v>
      </c>
      <c r="AK588" s="31">
        <f>VLOOKUP($B588,Pitchers!$A1:$S251,12,FALSE)</f>
        <v>54.580000000000005</v>
      </c>
      <c r="AL588" s="31">
        <f>VLOOKUP($B588,Pitchers!$A1:$S251,13,FALSE)</f>
        <v>25.266666666666666</v>
      </c>
      <c r="AM588" s="31">
        <f>VLOOKUP($B588,Pitchers!$A1:$S251,14,FALSE)</f>
        <v>29.997777777777781</v>
      </c>
      <c r="AN588" s="31">
        <f>VLOOKUP($B588,Pitchers!$A1:$S251,15,FALSE)</f>
        <v>29.997777777777781</v>
      </c>
      <c r="AO588" s="31">
        <f>VLOOKUP($B588,Pitchers!$A1:$S251,16,FALSE)</f>
        <v>11.947777777777778</v>
      </c>
      <c r="AP588" s="31">
        <f>VLOOKUP($B588,Pitchers!$A1:$S251,17,FALSE)</f>
        <v>11</v>
      </c>
      <c r="AQ588" s="31">
        <f>VLOOKUP($B588,Pitchers!$A1:$S251,18,FALSE)</f>
        <v>0</v>
      </c>
      <c r="AR588" s="31">
        <f>VLOOKUP($B588,Pitchers!$A1:$S251,19,FALSE)</f>
        <v>0</v>
      </c>
    </row>
    <row r="589" spans="1:44" ht="18.600000000000001" customHeight="1">
      <c r="A589" s="25">
        <f ca="1">RANK(I589,I$2:I$651)</f>
        <v>588</v>
      </c>
      <c r="B589" s="26" t="s">
        <v>659</v>
      </c>
      <c r="C589" s="27" t="s">
        <v>95</v>
      </c>
      <c r="D589" s="27" t="s">
        <v>74</v>
      </c>
      <c r="E589" s="34" t="s">
        <v>15</v>
      </c>
      <c r="F589" s="35">
        <f ca="1">VLOOKUP(B589,'3B'!A1:I55,IF(Settings!$J$13="points",4,7),FALSE)</f>
        <v>44</v>
      </c>
      <c r="G589" s="30">
        <f>(M589*Settings!$B$2)+(N589*Settings!$B$3)+(O589*Settings!$B$4)+(P589*Settings!$B$5)+(Q589*Settings!$B$6)+((T589-U589-V589-O589)*Settings!$B$9)+(U589*Settings!$B$10)+(V589*Settings!$B$11)+(W589*Settings!$B$12)+(X589*Settings!$B$13)+(AA589*Settings!$B$16)</f>
        <v>130.24444444444441</v>
      </c>
      <c r="H589" s="31">
        <f>VLOOKUP(B589,'Standard Deviations'!$A1:$D651,4,FALSE)</f>
        <v>-4.1243381031657194</v>
      </c>
      <c r="I589" s="32">
        <f ca="1">IF(Settings!$J$15="no",VLOOKUP(B589,'3B'!A1:I55,IF(Settings!$J$13="points",6,9),FALSE),VLOOKUP(B589,'1B+3B'!$A1:$I104,IF(Settings!$J$13="points",6,9),FALSE))</f>
        <v>-4.3498159759902357</v>
      </c>
      <c r="J589" s="31"/>
      <c r="K589" s="31">
        <f ca="1">J589-A589</f>
        <v>-588</v>
      </c>
      <c r="L589" s="31"/>
      <c r="M589" s="31">
        <f>VLOOKUP($B589,Hitters!$A1:$R401,4,FALSE)</f>
        <v>219.74444444444444</v>
      </c>
      <c r="N589" s="31">
        <f>VLOOKUP($B589,Hitters!$A1:$R401,5,FALSE)</f>
        <v>25.442222222222224</v>
      </c>
      <c r="O589" s="31">
        <f>VLOOKUP($B589,Hitters!$A1:$R401,6,FALSE)</f>
        <v>1.9922222222222221</v>
      </c>
      <c r="P589" s="31">
        <f>VLOOKUP($B589,Hitters!$A1:$R401,7,FALSE)</f>
        <v>20.527777777777775</v>
      </c>
      <c r="Q589" s="31">
        <f>VLOOKUP($B589,Hitters!$A1:$R401,8,FALSE)</f>
        <v>1.02</v>
      </c>
      <c r="R589" s="33">
        <f>VLOOKUP($B589,Hitters!$A$1:$R$401,14,FALSE)</f>
        <v>0.26143500025281891</v>
      </c>
      <c r="S589" s="33">
        <f>VLOOKUP($B589,Hitters!$A$1:$R$401,15,FALSE)</f>
        <v>0.34781995355836276</v>
      </c>
      <c r="T589" s="31">
        <f>VLOOKUP($B589,Hitters!$A$1:$R$401,9,FALSE)</f>
        <v>57.448888888888888</v>
      </c>
      <c r="U589" s="31">
        <f>VLOOKUP($B589,Hitters!$A$1:$R$401,10,FALSE)</f>
        <v>9.6466666666666665</v>
      </c>
      <c r="V589" s="31">
        <f>VLOOKUP($B589,Hitters!$A$1:$R$401,11,FALSE)</f>
        <v>0.9966666666666667</v>
      </c>
      <c r="W589" s="31">
        <f>VLOOKUP($B589,Hitters!$A$1:$R$401,12,FALSE)</f>
        <v>25.956666666666667</v>
      </c>
      <c r="X589" s="31">
        <f>VLOOKUP($B589,Hitters!$A$1:$R$401,13,FALSE)</f>
        <v>37.575555555555553</v>
      </c>
      <c r="Y589" s="33">
        <f>VLOOKUP($B589,Hitters!$A$1:$R$401,16,FALSE)</f>
        <v>0.34160388329878133</v>
      </c>
      <c r="Z589" s="33">
        <f>VLOOKUP($B589,Hitters!$A$1:$R$401,17,FALSE)</f>
        <v>0.68942383685714415</v>
      </c>
      <c r="AA589" s="31">
        <f>VLOOKUP($B589,Hitters!$A1:$R401,18,FALSE)</f>
        <v>0</v>
      </c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</row>
    <row r="590" spans="1:44" ht="20.100000000000001" customHeight="1">
      <c r="A590" s="25">
        <f ca="1">RANK(I590,I$2:I$651)</f>
        <v>589</v>
      </c>
      <c r="B590" s="26" t="s">
        <v>455</v>
      </c>
      <c r="C590" s="27" t="s">
        <v>81</v>
      </c>
      <c r="D590" s="27" t="s">
        <v>74</v>
      </c>
      <c r="E590" s="28" t="s">
        <v>23</v>
      </c>
      <c r="F590" s="29">
        <f ca="1">VLOOKUP(B590,OF!A1:I139,IF(Settings!$J$13="points",4,7),FALSE)</f>
        <v>125</v>
      </c>
      <c r="G590" s="30">
        <f>(M590*Settings!$B$2)+(N590*Settings!$B$3)+(O590*Settings!$B$4)+(P590*Settings!$B$5)+(Q590*Settings!$B$6)+((T590-U590-V590-O590)*Settings!$B$9)+(U590*Settings!$B$10)+(V590*Settings!$B$11)+(W590*Settings!$B$12)+(X590*Settings!$B$13)+(AA590*Settings!$B$16)</f>
        <v>126.18111111111114</v>
      </c>
      <c r="H590" s="31">
        <f>VLOOKUP(B590,'Standard Deviations'!$A1:$D651,4,FALSE)</f>
        <v>-4.5231060057250856</v>
      </c>
      <c r="I590" s="32">
        <f ca="1">VLOOKUP(B590,OF!A1:I139,IF(Settings!$J$13="points",6,9),FALSE)</f>
        <v>-4.366170570036517</v>
      </c>
      <c r="J590" s="31"/>
      <c r="K590" s="31">
        <f ca="1">J590-A590</f>
        <v>-589</v>
      </c>
      <c r="L590" s="31"/>
      <c r="M590" s="31">
        <f>VLOOKUP($B590,Hitters!$A1:$R401,4,FALSE)</f>
        <v>205.15</v>
      </c>
      <c r="N590" s="31">
        <f>VLOOKUP($B590,Hitters!$A1:$R401,5,FALSE)</f>
        <v>28.08666666666667</v>
      </c>
      <c r="O590" s="31">
        <f>VLOOKUP($B590,Hitters!$A1:$R401,6,FALSE)</f>
        <v>8.0716666666666672</v>
      </c>
      <c r="P590" s="31">
        <f>VLOOKUP($B590,Hitters!$A1:$R401,7,FALSE)</f>
        <v>27.366666666666671</v>
      </c>
      <c r="Q590" s="31">
        <f>VLOOKUP($B590,Hitters!$A1:$R401,8,FALSE)</f>
        <v>3.47</v>
      </c>
      <c r="R590" s="33">
        <f>VLOOKUP($B590,Hitters!$A$1:$R$401,14,FALSE)</f>
        <v>0.22418555528475098</v>
      </c>
      <c r="S590" s="33">
        <f>VLOOKUP($B590,Hitters!$A$1:$R$401,15,FALSE)</f>
        <v>0.29984371766826612</v>
      </c>
      <c r="T590" s="31">
        <f>VLOOKUP($B590,Hitters!$A$1:$R$401,9,FALSE)</f>
        <v>45.991666666666667</v>
      </c>
      <c r="U590" s="31">
        <f>VLOOKUP($B590,Hitters!$A$1:$R$401,10,FALSE)</f>
        <v>10.105</v>
      </c>
      <c r="V590" s="31">
        <f>VLOOKUP($B590,Hitters!$A$1:$R$401,11,FALSE)</f>
        <v>1.0449999999999999</v>
      </c>
      <c r="W590" s="31">
        <f>VLOOKUP($B590,Hitters!$A$1:$R$401,12,FALSE)</f>
        <v>18.796666666666667</v>
      </c>
      <c r="X590" s="31">
        <f>VLOOKUP($B590,Hitters!$A$1:$R$401,13,FALSE)</f>
        <v>74.821111111111108</v>
      </c>
      <c r="Y590" s="33">
        <f>VLOOKUP($B590,Hitters!$A$1:$R$401,16,FALSE)</f>
        <v>0.40166544804614512</v>
      </c>
      <c r="Z590" s="33">
        <f>VLOOKUP($B590,Hitters!$A$1:$R$401,17,FALSE)</f>
        <v>0.70150916571441124</v>
      </c>
      <c r="AA590" s="31">
        <f>VLOOKUP($B590,Hitters!$A1:$R401,18,FALSE)</f>
        <v>0</v>
      </c>
      <c r="AB590" s="31"/>
      <c r="AC590" s="31"/>
      <c r="AD590" s="33"/>
      <c r="AE590" s="33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</row>
    <row r="591" spans="1:44" ht="18.600000000000001" customHeight="1">
      <c r="A591" s="25">
        <f ca="1">RANK(I591,I$2:I$651)</f>
        <v>590</v>
      </c>
      <c r="B591" s="26" t="s">
        <v>679</v>
      </c>
      <c r="C591" s="27" t="s">
        <v>176</v>
      </c>
      <c r="D591" s="27" t="s">
        <v>74</v>
      </c>
      <c r="E591" s="46" t="s">
        <v>19</v>
      </c>
      <c r="F591" s="47">
        <f ca="1">VLOOKUP(B591,'C'!A1:I54,IF(Settings!$J$13="points",4,7),FALSE)</f>
        <v>42</v>
      </c>
      <c r="G591" s="30">
        <f>(M591*Settings!$B$2)+(N591*Settings!$B$3)+(O591*Settings!$B$4)+(P591*Settings!$B$5)+(Q591*Settings!$B$6)+((T591-U591-V591-O591)*Settings!$B$9)+(U591*Settings!$B$10)+(V591*Settings!$B$11)+(W591*Settings!$B$12)+(X591*Settings!$B$13)+(AA591*Settings!$B$16)</f>
        <v>115.93222222222222</v>
      </c>
      <c r="H591" s="31">
        <f>VLOOKUP(B591,'Standard Deviations'!$A1:$D651,4,FALSE)</f>
        <v>-5.1556028070434019</v>
      </c>
      <c r="I591" s="32">
        <f ca="1">VLOOKUP(B591,'C'!A1:I54,IF(Settings!$J$13="points",6,9),FALSE)</f>
        <v>-4.3690844602365697</v>
      </c>
      <c r="J591" s="31"/>
      <c r="K591" s="31">
        <f ca="1">J591-A591</f>
        <v>-590</v>
      </c>
      <c r="L591" s="31"/>
      <c r="M591" s="31">
        <f>VLOOKUP($B591,Hitters!$A1:$R401,4,FALSE)</f>
        <v>199.48333333333335</v>
      </c>
      <c r="N591" s="31">
        <f>VLOOKUP($B591,Hitters!$A1:$R401,5,FALSE)</f>
        <v>23.751111111111111</v>
      </c>
      <c r="O591" s="31">
        <f>VLOOKUP($B591,Hitters!$A1:$R401,6,FALSE)</f>
        <v>6.554444444444445</v>
      </c>
      <c r="P591" s="31">
        <f>VLOOKUP($B591,Hitters!$A1:$R401,7,FALSE)</f>
        <v>23.71777777777778</v>
      </c>
      <c r="Q591" s="31">
        <f>VLOOKUP($B591,Hitters!$A1:$R401,8,FALSE)</f>
        <v>0.99111111111111116</v>
      </c>
      <c r="R591" s="33">
        <f>VLOOKUP($B591,Hitters!$A$1:$R$401,14,FALSE)</f>
        <v>0.22947614671234018</v>
      </c>
      <c r="S591" s="33">
        <f>VLOOKUP($B591,Hitters!$A$1:$R$401,15,FALSE)</f>
        <v>0.29252985526881981</v>
      </c>
      <c r="T591" s="31">
        <f>VLOOKUP($B591,Hitters!$A$1:$R$401,9,FALSE)</f>
        <v>45.776666666666664</v>
      </c>
      <c r="U591" s="31">
        <f>VLOOKUP($B591,Hitters!$A$1:$R$401,10,FALSE)</f>
        <v>8.7688888888888883</v>
      </c>
      <c r="V591" s="31">
        <f>VLOOKUP($B591,Hitters!$A$1:$R$401,11,FALSE)</f>
        <v>1</v>
      </c>
      <c r="W591" s="31">
        <f>VLOOKUP($B591,Hitters!$A$1:$R$401,12,FALSE)</f>
        <v>14.441666666666668</v>
      </c>
      <c r="X591" s="31">
        <f>VLOOKUP($B591,Hitters!$A$1:$R$401,13,FALSE)</f>
        <v>48.338888888888881</v>
      </c>
      <c r="Y591" s="33">
        <f>VLOOKUP($B591,Hitters!$A$1:$R$401,16,FALSE)</f>
        <v>0.38203135878798006</v>
      </c>
      <c r="Z591" s="33">
        <f>VLOOKUP($B591,Hitters!$A$1:$R$401,17,FALSE)</f>
        <v>0.67456121405679981</v>
      </c>
      <c r="AA591" s="31">
        <f>VLOOKUP($B591,Hitters!$A1:$R401,18,FALSE)</f>
        <v>0</v>
      </c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</row>
    <row r="592" spans="1:44" ht="18.600000000000001" customHeight="1">
      <c r="A592" s="25">
        <f ca="1">RANK(I592,I$2:I$651)</f>
        <v>591</v>
      </c>
      <c r="B592" s="26" t="s">
        <v>646</v>
      </c>
      <c r="C592" s="27" t="s">
        <v>78</v>
      </c>
      <c r="D592" s="27" t="s">
        <v>69</v>
      </c>
      <c r="E592" s="46" t="s">
        <v>19</v>
      </c>
      <c r="F592" s="47">
        <f ca="1">VLOOKUP(B592,'C'!A1:I54,IF(Settings!$J$13="points",4,7),FALSE)</f>
        <v>43</v>
      </c>
      <c r="G592" s="30">
        <f>(M592*Settings!$B$2)+(N592*Settings!$B$3)+(O592*Settings!$B$4)+(P592*Settings!$B$5)+(Q592*Settings!$B$6)+((T592-U592-V592-O592)*Settings!$B$9)+(U592*Settings!$B$10)+(V592*Settings!$B$11)+(W592*Settings!$B$12)+(X592*Settings!$B$13)+(AA592*Settings!$B$16)</f>
        <v>163.10222222222225</v>
      </c>
      <c r="H592" s="31">
        <f>VLOOKUP(B592,'Standard Deviations'!$A1:$D651,4,FALSE)</f>
        <v>-5.1726211636584676</v>
      </c>
      <c r="I592" s="32">
        <f ca="1">VLOOKUP(B592,'C'!A1:I54,IF(Settings!$J$13="points",6,9),FALSE)</f>
        <v>-4.3861032192601517</v>
      </c>
      <c r="J592" s="31"/>
      <c r="K592" s="31">
        <f ca="1">J592-A592</f>
        <v>-591</v>
      </c>
      <c r="L592" s="31"/>
      <c r="M592" s="31">
        <f>VLOOKUP($B592,Hitters!$A1:$R401,4,FALSE)</f>
        <v>333.62222222222221</v>
      </c>
      <c r="N592" s="31">
        <f>VLOOKUP($B592,Hitters!$A1:$R401,5,FALSE)</f>
        <v>37.735000000000007</v>
      </c>
      <c r="O592" s="31">
        <f>VLOOKUP($B592,Hitters!$A1:$R401,6,FALSE)</f>
        <v>11.533333333333333</v>
      </c>
      <c r="P592" s="31">
        <f>VLOOKUP($B592,Hitters!$A1:$R401,7,FALSE)</f>
        <v>38.473333333333336</v>
      </c>
      <c r="Q592" s="31">
        <f>VLOOKUP($B592,Hitters!$A1:$R401,8,FALSE)</f>
        <v>0.99888888888888883</v>
      </c>
      <c r="R592" s="33">
        <f>VLOOKUP($B592,Hitters!$A$1:$R$401,14,FALSE)</f>
        <v>0.19199027509491776</v>
      </c>
      <c r="S592" s="33">
        <f>VLOOKUP($B592,Hitters!$A$1:$R$401,15,FALSE)</f>
        <v>0.27122575486075307</v>
      </c>
      <c r="T592" s="31">
        <f>VLOOKUP($B592,Hitters!$A$1:$R$401,9,FALSE)</f>
        <v>64.052222222222227</v>
      </c>
      <c r="U592" s="31">
        <f>VLOOKUP($B592,Hitters!$A$1:$R$401,10,FALSE)</f>
        <v>11.826666666666668</v>
      </c>
      <c r="V592" s="31">
        <f>VLOOKUP($B592,Hitters!$A$1:$R$401,11,FALSE)</f>
        <v>0.12666666666666665</v>
      </c>
      <c r="W592" s="31">
        <f>VLOOKUP($B592,Hitters!$A$1:$R$401,12,FALSE)</f>
        <v>30.415555555555557</v>
      </c>
      <c r="X592" s="31">
        <f>VLOOKUP($B592,Hitters!$A$1:$R$401,13,FALSE)</f>
        <v>112.50333333333333</v>
      </c>
      <c r="Y592" s="33">
        <f>VLOOKUP($B592,Hitters!$A$1:$R$401,16,FALSE)</f>
        <v>0.3319090121894358</v>
      </c>
      <c r="Z592" s="33">
        <f>VLOOKUP($B592,Hitters!$A$1:$R$401,17,FALSE)</f>
        <v>0.60313476705018887</v>
      </c>
      <c r="AA592" s="31">
        <f>VLOOKUP($B592,Hitters!$A1:$R401,18,FALSE)</f>
        <v>0</v>
      </c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</row>
    <row r="593" spans="1:44" ht="18.600000000000001" customHeight="1">
      <c r="A593" s="25">
        <f ca="1">RANK(I593,I$2:I$651)</f>
        <v>592</v>
      </c>
      <c r="B593" s="26" t="s">
        <v>663</v>
      </c>
      <c r="C593" s="27" t="s">
        <v>81</v>
      </c>
      <c r="D593" s="27" t="s">
        <v>74</v>
      </c>
      <c r="E593" s="46" t="s">
        <v>19</v>
      </c>
      <c r="F593" s="47">
        <f ca="1">VLOOKUP(B593,'C'!A1:I54,IF(Settings!$J$13="points",4,7),FALSE)</f>
        <v>44</v>
      </c>
      <c r="G593" s="30">
        <f>(M593*Settings!$B$2)+(N593*Settings!$B$3)+(O593*Settings!$B$4)+(P593*Settings!$B$5)+(Q593*Settings!$B$6)+((T593-U593-V593-O593)*Settings!$B$9)+(U593*Settings!$B$10)+(V593*Settings!$B$11)+(W593*Settings!$B$12)+(X593*Settings!$B$13)+(AA593*Settings!$B$16)</f>
        <v>114.47999999999998</v>
      </c>
      <c r="H593" s="31">
        <f>VLOOKUP(B593,'Standard Deviations'!$A1:$D651,4,FALSE)</f>
        <v>-5.1864793483300833</v>
      </c>
      <c r="I593" s="32">
        <f ca="1">VLOOKUP(B593,'C'!A1:I54,IF(Settings!$J$13="points",6,9),FALSE)</f>
        <v>-4.3999545172464849</v>
      </c>
      <c r="J593" s="31"/>
      <c r="K593" s="31">
        <f ca="1">J593-A593</f>
        <v>-592</v>
      </c>
      <c r="L593" s="31"/>
      <c r="M593" s="31">
        <f>VLOOKUP($B593,Hitters!$A1:$R401,4,FALSE)</f>
        <v>173.54444444444445</v>
      </c>
      <c r="N593" s="31">
        <f>VLOOKUP($B593,Hitters!$A1:$R401,5,FALSE)</f>
        <v>24.516666666666666</v>
      </c>
      <c r="O593" s="31">
        <f>VLOOKUP($B593,Hitters!$A1:$R401,6,FALSE)</f>
        <v>6.0066666666666668</v>
      </c>
      <c r="P593" s="31">
        <f>VLOOKUP($B593,Hitters!$A1:$R401,7,FALSE)</f>
        <v>22.443333333333332</v>
      </c>
      <c r="Q593" s="31">
        <f>VLOOKUP($B593,Hitters!$A1:$R401,8,FALSE)</f>
        <v>2.0183333333333335</v>
      </c>
      <c r="R593" s="33">
        <f>VLOOKUP($B593,Hitters!$A$1:$R$401,14,FALSE)</f>
        <v>0.22784429220820795</v>
      </c>
      <c r="S593" s="33">
        <f>VLOOKUP($B593,Hitters!$A$1:$R$401,15,FALSE)</f>
        <v>0.3177704361932337</v>
      </c>
      <c r="T593" s="31">
        <f>VLOOKUP($B593,Hitters!$A$1:$R$401,9,FALSE)</f>
        <v>39.541111111111114</v>
      </c>
      <c r="U593" s="31">
        <f>VLOOKUP($B593,Hitters!$A$1:$R$401,10,FALSE)</f>
        <v>7.0133333333333328</v>
      </c>
      <c r="V593" s="31">
        <f>VLOOKUP($B593,Hitters!$A$1:$R$401,11,FALSE)</f>
        <v>4.9999999999999992E-3</v>
      </c>
      <c r="W593" s="31">
        <f>VLOOKUP($B593,Hitters!$A$1:$R$401,12,FALSE)</f>
        <v>20.153333333333332</v>
      </c>
      <c r="X593" s="31">
        <f>VLOOKUP($B593,Hitters!$A$1:$R$401,13,FALSE)</f>
        <v>42.50888888888889</v>
      </c>
      <c r="Y593" s="33">
        <f>VLOOKUP($B593,Hitters!$A$1:$R$401,16,FALSE)</f>
        <v>0.37214930533324797</v>
      </c>
      <c r="Z593" s="33">
        <f>VLOOKUP($B593,Hitters!$A$1:$R$401,17,FALSE)</f>
        <v>0.68991974152648172</v>
      </c>
      <c r="AA593" s="31">
        <f>VLOOKUP($B593,Hitters!$A1:$R401,18,FALSE)</f>
        <v>0</v>
      </c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</row>
    <row r="594" spans="1:44" ht="18.600000000000001" customHeight="1">
      <c r="A594" s="25">
        <f ca="1">RANK(I594,I$2:I$651)</f>
        <v>593</v>
      </c>
      <c r="B594" s="26" t="s">
        <v>713</v>
      </c>
      <c r="C594" s="27" t="s">
        <v>137</v>
      </c>
      <c r="D594" s="27" t="s">
        <v>74</v>
      </c>
      <c r="E594" s="40" t="s">
        <v>7</v>
      </c>
      <c r="F594" s="41">
        <f ca="1">VLOOKUP(B594,'1B'!A1:I63,IF(Settings!$J$13="points",4,7),FALSE)</f>
        <v>55</v>
      </c>
      <c r="G594" s="30">
        <f>(M594*Settings!$B$2)+(N594*Settings!$B$3)+(O594*Settings!$B$4)+(P594*Settings!$B$5)+(Q594*Settings!$B$6)+((T594-U594-V594-O594)*Settings!$B$9)+(U594*Settings!$B$10)+(V594*Settings!$B$11)+(W594*Settings!$B$12)+(X594*Settings!$B$13)+(AA594*Settings!$B$16)</f>
        <v>149.11944444444447</v>
      </c>
      <c r="H594" s="31">
        <f>VLOOKUP(B594,'Standard Deviations'!$A1:$D651,4,FALSE)</f>
        <v>-4.1764598466131755</v>
      </c>
      <c r="I594" s="32">
        <f ca="1">IF(Settings!$J$15="no",VLOOKUP(B594,'1B'!A1:I63,IF(Settings!$J$13="points",6,9),FALSE),VLOOKUP(B594,'1B+3B'!$A1:$I104,IF(Settings!$J$13="points",6,9),FALSE))</f>
        <v>-4.4019399058511199</v>
      </c>
      <c r="J594" s="31"/>
      <c r="K594" s="31">
        <f ca="1">J594-A594</f>
        <v>-593</v>
      </c>
      <c r="L594" s="31"/>
      <c r="M594" s="31">
        <f>VLOOKUP($B594,Hitters!$A1:$R401,4,FALSE)</f>
        <v>231.11111111111111</v>
      </c>
      <c r="N594" s="31">
        <f>VLOOKUP($B594,Hitters!$A1:$R401,5,FALSE)</f>
        <v>30.709999999999997</v>
      </c>
      <c r="O594" s="31">
        <f>VLOOKUP($B594,Hitters!$A1:$R401,6,FALSE)</f>
        <v>5.5344444444444436</v>
      </c>
      <c r="P594" s="31">
        <f>VLOOKUP($B594,Hitters!$A1:$R401,7,FALSE)</f>
        <v>24.734444444444446</v>
      </c>
      <c r="Q594" s="31">
        <f>VLOOKUP($B594,Hitters!$A1:$R401,8,FALSE)</f>
        <v>2.9966666666666666</v>
      </c>
      <c r="R594" s="33">
        <f>VLOOKUP($B594,Hitters!$A$1:$R$401,14,FALSE)</f>
        <v>0.23823076923076925</v>
      </c>
      <c r="S594" s="33">
        <f>VLOOKUP($B594,Hitters!$A$1:$R$401,15,FALSE)</f>
        <v>0.33736626235500505</v>
      </c>
      <c r="T594" s="31">
        <f>VLOOKUP($B594,Hitters!$A$1:$R$401,9,FALSE)</f>
        <v>55.05777777777778</v>
      </c>
      <c r="U594" s="31">
        <f>VLOOKUP($B594,Hitters!$A$1:$R$401,10,FALSE)</f>
        <v>11.218888888888889</v>
      </c>
      <c r="V594" s="31">
        <f>VLOOKUP($B594,Hitters!$A$1:$R$401,11,FALSE)</f>
        <v>1.0183333333333333</v>
      </c>
      <c r="W594" s="31">
        <f>VLOOKUP($B594,Hitters!$A$1:$R$401,12,FALSE)</f>
        <v>31.15166666666666</v>
      </c>
      <c r="X594" s="31">
        <f>VLOOKUP($B594,Hitters!$A$1:$R$401,13,FALSE)</f>
        <v>56.773333333333333</v>
      </c>
      <c r="Y594" s="33">
        <f>VLOOKUP($B594,Hitters!$A$1:$R$401,16,FALSE)</f>
        <v>0.36742788461538461</v>
      </c>
      <c r="Z594" s="33">
        <f>VLOOKUP($B594,Hitters!$A$1:$R$401,17,FALSE)</f>
        <v>0.70479414697038967</v>
      </c>
      <c r="AA594" s="31">
        <f>VLOOKUP($B594,Hitters!$A1:$R401,18,FALSE)</f>
        <v>0</v>
      </c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</row>
    <row r="595" spans="1:44" ht="18.600000000000001" customHeight="1">
      <c r="A595" s="25">
        <f ca="1">RANK(I595,I$2:I$651)</f>
        <v>594</v>
      </c>
      <c r="B595" s="26" t="s">
        <v>673</v>
      </c>
      <c r="C595" s="27" t="s">
        <v>68</v>
      </c>
      <c r="D595" s="27" t="s">
        <v>69</v>
      </c>
      <c r="E595" s="46" t="s">
        <v>19</v>
      </c>
      <c r="F595" s="47">
        <f ca="1">VLOOKUP(B595,'C'!A1:I54,IF(Settings!$J$13="points",4,7),FALSE)</f>
        <v>45</v>
      </c>
      <c r="G595" s="30">
        <f>(M595*Settings!$B$2)+(N595*Settings!$B$3)+(O595*Settings!$B$4)+(P595*Settings!$B$5)+(Q595*Settings!$B$6)+((T595-U595-V595-O595)*Settings!$B$9)+(U595*Settings!$B$10)+(V595*Settings!$B$11)+(W595*Settings!$B$12)+(X595*Settings!$B$13)+(AA595*Settings!$B$16)</f>
        <v>120.01611111111112</v>
      </c>
      <c r="H595" s="31">
        <f>VLOOKUP(B595,'Standard Deviations'!$A1:$D651,4,FALSE)</f>
        <v>-5.1999243188602282</v>
      </c>
      <c r="I595" s="32">
        <f ca="1">VLOOKUP(B595,'C'!A1:I54,IF(Settings!$J$13="points",6,9),FALSE)</f>
        <v>-4.4134036324410451</v>
      </c>
      <c r="J595" s="31"/>
      <c r="K595" s="31">
        <f ca="1">J595-A595</f>
        <v>-594</v>
      </c>
      <c r="L595" s="31"/>
      <c r="M595" s="31">
        <f>VLOOKUP($B595,Hitters!$A1:$R401,4,FALSE)</f>
        <v>203.93333333333331</v>
      </c>
      <c r="N595" s="31">
        <f>VLOOKUP($B595,Hitters!$A1:$R401,5,FALSE)</f>
        <v>23.738888888888891</v>
      </c>
      <c r="O595" s="31">
        <f>VLOOKUP($B595,Hitters!$A1:$R401,6,FALSE)</f>
        <v>9.2016666666666662</v>
      </c>
      <c r="P595" s="31">
        <f>VLOOKUP($B595,Hitters!$A1:$R401,7,FALSE)</f>
        <v>27.72666666666667</v>
      </c>
      <c r="Q595" s="31">
        <f>VLOOKUP($B595,Hitters!$A1:$R401,8,FALSE)</f>
        <v>0.7122222222222222</v>
      </c>
      <c r="R595" s="33">
        <f>VLOOKUP($B595,Hitters!$A$1:$R$401,14,FALSE)</f>
        <v>0.21952163016236248</v>
      </c>
      <c r="S595" s="33">
        <f>VLOOKUP($B595,Hitters!$A$1:$R$401,15,FALSE)</f>
        <v>0.27795128965879567</v>
      </c>
      <c r="T595" s="31">
        <f>VLOOKUP($B595,Hitters!$A$1:$R$401,9,FALSE)</f>
        <v>44.767777777777781</v>
      </c>
      <c r="U595" s="31">
        <f>VLOOKUP($B595,Hitters!$A$1:$R$401,10,FALSE)</f>
        <v>8.9522222222222219</v>
      </c>
      <c r="V595" s="31">
        <f>VLOOKUP($B595,Hitters!$A$1:$R$401,11,FALSE)</f>
        <v>6.6666666666666654E-3</v>
      </c>
      <c r="W595" s="31">
        <f>VLOOKUP($B595,Hitters!$A$1:$R$401,12,FALSE)</f>
        <v>12.974444444444444</v>
      </c>
      <c r="X595" s="31">
        <f>VLOOKUP($B595,Hitters!$A$1:$R$401,13,FALSE)</f>
        <v>54.373333333333335</v>
      </c>
      <c r="Y595" s="33">
        <f>VLOOKUP($B595,Hitters!$A$1:$R$401,16,FALSE)</f>
        <v>0.39884766263484805</v>
      </c>
      <c r="Z595" s="33">
        <f>VLOOKUP($B595,Hitters!$A$1:$R$401,17,FALSE)</f>
        <v>0.67679895229364373</v>
      </c>
      <c r="AA595" s="31">
        <f>VLOOKUP($B595,Hitters!$A1:$R401,18,FALSE)</f>
        <v>0</v>
      </c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</row>
    <row r="596" spans="1:44" ht="18.600000000000001" customHeight="1">
      <c r="A596" s="25">
        <f ca="1">RANK(I596,I$2:I$651)</f>
        <v>595</v>
      </c>
      <c r="B596" s="26" t="s">
        <v>711</v>
      </c>
      <c r="C596" s="27" t="s">
        <v>91</v>
      </c>
      <c r="D596" s="27" t="s">
        <v>74</v>
      </c>
      <c r="E596" s="48" t="s">
        <v>11</v>
      </c>
      <c r="F596" s="49">
        <f ca="1">VLOOKUP(B596,'2B'!A1:I50,IF(Settings!$J$13="points",4,7),FALSE)</f>
        <v>42</v>
      </c>
      <c r="G596" s="30">
        <f>(M596*Settings!$B$2)+(N596*Settings!$B$3)+(O596*Settings!$B$4)+(P596*Settings!$B$5)+(Q596*Settings!$B$6)+((T596-U596-V596-O596)*Settings!$B$9)+(U596*Settings!$B$10)+(V596*Settings!$B$11)+(W596*Settings!$B$12)+(X596*Settings!$B$13)+(AA596*Settings!$B$16)</f>
        <v>106.87222222222222</v>
      </c>
      <c r="H596" s="31">
        <f>VLOOKUP(B596,'Standard Deviations'!$A1:$D651,4,FALSE)</f>
        <v>-4.4086572470344176</v>
      </c>
      <c r="I596" s="32">
        <f ca="1">IF(Settings!$J$16="no",VLOOKUP(B596,'2B'!A1:I50,IF(Settings!$J$13="points",6,9),FALSE),VLOOKUP(B596,'2B+SS'!$A1:$I94,IF(Settings!$J$13="points",6,9),FALSE))</f>
        <v>-4.4146984618842984</v>
      </c>
      <c r="J596" s="31"/>
      <c r="K596" s="31">
        <f ca="1">J596-A596</f>
        <v>-595</v>
      </c>
      <c r="L596" s="31"/>
      <c r="M596" s="31">
        <f>VLOOKUP($B596,Hitters!$A1:$R401,4,FALSE)</f>
        <v>184.97777777777779</v>
      </c>
      <c r="N596" s="31">
        <f>VLOOKUP($B596,Hitters!$A1:$R401,5,FALSE)</f>
        <v>23.49</v>
      </c>
      <c r="O596" s="31">
        <f>VLOOKUP($B596,Hitters!$A1:$R401,6,FALSE)</f>
        <v>3.9422222222222221</v>
      </c>
      <c r="P596" s="31">
        <f>VLOOKUP($B596,Hitters!$A1:$R401,7,FALSE)</f>
        <v>20.573333333333334</v>
      </c>
      <c r="Q596" s="31">
        <f>VLOOKUP($B596,Hitters!$A1:$R401,8,FALSE)</f>
        <v>4.0366666666666671</v>
      </c>
      <c r="R596" s="33">
        <f>VLOOKUP($B596,Hitters!$A$1:$R$401,14,FALSE)</f>
        <v>0.24473209995194617</v>
      </c>
      <c r="S596" s="33">
        <f>VLOOKUP($B596,Hitters!$A$1:$R$401,15,FALSE)</f>
        <v>0.2901275241094598</v>
      </c>
      <c r="T596" s="31">
        <f>VLOOKUP($B596,Hitters!$A$1:$R$401,9,FALSE)</f>
        <v>45.27</v>
      </c>
      <c r="U596" s="31">
        <f>VLOOKUP($B596,Hitters!$A$1:$R$401,10,FALSE)</f>
        <v>7.9533333333333331</v>
      </c>
      <c r="V596" s="31">
        <f>VLOOKUP($B596,Hitters!$A$1:$R$401,11,FALSE)</f>
        <v>1.9444444444444446</v>
      </c>
      <c r="W596" s="31">
        <f>VLOOKUP($B596,Hitters!$A$1:$R$401,12,FALSE)</f>
        <v>8.7166666666666668</v>
      </c>
      <c r="X596" s="31">
        <f>VLOOKUP($B596,Hitters!$A$1:$R$401,13,FALSE)</f>
        <v>45.84</v>
      </c>
      <c r="Y596" s="33">
        <f>VLOOKUP($B596,Hitters!$A$1:$R$401,16,FALSE)</f>
        <v>0.372687409899087</v>
      </c>
      <c r="Z596" s="33">
        <f>VLOOKUP($B596,Hitters!$A$1:$R$401,17,FALSE)</f>
        <v>0.66281493400854674</v>
      </c>
      <c r="AA596" s="31">
        <f>VLOOKUP($B596,Hitters!$A1:$R401,18,FALSE)</f>
        <v>0</v>
      </c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</row>
    <row r="597" spans="1:44" ht="18.600000000000001" customHeight="1">
      <c r="A597" s="25">
        <f ca="1">RANK(I597,I$2:I$651)</f>
        <v>596</v>
      </c>
      <c r="B597" s="26" t="s">
        <v>677</v>
      </c>
      <c r="C597" s="27" t="s">
        <v>156</v>
      </c>
      <c r="D597" s="27" t="s">
        <v>69</v>
      </c>
      <c r="E597" s="46" t="s">
        <v>19</v>
      </c>
      <c r="F597" s="47">
        <f ca="1">VLOOKUP(B597,'C'!A1:I54,IF(Settings!$J$13="points",4,7),FALSE)</f>
        <v>46</v>
      </c>
      <c r="G597" s="30">
        <f>(M597*Settings!$B$2)+(N597*Settings!$B$3)+(O597*Settings!$B$4)+(P597*Settings!$B$5)+(Q597*Settings!$B$6)+((T597-U597-V597-O597)*Settings!$B$9)+(U597*Settings!$B$10)+(V597*Settings!$B$11)+(W597*Settings!$B$12)+(X597*Settings!$B$13)+(AA597*Settings!$B$16)</f>
        <v>128.50277777777782</v>
      </c>
      <c r="H597" s="31">
        <f>VLOOKUP(B597,'Standard Deviations'!$A1:$D651,4,FALSE)</f>
        <v>-5.2044639600287566</v>
      </c>
      <c r="I597" s="32">
        <f ca="1">VLOOKUP(B597,'C'!A1:I54,IF(Settings!$J$13="points",6,9),FALSE)</f>
        <v>-4.4179413559756062</v>
      </c>
      <c r="J597" s="31"/>
      <c r="K597" s="31">
        <f ca="1">J597-A597</f>
        <v>-596</v>
      </c>
      <c r="L597" s="31"/>
      <c r="M597" s="31">
        <f>VLOOKUP($B597,Hitters!$A1:$R401,4,FALSE)</f>
        <v>219.78888888888889</v>
      </c>
      <c r="N597" s="31">
        <f>VLOOKUP($B597,Hitters!$A1:$R401,5,FALSE)</f>
        <v>25.988888888888891</v>
      </c>
      <c r="O597" s="31">
        <f>VLOOKUP($B597,Hitters!$A1:$R401,6,FALSE)</f>
        <v>8.5888888888888886</v>
      </c>
      <c r="P597" s="31">
        <f>VLOOKUP($B597,Hitters!$A1:$R401,7,FALSE)</f>
        <v>28.24111111111111</v>
      </c>
      <c r="Q597" s="31">
        <f>VLOOKUP($B597,Hitters!$A1:$R401,8,FALSE)</f>
        <v>0.98999999999999988</v>
      </c>
      <c r="R597" s="33">
        <f>VLOOKUP($B597,Hitters!$A$1:$R$401,14,FALSE)</f>
        <v>0.21772913401749153</v>
      </c>
      <c r="S597" s="33">
        <f>VLOOKUP($B597,Hitters!$A$1:$R$401,15,FALSE)</f>
        <v>0.29640978668249146</v>
      </c>
      <c r="T597" s="31">
        <f>VLOOKUP($B597,Hitters!$A$1:$R$401,9,FALSE)</f>
        <v>47.854444444444447</v>
      </c>
      <c r="U597" s="31">
        <f>VLOOKUP($B597,Hitters!$A$1:$R$401,10,FALSE)</f>
        <v>9.7633333333333336</v>
      </c>
      <c r="V597" s="31">
        <f>VLOOKUP($B597,Hitters!$A$1:$R$401,11,FALSE)</f>
        <v>0.9966666666666667</v>
      </c>
      <c r="W597" s="31">
        <f>VLOOKUP($B597,Hitters!$A$1:$R$401,12,FALSE)</f>
        <v>20.935555555555556</v>
      </c>
      <c r="X597" s="31">
        <f>VLOOKUP($B597,Hitters!$A$1:$R$401,13,FALSE)</f>
        <v>68.041111111111107</v>
      </c>
      <c r="Y597" s="33">
        <f>VLOOKUP($B597,Hitters!$A$1:$R$401,16,FALSE)</f>
        <v>0.38845356655376367</v>
      </c>
      <c r="Z597" s="33">
        <f>VLOOKUP($B597,Hitters!$A$1:$R$401,17,FALSE)</f>
        <v>0.68486335323625513</v>
      </c>
      <c r="AA597" s="31">
        <f>VLOOKUP($B597,Hitters!$A1:$R401,18,FALSE)</f>
        <v>0</v>
      </c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</row>
    <row r="598" spans="1:44" ht="18.600000000000001" customHeight="1">
      <c r="A598" s="25">
        <f ca="1">RANK(I598,I$2:I$651)</f>
        <v>597</v>
      </c>
      <c r="B598" s="26" t="s">
        <v>701</v>
      </c>
      <c r="C598" s="27" t="s">
        <v>306</v>
      </c>
      <c r="D598" s="27" t="s">
        <v>74</v>
      </c>
      <c r="E598" s="36" t="s">
        <v>31</v>
      </c>
      <c r="F598" s="37">
        <f ca="1">VLOOKUP(B598,SP!A1:I161,IF(Settings!$J$13="points",4,7),FALSE)</f>
        <v>160</v>
      </c>
      <c r="G598" s="30">
        <f>(AC598*Settings!$F$2)+(AF598*Settings!$F$5)+(AG598*Settings!$F$6)+(AH598*Settings!$F$7)+(AI598*Settings!$F$8)+(AJ598*Settings!$F$9)+(AK598*Settings!$F$10)+(AL598*Settings!$F$11)+(AM598*Settings!$F$12)+(AN598*Settings!$F$13)+(AO598*Settings!$F$14)+(AP598*Settings!$F$15)+(AQ598*Settings!$F$16)+(AR598*Settings!$F$17)</f>
        <v>236.53375555555567</v>
      </c>
      <c r="H598" s="31">
        <f>VLOOKUP(B598,'Standard Deviations'!$A1:$D651,4,FALSE)</f>
        <v>-5.3444433526710657</v>
      </c>
      <c r="I598" s="32">
        <f ca="1">IF(Settings!$J$16="no",VLOOKUP(B598,SP!A1:I161,IF(Settings!$J$13="points",6,9),FALSE),VLOOKUP(B598,'SP+RP'!$A1:$I251,IF(Settings!$J$13="points",6,9),FALSE))</f>
        <v>-4.476861450586834</v>
      </c>
      <c r="J598" s="31"/>
      <c r="K598" s="31">
        <f ca="1">J598-A598</f>
        <v>-597</v>
      </c>
      <c r="L598" s="31"/>
      <c r="M598" s="31"/>
      <c r="N598" s="31"/>
      <c r="O598" s="31"/>
      <c r="P598" s="31"/>
      <c r="Q598" s="31"/>
      <c r="R598" s="33"/>
      <c r="S598" s="33"/>
      <c r="T598" s="31"/>
      <c r="U598" s="31"/>
      <c r="V598" s="31"/>
      <c r="W598" s="31"/>
      <c r="X598" s="31"/>
      <c r="Y598" s="33"/>
      <c r="Z598" s="33"/>
      <c r="AA598" s="31"/>
      <c r="AB598" s="31"/>
      <c r="AC598" s="31">
        <f>VLOOKUP($B598,Pitchers!$A1:$S251,4,FALSE)</f>
        <v>150.05444444444447</v>
      </c>
      <c r="AD598" s="33">
        <f>VLOOKUP($B598,Pitchers!$A1:$S251,5,FALSE)</f>
        <v>4.9428805840842953</v>
      </c>
      <c r="AE598" s="33">
        <f>VLOOKUP($B598,Pitchers!$A1:$S251,6,FALSE)</f>
        <v>1.4472746928892473</v>
      </c>
      <c r="AF598" s="31">
        <f>VLOOKUP($B598,Pitchers!$A1:$S251,7,FALSE)</f>
        <v>121.68333333333334</v>
      </c>
      <c r="AG598" s="31">
        <f>VLOOKUP($B598,Pitchers!$A1:$S251,8,FALSE)</f>
        <v>6.996666666666667</v>
      </c>
      <c r="AH598" s="31">
        <f>VLOOKUP($B598,Pitchers!$A1:$S251,9,FALSE)</f>
        <v>0</v>
      </c>
      <c r="AI598" s="31">
        <f>VLOOKUP($B598,Pitchers!$A1:$S251,10,FALSE)</f>
        <v>82.411244444444449</v>
      </c>
      <c r="AJ598" s="31">
        <f>VLOOKUP($B598,Pitchers!$A1:$S251,11,FALSE)</f>
        <v>167.13333333333333</v>
      </c>
      <c r="AK598" s="31">
        <f>VLOOKUP($B598,Pitchers!$A1:$S251,12,FALSE)</f>
        <v>50.036666666666669</v>
      </c>
      <c r="AL598" s="31">
        <f>VLOOKUP($B598,Pitchers!$A1:$S251,13,FALSE)</f>
        <v>24.066666666666666</v>
      </c>
      <c r="AM598" s="31">
        <f>VLOOKUP($B598,Pitchers!$A1:$S251,14,FALSE)</f>
        <v>28.046666666666667</v>
      </c>
      <c r="AN598" s="31">
        <f>VLOOKUP($B598,Pitchers!$A1:$S251,15,FALSE)</f>
        <v>28.046666666666667</v>
      </c>
      <c r="AO598" s="31">
        <f>VLOOKUP($B598,Pitchers!$A1:$S251,16,FALSE)</f>
        <v>11.973333333333334</v>
      </c>
      <c r="AP598" s="31">
        <f>VLOOKUP($B598,Pitchers!$A1:$S251,17,FALSE)</f>
        <v>12</v>
      </c>
      <c r="AQ598" s="31">
        <f>VLOOKUP($B598,Pitchers!$A1:$S251,18,FALSE)</f>
        <v>0</v>
      </c>
      <c r="AR598" s="31">
        <f>VLOOKUP($B598,Pitchers!$A1:$S251,19,FALSE)</f>
        <v>0</v>
      </c>
    </row>
    <row r="599" spans="1:44" ht="18.600000000000001" customHeight="1">
      <c r="A599" s="25">
        <f ca="1">RANK(I599,I$2:I$651)</f>
        <v>598</v>
      </c>
      <c r="B599" s="26" t="s">
        <v>620</v>
      </c>
      <c r="C599" s="27" t="s">
        <v>103</v>
      </c>
      <c r="D599" s="27" t="s">
        <v>69</v>
      </c>
      <c r="E599" s="28" t="s">
        <v>23</v>
      </c>
      <c r="F599" s="29">
        <f ca="1">VLOOKUP(B599,OF!A1:I139,IF(Settings!$J$13="points",4,7),FALSE)</f>
        <v>126</v>
      </c>
      <c r="G599" s="30">
        <f>(M599*Settings!$B$2)+(N599*Settings!$B$3)+(O599*Settings!$B$4)+(P599*Settings!$B$5)+(Q599*Settings!$B$6)+((T599-U599-V599-O599)*Settings!$B$9)+(U599*Settings!$B$10)+(V599*Settings!$B$11)+(W599*Settings!$B$12)+(X599*Settings!$B$13)+(AA599*Settings!$B$16)</f>
        <v>89.129444444444431</v>
      </c>
      <c r="H599" s="31">
        <f>VLOOKUP(B599,'Standard Deviations'!$A1:$D651,4,FALSE)</f>
        <v>-4.729725458487601</v>
      </c>
      <c r="I599" s="32">
        <f ca="1">VLOOKUP(B599,OF!A1:I139,IF(Settings!$J$13="points",6,9),FALSE)</f>
        <v>-4.5727906039752639</v>
      </c>
      <c r="J599" s="31"/>
      <c r="K599" s="31">
        <f ca="1">J599-A599</f>
        <v>-598</v>
      </c>
      <c r="L599" s="31"/>
      <c r="M599" s="31">
        <f>VLOOKUP($B599,Hitters!$A1:$R401,4,FALSE)</f>
        <v>142.69999999999999</v>
      </c>
      <c r="N599" s="31">
        <f>VLOOKUP($B599,Hitters!$A1:$R401,5,FALSE)</f>
        <v>19.065000000000001</v>
      </c>
      <c r="O599" s="31">
        <f>VLOOKUP($B599,Hitters!$A1:$R401,6,FALSE)</f>
        <v>4.0166666666666666</v>
      </c>
      <c r="P599" s="31">
        <f>VLOOKUP($B599,Hitters!$A1:$R401,7,FALSE)</f>
        <v>17.454999999999998</v>
      </c>
      <c r="Q599" s="31">
        <f>VLOOKUP($B599,Hitters!$A1:$R401,8,FALSE)</f>
        <v>1.02</v>
      </c>
      <c r="R599" s="33">
        <f>VLOOKUP($B599,Hitters!$A$1:$R$401,14,FALSE)</f>
        <v>0.25324690492875496</v>
      </c>
      <c r="S599" s="33">
        <f>VLOOKUP($B599,Hitters!$A$1:$R$401,15,FALSE)</f>
        <v>0.33190044258819956</v>
      </c>
      <c r="T599" s="31">
        <f>VLOOKUP($B599,Hitters!$A$1:$R$401,9,FALSE)</f>
        <v>36.138333333333328</v>
      </c>
      <c r="U599" s="31">
        <f>VLOOKUP($B599,Hitters!$A$1:$R$401,10,FALSE)</f>
        <v>7.7349999999999994</v>
      </c>
      <c r="V599" s="31">
        <f>VLOOKUP($B599,Hitters!$A$1:$R$401,11,FALSE)</f>
        <v>4.9999999999999992E-3</v>
      </c>
      <c r="W599" s="31">
        <f>VLOOKUP($B599,Hitters!$A$1:$R$401,12,FALSE)</f>
        <v>14.649999999999999</v>
      </c>
      <c r="X599" s="31">
        <f>VLOOKUP($B599,Hitters!$A$1:$R$401,13,FALSE)</f>
        <v>40.027777777777779</v>
      </c>
      <c r="Y599" s="33">
        <f>VLOOKUP($B599,Hitters!$A$1:$R$401,16,FALSE)</f>
        <v>0.39196449427703806</v>
      </c>
      <c r="Z599" s="33">
        <f>VLOOKUP($B599,Hitters!$A$1:$R$401,17,FALSE)</f>
        <v>0.72386493686523767</v>
      </c>
      <c r="AA599" s="31">
        <f>VLOOKUP($B599,Hitters!$A1:$R401,18,FALSE)</f>
        <v>0</v>
      </c>
      <c r="AB599" s="31"/>
      <c r="AC599" s="31"/>
      <c r="AD599" s="33"/>
      <c r="AE599" s="33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</row>
    <row r="600" spans="1:44" ht="18.600000000000001" customHeight="1">
      <c r="A600" s="25">
        <f ca="1">RANK(I600,I$2:I$651)</f>
        <v>599</v>
      </c>
      <c r="B600" s="26" t="s">
        <v>504</v>
      </c>
      <c r="C600" s="27" t="s">
        <v>176</v>
      </c>
      <c r="D600" s="27" t="s">
        <v>74</v>
      </c>
      <c r="E600" s="28" t="s">
        <v>23</v>
      </c>
      <c r="F600" s="29">
        <f ca="1">VLOOKUP(B600,OF!A1:I139,IF(Settings!$J$13="points",4,7),FALSE)</f>
        <v>127</v>
      </c>
      <c r="G600" s="30">
        <f>(M600*Settings!$B$2)+(N600*Settings!$B$3)+(O600*Settings!$B$4)+(P600*Settings!$B$5)+(Q600*Settings!$B$6)+((T600-U600-V600-O600)*Settings!$B$9)+(U600*Settings!$B$10)+(V600*Settings!$B$11)+(W600*Settings!$B$12)+(X600*Settings!$B$13)+(AA600*Settings!$B$16)</f>
        <v>91.452222222222233</v>
      </c>
      <c r="H600" s="31">
        <f>VLOOKUP(B600,'Standard Deviations'!$A1:$D651,4,FALSE)</f>
        <v>-4.7484295344538801</v>
      </c>
      <c r="I600" s="32">
        <f ca="1">VLOOKUP(B600,OF!A1:I139,IF(Settings!$J$13="points",6,9),FALSE)</f>
        <v>-4.5915017368018409</v>
      </c>
      <c r="J600" s="31"/>
      <c r="K600" s="31">
        <f ca="1">J600-A600</f>
        <v>-599</v>
      </c>
      <c r="L600" s="31"/>
      <c r="M600" s="31">
        <f>VLOOKUP($B600,Hitters!$A1:$R401,4,FALSE)</f>
        <v>121.91666666666667</v>
      </c>
      <c r="N600" s="31">
        <f>VLOOKUP($B600,Hitters!$A1:$R401,5,FALSE)</f>
        <v>17.448333333333334</v>
      </c>
      <c r="O600" s="31">
        <f>VLOOKUP($B600,Hitters!$A1:$R401,6,FALSE)</f>
        <v>4.9000000000000012</v>
      </c>
      <c r="P600" s="31">
        <f>VLOOKUP($B600,Hitters!$A1:$R401,7,FALSE)</f>
        <v>16.628333333333334</v>
      </c>
      <c r="Q600" s="31">
        <f>VLOOKUP($B600,Hitters!$A1:$R401,8,FALSE)</f>
        <v>2.2316666666666669</v>
      </c>
      <c r="R600" s="33">
        <f>VLOOKUP($B600,Hitters!$A$1:$R$401,14,FALSE)</f>
        <v>0.24959671907040329</v>
      </c>
      <c r="S600" s="33">
        <f>VLOOKUP($B600,Hitters!$A$1:$R$401,15,FALSE)</f>
        <v>0.33568504716689213</v>
      </c>
      <c r="T600" s="31">
        <f>VLOOKUP($B600,Hitters!$A$1:$R$401,9,FALSE)</f>
        <v>30.430000000000003</v>
      </c>
      <c r="U600" s="31">
        <f>VLOOKUP($B600,Hitters!$A$1:$R$401,10,FALSE)</f>
        <v>7.5116666666666658</v>
      </c>
      <c r="V600" s="31">
        <f>VLOOKUP($B600,Hitters!$A$1:$R$401,11,FALSE)</f>
        <v>0.66111111111111109</v>
      </c>
      <c r="W600" s="31">
        <f>VLOOKUP($B600,Hitters!$A$1:$R$401,12,FALSE)</f>
        <v>13.983333333333334</v>
      </c>
      <c r="X600" s="31">
        <f>VLOOKUP($B600,Hitters!$A$1:$R$401,13,FALSE)</f>
        <v>30.070000000000004</v>
      </c>
      <c r="Y600" s="33">
        <f>VLOOKUP($B600,Hitters!$A$1:$R$401,16,FALSE)</f>
        <v>0.44262930052403737</v>
      </c>
      <c r="Z600" s="33">
        <f>VLOOKUP($B600,Hitters!$A$1:$R$401,17,FALSE)</f>
        <v>0.77831434769092955</v>
      </c>
      <c r="AA600" s="31">
        <f>VLOOKUP($B600,Hitters!$A1:$R401,18,FALSE)</f>
        <v>0</v>
      </c>
      <c r="AB600" s="31"/>
      <c r="AC600" s="31"/>
      <c r="AD600" s="33"/>
      <c r="AE600" s="33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</row>
    <row r="601" spans="1:44" ht="18.600000000000001" customHeight="1">
      <c r="A601" s="25">
        <f ca="1">RANK(I601,I$2:I$651)</f>
        <v>600</v>
      </c>
      <c r="B601" s="26" t="s">
        <v>671</v>
      </c>
      <c r="C601" s="27" t="s">
        <v>158</v>
      </c>
      <c r="D601" s="27" t="s">
        <v>74</v>
      </c>
      <c r="E601" s="46" t="s">
        <v>19</v>
      </c>
      <c r="F601" s="47">
        <f ca="1">VLOOKUP(B601,'C'!A1:I54,IF(Settings!$J$13="points",4,7),FALSE)</f>
        <v>47</v>
      </c>
      <c r="G601" s="30">
        <f>(M601*Settings!$B$2)+(N601*Settings!$B$3)+(O601*Settings!$B$4)+(P601*Settings!$B$5)+(Q601*Settings!$B$6)+((T601-U601-V601-O601)*Settings!$B$9)+(U601*Settings!$B$10)+(V601*Settings!$B$11)+(W601*Settings!$B$12)+(X601*Settings!$B$13)+(AA601*Settings!$B$16)</f>
        <v>131.52944444444444</v>
      </c>
      <c r="H601" s="31">
        <f>VLOOKUP(B601,'Standard Deviations'!$A1:$D651,4,FALSE)</f>
        <v>-5.4581640382591203</v>
      </c>
      <c r="I601" s="32">
        <f ca="1">VLOOKUP(B601,'C'!A1:I54,IF(Settings!$J$13="points",6,9),FALSE)</f>
        <v>-4.6716460828304376</v>
      </c>
      <c r="J601" s="31"/>
      <c r="K601" s="31">
        <f ca="1">J601-A601</f>
        <v>-600</v>
      </c>
      <c r="L601" s="31"/>
      <c r="M601" s="31">
        <f>VLOOKUP($B601,Hitters!$A1:$R401,4,FALSE)</f>
        <v>282.18333333333334</v>
      </c>
      <c r="N601" s="31">
        <f>VLOOKUP($B601,Hitters!$A1:$R401,5,FALSE)</f>
        <v>27.525555555555556</v>
      </c>
      <c r="O601" s="31">
        <f>VLOOKUP($B601,Hitters!$A1:$R401,6,FALSE)</f>
        <v>4.5344444444444445</v>
      </c>
      <c r="P601" s="31">
        <f>VLOOKUP($B601,Hitters!$A1:$R401,7,FALSE)</f>
        <v>26.555555555555557</v>
      </c>
      <c r="Q601" s="31">
        <f>VLOOKUP($B601,Hitters!$A1:$R401,8,FALSE)</f>
        <v>0.51444444444444448</v>
      </c>
      <c r="R601" s="33">
        <f>VLOOKUP($B601,Hitters!$A$1:$R$401,14,FALSE)</f>
        <v>0.22404268304687652</v>
      </c>
      <c r="S601" s="33">
        <f>VLOOKUP($B601,Hitters!$A$1:$R$401,15,FALSE)</f>
        <v>0.29968213005515287</v>
      </c>
      <c r="T601" s="31">
        <f>VLOOKUP($B601,Hitters!$A$1:$R$401,9,FALSE)</f>
        <v>63.221111111111107</v>
      </c>
      <c r="U601" s="31">
        <f>VLOOKUP($B601,Hitters!$A$1:$R$401,10,FALSE)</f>
        <v>11.486666666666666</v>
      </c>
      <c r="V601" s="31">
        <f>VLOOKUP($B601,Hitters!$A$1:$R$401,11,FALSE)</f>
        <v>2.5000000000000005E-2</v>
      </c>
      <c r="W601" s="31">
        <f>VLOOKUP($B601,Hitters!$A$1:$R$401,12,FALSE)</f>
        <v>25.838333333333335</v>
      </c>
      <c r="X601" s="31">
        <f>VLOOKUP($B601,Hitters!$A$1:$R$401,13,FALSE)</f>
        <v>75.56</v>
      </c>
      <c r="Y601" s="33">
        <f>VLOOKUP($B601,Hitters!$A$1:$R$401,16,FALSE)</f>
        <v>0.31313369952552517</v>
      </c>
      <c r="Z601" s="33">
        <f>VLOOKUP($B601,Hitters!$A$1:$R$401,17,FALSE)</f>
        <v>0.61281582958067804</v>
      </c>
      <c r="AA601" s="31">
        <f>VLOOKUP($B601,Hitters!$A1:$R401,18,FALSE)</f>
        <v>0</v>
      </c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</row>
    <row r="602" spans="1:44" ht="18.600000000000001" customHeight="1">
      <c r="A602" s="25">
        <f ca="1">RANK(I602,I$2:I$651)</f>
        <v>601</v>
      </c>
      <c r="B602" s="26" t="s">
        <v>665</v>
      </c>
      <c r="C602" s="27" t="s">
        <v>306</v>
      </c>
      <c r="D602" s="27" t="s">
        <v>74</v>
      </c>
      <c r="E602" s="34" t="s">
        <v>15</v>
      </c>
      <c r="F602" s="35">
        <f ca="1">VLOOKUP(B602,'3B'!A1:I55,IF(Settings!$J$13="points",4,7),FALSE)</f>
        <v>45</v>
      </c>
      <c r="G602" s="30">
        <f>(M602*Settings!$B$2)+(N602*Settings!$B$3)+(O602*Settings!$B$4)+(P602*Settings!$B$5)+(Q602*Settings!$B$6)+((T602-U602-V602-O602)*Settings!$B$9)+(U602*Settings!$B$10)+(V602*Settings!$B$11)+(W602*Settings!$B$12)+(X602*Settings!$B$13)+(AA602*Settings!$B$16)</f>
        <v>98.871666666666655</v>
      </c>
      <c r="H602" s="31">
        <f>VLOOKUP(B602,'Standard Deviations'!$A1:$D651,4,FALSE)</f>
        <v>-4.4487296621410914</v>
      </c>
      <c r="I602" s="32">
        <f ca="1">IF(Settings!$J$15="no",VLOOKUP(B602,'3B'!A1:I55,IF(Settings!$J$13="points",6,9),FALSE),VLOOKUP(B602,'1B+3B'!$A1:$I104,IF(Settings!$J$13="points",6,9),FALSE))</f>
        <v>-4.6742072967716863</v>
      </c>
      <c r="J602" s="31"/>
      <c r="K602" s="31">
        <f ca="1">J602-A602</f>
        <v>-601</v>
      </c>
      <c r="L602" s="31"/>
      <c r="M602" s="31">
        <f>VLOOKUP($B602,Hitters!$A1:$R401,4,FALSE)</f>
        <v>158.78333333333333</v>
      </c>
      <c r="N602" s="31">
        <f>VLOOKUP($B602,Hitters!$A1:$R401,5,FALSE)</f>
        <v>18.661666666666665</v>
      </c>
      <c r="O602" s="31">
        <f>VLOOKUP($B602,Hitters!$A1:$R401,6,FALSE)</f>
        <v>4.0374999999999996</v>
      </c>
      <c r="P602" s="31">
        <f>VLOOKUP($B602,Hitters!$A1:$R401,7,FALSE)</f>
        <v>18.669999999999998</v>
      </c>
      <c r="Q602" s="31">
        <f>VLOOKUP($B602,Hitters!$A1:$R401,8,FALSE)</f>
        <v>2.6916666666666664</v>
      </c>
      <c r="R602" s="33">
        <f>VLOOKUP($B602,Hitters!$A$1:$R$401,14,FALSE)</f>
        <v>0.25330114411672089</v>
      </c>
      <c r="S602" s="33">
        <f>VLOOKUP($B602,Hitters!$A$1:$R$401,15,FALSE)</f>
        <v>0.31207398062613989</v>
      </c>
      <c r="T602" s="31">
        <f>VLOOKUP($B602,Hitters!$A$1:$R$401,9,FALSE)</f>
        <v>40.22</v>
      </c>
      <c r="U602" s="31">
        <f>VLOOKUP($B602,Hitters!$A$1:$R$401,10,FALSE)</f>
        <v>9.4</v>
      </c>
      <c r="V602" s="31">
        <f>VLOOKUP($B602,Hitters!$A$1:$R$401,11,FALSE)</f>
        <v>0.9916666666666667</v>
      </c>
      <c r="W602" s="31">
        <f>VLOOKUP($B602,Hitters!$A$1:$R$401,12,FALSE)</f>
        <v>11.036666666666667</v>
      </c>
      <c r="X602" s="31">
        <f>VLOOKUP($B602,Hitters!$A$1:$R$401,13,FALSE)</f>
        <v>37.19166666666667</v>
      </c>
      <c r="Y602" s="33">
        <f>VLOOKUP($B602,Hitters!$A$1:$R$401,16,FALSE)</f>
        <v>0.40127532276687311</v>
      </c>
      <c r="Z602" s="33">
        <f>VLOOKUP($B602,Hitters!$A$1:$R$401,17,FALSE)</f>
        <v>0.71334930339301295</v>
      </c>
      <c r="AA602" s="31">
        <f>VLOOKUP($B602,Hitters!$A1:$R401,18,FALSE)</f>
        <v>0</v>
      </c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</row>
    <row r="603" spans="1:44" ht="18.600000000000001" customHeight="1">
      <c r="A603" s="25">
        <f ca="1">RANK(I603,I$2:I$651)</f>
        <v>602</v>
      </c>
      <c r="B603" s="26" t="s">
        <v>683</v>
      </c>
      <c r="C603" s="27" t="s">
        <v>103</v>
      </c>
      <c r="D603" s="27" t="s">
        <v>69</v>
      </c>
      <c r="E603" s="28" t="s">
        <v>23</v>
      </c>
      <c r="F603" s="29">
        <f ca="1">VLOOKUP(B603,OF!A1:I139,IF(Settings!$J$13="points",4,7),FALSE)</f>
        <v>128</v>
      </c>
      <c r="G603" s="30">
        <f>(M603*Settings!$B$2)+(N603*Settings!$B$3)+(O603*Settings!$B$4)+(P603*Settings!$B$5)+(Q603*Settings!$B$6)+((T603-U603-V603-O603)*Settings!$B$9)+(U603*Settings!$B$10)+(V603*Settings!$B$11)+(W603*Settings!$B$12)+(X603*Settings!$B$13)+(AA603*Settings!$B$16)</f>
        <v>90.754444444444445</v>
      </c>
      <c r="H603" s="31">
        <f>VLOOKUP(B603,'Standard Deviations'!$A1:$D651,4,FALSE)</f>
        <v>-4.8622405169462066</v>
      </c>
      <c r="I603" s="32">
        <f ca="1">VLOOKUP(B603,OF!A1:I139,IF(Settings!$J$13="points",6,9),FALSE)</f>
        <v>-4.7053137882150873</v>
      </c>
      <c r="J603" s="31"/>
      <c r="K603" s="31">
        <f ca="1">J603-A603</f>
        <v>-602</v>
      </c>
      <c r="L603" s="31"/>
      <c r="M603" s="31">
        <f>VLOOKUP($B603,Hitters!$A1:$R401,4,FALSE)</f>
        <v>143.47777777777779</v>
      </c>
      <c r="N603" s="31">
        <f>VLOOKUP($B603,Hitters!$A1:$R401,5,FALSE)</f>
        <v>19.419999999999998</v>
      </c>
      <c r="O603" s="31">
        <f>VLOOKUP($B603,Hitters!$A1:$R401,6,FALSE)</f>
        <v>3.0266666666666668</v>
      </c>
      <c r="P603" s="31">
        <f>VLOOKUP($B603,Hitters!$A1:$R401,7,FALSE)</f>
        <v>15.433333333333332</v>
      </c>
      <c r="Q603" s="31">
        <f>VLOOKUP($B603,Hitters!$A1:$R401,8,FALSE)</f>
        <v>5.775555555555556</v>
      </c>
      <c r="R603" s="33">
        <f>VLOOKUP($B603,Hitters!$A$1:$R$401,14,FALSE)</f>
        <v>0.24156276620459999</v>
      </c>
      <c r="S603" s="33">
        <f>VLOOKUP($B603,Hitters!$A$1:$R$401,15,FALSE)</f>
        <v>0.30350876524403447</v>
      </c>
      <c r="T603" s="31">
        <f>VLOOKUP($B603,Hitters!$A$1:$R$401,9,FALSE)</f>
        <v>34.658888888888889</v>
      </c>
      <c r="U603" s="31">
        <f>VLOOKUP($B603,Hitters!$A$1:$R$401,10,FALSE)</f>
        <v>7.4655555555555564</v>
      </c>
      <c r="V603" s="31">
        <f>VLOOKUP($B603,Hitters!$A$1:$R$401,11,FALSE)</f>
        <v>2.0133333333333332</v>
      </c>
      <c r="W603" s="31">
        <f>VLOOKUP($B603,Hitters!$A$1:$R$401,12,FALSE)</f>
        <v>10.424444444444445</v>
      </c>
      <c r="X603" s="31">
        <f>VLOOKUP($B603,Hitters!$A$1:$R$401,13,FALSE)</f>
        <v>42.611111111111114</v>
      </c>
      <c r="Y603" s="33">
        <f>VLOOKUP($B603,Hitters!$A$1:$R$401,16,FALSE)</f>
        <v>0.38494540385657861</v>
      </c>
      <c r="Z603" s="33">
        <f>VLOOKUP($B603,Hitters!$A$1:$R$401,17,FALSE)</f>
        <v>0.68845416910061308</v>
      </c>
      <c r="AA603" s="31">
        <f>VLOOKUP($B603,Hitters!$A1:$R401,18,FALSE)</f>
        <v>0</v>
      </c>
      <c r="AB603" s="31"/>
      <c r="AC603" s="31"/>
      <c r="AD603" s="33"/>
      <c r="AE603" s="33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</row>
    <row r="604" spans="1:44" ht="18.600000000000001" customHeight="1">
      <c r="A604" s="25">
        <f ca="1">RANK(I604,I$2:I$651)</f>
        <v>603</v>
      </c>
      <c r="B604" s="26" t="s">
        <v>666</v>
      </c>
      <c r="C604" s="27" t="s">
        <v>223</v>
      </c>
      <c r="D604" s="27" t="s">
        <v>74</v>
      </c>
      <c r="E604" s="28" t="s">
        <v>23</v>
      </c>
      <c r="F604" s="29">
        <f ca="1">VLOOKUP(B604,OF!A1:I139,IF(Settings!$J$13="points",4,7),FALSE)</f>
        <v>129</v>
      </c>
      <c r="G604" s="30">
        <f>(M604*Settings!$B$2)+(N604*Settings!$B$3)+(O604*Settings!$B$4)+(P604*Settings!$B$5)+(Q604*Settings!$B$6)+((T604-U604-V604-O604)*Settings!$B$9)+(U604*Settings!$B$10)+(V604*Settings!$B$11)+(W604*Settings!$B$12)+(X604*Settings!$B$13)+(AA604*Settings!$B$16)</f>
        <v>79.83</v>
      </c>
      <c r="H604" s="31">
        <f>VLOOKUP(B604,'Standard Deviations'!$A1:$D651,4,FALSE)</f>
        <v>-4.8682303735281662</v>
      </c>
      <c r="I604" s="32">
        <f ca="1">VLOOKUP(B604,OF!A1:I139,IF(Settings!$J$13="points",6,9),FALSE)</f>
        <v>-4.7113007730445897</v>
      </c>
      <c r="J604" s="31"/>
      <c r="K604" s="31">
        <f ca="1">J604-A604</f>
        <v>-603</v>
      </c>
      <c r="L604" s="31"/>
      <c r="M604" s="31">
        <f>VLOOKUP($B604,Hitters!$A1:$R401,4,FALSE)</f>
        <v>120.45</v>
      </c>
      <c r="N604" s="31">
        <f>VLOOKUP($B604,Hitters!$A1:$R401,5,FALSE)</f>
        <v>16.068333333333332</v>
      </c>
      <c r="O604" s="31">
        <f>VLOOKUP($B604,Hitters!$A1:$R401,6,FALSE)</f>
        <v>3.6655555555555552</v>
      </c>
      <c r="P604" s="31">
        <f>VLOOKUP($B604,Hitters!$A1:$R401,7,FALSE)</f>
        <v>14.01</v>
      </c>
      <c r="Q604" s="31">
        <f>VLOOKUP($B604,Hitters!$A1:$R401,8,FALSE)</f>
        <v>2.3283333333333331</v>
      </c>
      <c r="R604" s="33">
        <f>VLOOKUP($B604,Hitters!$A$1:$R$401,14,FALSE)</f>
        <v>0.25350767953507675</v>
      </c>
      <c r="S604" s="33">
        <f>VLOOKUP($B604,Hitters!$A$1:$R$401,15,FALSE)</f>
        <v>0.32101517267753599</v>
      </c>
      <c r="T604" s="31">
        <f>VLOOKUP($B604,Hitters!$A$1:$R$401,9,FALSE)</f>
        <v>30.534999999999997</v>
      </c>
      <c r="U604" s="31">
        <f>VLOOKUP($B604,Hitters!$A$1:$R$401,10,FALSE)</f>
        <v>5.97</v>
      </c>
      <c r="V604" s="31">
        <f>VLOOKUP($B604,Hitters!$A$1:$R$401,11,FALSE)</f>
        <v>0.35666666666666663</v>
      </c>
      <c r="W604" s="31">
        <f>VLOOKUP($B604,Hitters!$A$1:$R$401,12,FALSE)</f>
        <v>10.103333333333333</v>
      </c>
      <c r="X604" s="31">
        <f>VLOOKUP($B604,Hitters!$A$1:$R$401,13,FALSE)</f>
        <v>26.446666666666669</v>
      </c>
      <c r="Y604" s="33">
        <f>VLOOKUP($B604,Hitters!$A$1:$R$401,16,FALSE)</f>
        <v>0.40029057700290571</v>
      </c>
      <c r="Z604" s="33">
        <f>VLOOKUP($B604,Hitters!$A$1:$R$401,17,FALSE)</f>
        <v>0.7213057496804417</v>
      </c>
      <c r="AA604" s="31">
        <f>VLOOKUP($B604,Hitters!$A1:$R401,18,FALSE)</f>
        <v>0</v>
      </c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</row>
    <row r="605" spans="1:44" ht="18.600000000000001" customHeight="1">
      <c r="A605" s="25">
        <f ca="1">RANK(I605,I$2:I$651)</f>
        <v>604</v>
      </c>
      <c r="B605" s="26" t="s">
        <v>723</v>
      </c>
      <c r="C605" s="27" t="s">
        <v>134</v>
      </c>
      <c r="D605" s="27" t="s">
        <v>74</v>
      </c>
      <c r="E605" s="28" t="s">
        <v>23</v>
      </c>
      <c r="F605" s="29">
        <f ca="1">VLOOKUP(B605,OF!A1:I139,IF(Settings!$J$13="points",4,7),FALSE)</f>
        <v>130</v>
      </c>
      <c r="G605" s="30">
        <f>(M605*Settings!$B$2)+(N605*Settings!$B$3)+(O605*Settings!$B$4)+(P605*Settings!$B$5)+(Q605*Settings!$B$6)+((T605-U605-V605-O605)*Settings!$B$9)+(U605*Settings!$B$10)+(V605*Settings!$B$11)+(W605*Settings!$B$12)+(X605*Settings!$B$13)+(AA605*Settings!$B$16)</f>
        <v>175.61777777777777</v>
      </c>
      <c r="H605" s="31">
        <f>VLOOKUP(B605,'Standard Deviations'!$A1:$D651,4,FALSE)</f>
        <v>-4.8684756779819001</v>
      </c>
      <c r="I605" s="32">
        <f ca="1">VLOOKUP(B605,OF!A1:I139,IF(Settings!$J$13="points",6,9),FALSE)</f>
        <v>-4.7115416694564871</v>
      </c>
      <c r="J605" s="31"/>
      <c r="K605" s="31">
        <f ca="1">J605-A605</f>
        <v>-604</v>
      </c>
      <c r="L605" s="31"/>
      <c r="M605" s="31">
        <f>VLOOKUP($B605,Hitters!$A1:$R401,4,FALSE)</f>
        <v>305.90000000000003</v>
      </c>
      <c r="N605" s="31">
        <f>VLOOKUP($B605,Hitters!$A1:$R401,5,FALSE)</f>
        <v>34.783333333333339</v>
      </c>
      <c r="O605" s="31">
        <f>VLOOKUP($B605,Hitters!$A1:$R401,6,FALSE)</f>
        <v>9.913333333333334</v>
      </c>
      <c r="P605" s="31">
        <f>VLOOKUP($B605,Hitters!$A1:$R401,7,FALSE)</f>
        <v>34.821666666666665</v>
      </c>
      <c r="Q605" s="31">
        <f>VLOOKUP($B605,Hitters!$A1:$R401,8,FALSE)</f>
        <v>3.1466666666666669</v>
      </c>
      <c r="R605" s="33">
        <f>VLOOKUP($B605,Hitters!$A$1:$R$401,14,FALSE)</f>
        <v>0.20162907268170424</v>
      </c>
      <c r="S605" s="33">
        <f>VLOOKUP($B605,Hitters!$A$1:$R$401,15,FALSE)</f>
        <v>0.30107307231104907</v>
      </c>
      <c r="T605" s="31">
        <f>VLOOKUP($B605,Hitters!$A$1:$R$401,9,FALSE)</f>
        <v>61.678333333333335</v>
      </c>
      <c r="U605" s="31">
        <f>VLOOKUP($B605,Hitters!$A$1:$R$401,10,FALSE)</f>
        <v>14.734999999999999</v>
      </c>
      <c r="V605" s="31">
        <f>VLOOKUP($B605,Hitters!$A$1:$R$401,11,FALSE)</f>
        <v>1.2983333333333333</v>
      </c>
      <c r="W605" s="31">
        <f>VLOOKUP($B605,Hitters!$A$1:$R$401,12,FALSE)</f>
        <v>38.511666666666663</v>
      </c>
      <c r="X605" s="31">
        <f>VLOOKUP($B605,Hitters!$A$1:$R$401,13,FALSE)</f>
        <v>95.084444444444443</v>
      </c>
      <c r="Y605" s="33">
        <f>VLOOKUP($B605,Hitters!$A$1:$R$401,16,FALSE)</f>
        <v>0.35550833605753512</v>
      </c>
      <c r="Z605" s="33">
        <f>VLOOKUP($B605,Hitters!$A$1:$R$401,17,FALSE)</f>
        <v>0.65658140836858414</v>
      </c>
      <c r="AA605" s="31">
        <f>VLOOKUP($B605,Hitters!$A1:$R401,18,FALSE)</f>
        <v>0</v>
      </c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</row>
    <row r="606" spans="1:44" ht="18.600000000000001" customHeight="1">
      <c r="A606" s="25">
        <f ca="1">RANK(I606,I$2:I$651)</f>
        <v>605</v>
      </c>
      <c r="B606" s="26" t="s">
        <v>661</v>
      </c>
      <c r="C606" s="27" t="s">
        <v>84</v>
      </c>
      <c r="D606" s="27" t="s">
        <v>69</v>
      </c>
      <c r="E606" s="46" t="s">
        <v>19</v>
      </c>
      <c r="F606" s="47">
        <f ca="1">VLOOKUP(B606,'C'!A1:I54,IF(Settings!$J$13="points",4,7),FALSE)</f>
        <v>48</v>
      </c>
      <c r="G606" s="30">
        <f>(M606*Settings!$B$2)+(N606*Settings!$B$3)+(O606*Settings!$B$4)+(P606*Settings!$B$5)+(Q606*Settings!$B$6)+((T606-U606-V606-O606)*Settings!$B$9)+(U606*Settings!$B$10)+(V606*Settings!$B$11)+(W606*Settings!$B$12)+(X606*Settings!$B$13)+(AA606*Settings!$B$16)</f>
        <v>135.19055555555556</v>
      </c>
      <c r="H606" s="31">
        <f>VLOOKUP(B606,'Standard Deviations'!$A1:$D651,4,FALSE)</f>
        <v>-5.506100715593103</v>
      </c>
      <c r="I606" s="32">
        <f ca="1">VLOOKUP(B606,'C'!A1:I54,IF(Settings!$J$13="points",6,9),FALSE)</f>
        <v>-4.7195762010178326</v>
      </c>
      <c r="J606" s="31"/>
      <c r="K606" s="31">
        <f ca="1">J606-A606</f>
        <v>-605</v>
      </c>
      <c r="L606" s="31"/>
      <c r="M606" s="31">
        <f>VLOOKUP($B606,Hitters!$A1:$R401,4,FALSE)</f>
        <v>258.61666666666667</v>
      </c>
      <c r="N606" s="31">
        <f>VLOOKUP($B606,Hitters!$A1:$R401,5,FALSE)</f>
        <v>30.273333333333337</v>
      </c>
      <c r="O606" s="31">
        <f>VLOOKUP($B606,Hitters!$A1:$R401,6,FALSE)</f>
        <v>8.6983333333333324</v>
      </c>
      <c r="P606" s="31">
        <f>VLOOKUP($B606,Hitters!$A1:$R401,7,FALSE)</f>
        <v>29.096666666666668</v>
      </c>
      <c r="Q606" s="31">
        <f>VLOOKUP($B606,Hitters!$A1:$R401,8,FALSE)</f>
        <v>9.9999999999999985E-3</v>
      </c>
      <c r="R606" s="33">
        <f>VLOOKUP($B606,Hitters!$A$1:$R$401,14,FALSE)</f>
        <v>0.20986659792485662</v>
      </c>
      <c r="S606" s="33">
        <f>VLOOKUP($B606,Hitters!$A$1:$R$401,15,FALSE)</f>
        <v>0.29400168990211878</v>
      </c>
      <c r="T606" s="31">
        <f>VLOOKUP($B606,Hitters!$A$1:$R$401,9,FALSE)</f>
        <v>54.275000000000006</v>
      </c>
      <c r="U606" s="31">
        <f>VLOOKUP($B606,Hitters!$A$1:$R$401,10,FALSE)</f>
        <v>9.6749999999999989</v>
      </c>
      <c r="V606" s="31">
        <f>VLOOKUP($B606,Hitters!$A$1:$R$401,11,FALSE)</f>
        <v>0.99777777777777776</v>
      </c>
      <c r="W606" s="31">
        <f>VLOOKUP($B606,Hitters!$A$1:$R$401,12,FALSE)</f>
        <v>26.508333333333329</v>
      </c>
      <c r="X606" s="31">
        <f>VLOOKUP($B606,Hitters!$A$1:$R$401,13,FALSE)</f>
        <v>85.49666666666667</v>
      </c>
      <c r="Y606" s="33">
        <f>VLOOKUP($B606,Hitters!$A$1:$R$401,16,FALSE)</f>
        <v>0.35589568430323731</v>
      </c>
      <c r="Z606" s="33">
        <f>VLOOKUP($B606,Hitters!$A$1:$R$401,17,FALSE)</f>
        <v>0.64989737420535609</v>
      </c>
      <c r="AA606" s="31">
        <f>VLOOKUP($B606,Hitters!$A1:$R401,18,FALSE)</f>
        <v>0</v>
      </c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</row>
    <row r="607" spans="1:44" ht="18.600000000000001" customHeight="1">
      <c r="A607" s="25">
        <f ca="1">RANK(I607,I$2:I$651)</f>
        <v>606</v>
      </c>
      <c r="B607" s="26" t="s">
        <v>692</v>
      </c>
      <c r="C607" s="27" t="s">
        <v>176</v>
      </c>
      <c r="D607" s="27" t="s">
        <v>74</v>
      </c>
      <c r="E607" s="28" t="s">
        <v>23</v>
      </c>
      <c r="F607" s="29">
        <f ca="1">VLOOKUP(B607,OF!A1:I139,IF(Settings!$J$13="points",4,7),FALSE)</f>
        <v>131</v>
      </c>
      <c r="G607" s="30">
        <f>(M607*Settings!$B$2)+(N607*Settings!$B$3)+(O607*Settings!$B$4)+(P607*Settings!$B$5)+(Q607*Settings!$B$6)+((T607-U607-V607-O607)*Settings!$B$9)+(U607*Settings!$B$10)+(V607*Settings!$B$11)+(W607*Settings!$B$12)+(X607*Settings!$B$13)+(AA607*Settings!$B$16)</f>
        <v>112.16388888888889</v>
      </c>
      <c r="H607" s="31">
        <f>VLOOKUP(B607,'Standard Deviations'!$A1:$D651,4,FALSE)</f>
        <v>-4.9060662674718944</v>
      </c>
      <c r="I607" s="32">
        <f ca="1">VLOOKUP(B607,OF!A1:I139,IF(Settings!$J$13="points",6,9),FALSE)</f>
        <v>-4.7491390160818625</v>
      </c>
      <c r="J607" s="31"/>
      <c r="K607" s="31">
        <f ca="1">J607-A607</f>
        <v>-606</v>
      </c>
      <c r="L607" s="31"/>
      <c r="M607" s="31">
        <f>VLOOKUP($B607,Hitters!$A1:$R401,4,FALSE)</f>
        <v>180.31666666666669</v>
      </c>
      <c r="N607" s="31">
        <f>VLOOKUP($B607,Hitters!$A1:$R401,5,FALSE)</f>
        <v>22.84</v>
      </c>
      <c r="O607" s="31">
        <f>VLOOKUP($B607,Hitters!$A1:$R401,6,FALSE)</f>
        <v>6.9316666666666675</v>
      </c>
      <c r="P607" s="31">
        <f>VLOOKUP($B607,Hitters!$A1:$R401,7,FALSE)</f>
        <v>23.838333333333335</v>
      </c>
      <c r="Q607" s="31">
        <f>VLOOKUP($B607,Hitters!$A1:$R401,8,FALSE)</f>
        <v>2.1416666666666666</v>
      </c>
      <c r="R607" s="33">
        <f>VLOOKUP($B607,Hitters!$A$1:$R$401,14,FALSE)</f>
        <v>0.23089934374711152</v>
      </c>
      <c r="S607" s="33">
        <f>VLOOKUP($B607,Hitters!$A$1:$R$401,15,FALSE)</f>
        <v>0.30655236568192529</v>
      </c>
      <c r="T607" s="31">
        <f>VLOOKUP($B607,Hitters!$A$1:$R$401,9,FALSE)</f>
        <v>41.634999999999998</v>
      </c>
      <c r="U607" s="31">
        <f>VLOOKUP($B607,Hitters!$A$1:$R$401,10,FALSE)</f>
        <v>9.0750000000000011</v>
      </c>
      <c r="V607" s="31">
        <f>VLOOKUP($B607,Hitters!$A$1:$R$401,11,FALSE)</f>
        <v>0.9966666666666667</v>
      </c>
      <c r="W607" s="31">
        <f>VLOOKUP($B607,Hitters!$A$1:$R$401,12,FALSE)</f>
        <v>16.758333333333333</v>
      </c>
      <c r="X607" s="31">
        <f>VLOOKUP($B607,Hitters!$A$1:$R$401,13,FALSE)</f>
        <v>58.108888888888885</v>
      </c>
      <c r="Y607" s="33">
        <f>VLOOKUP($B607,Hitters!$A$1:$R$401,16,FALSE)</f>
        <v>0.40760698770681203</v>
      </c>
      <c r="Z607" s="33">
        <f>VLOOKUP($B607,Hitters!$A$1:$R$401,17,FALSE)</f>
        <v>0.71415935338873737</v>
      </c>
      <c r="AA607" s="31">
        <f>VLOOKUP($B607,Hitters!$A1:$R401,18,FALSE)</f>
        <v>0</v>
      </c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</row>
    <row r="608" spans="1:44" ht="18.600000000000001" customHeight="1">
      <c r="A608" s="25">
        <f ca="1">RANK(I608,I$2:I$651)</f>
        <v>607</v>
      </c>
      <c r="B608" s="50" t="s">
        <v>694</v>
      </c>
      <c r="C608" s="50" t="s">
        <v>103</v>
      </c>
      <c r="D608" s="27" t="s">
        <v>69</v>
      </c>
      <c r="E608" s="46" t="s">
        <v>19</v>
      </c>
      <c r="F608" s="47">
        <f ca="1">VLOOKUP(B608,'C'!A1:I54,IF(Settings!$J$13="points",4,7),FALSE)</f>
        <v>49</v>
      </c>
      <c r="G608" s="30">
        <f>(M608*Settings!$B$2)+(N608*Settings!$B$3)+(O608*Settings!$B$4)+(P608*Settings!$B$5)+(Q608*Settings!$B$6)+((T608-U608-V608-O608)*Settings!$B$9)+(U608*Settings!$B$10)+(V608*Settings!$B$11)+(W608*Settings!$B$12)+(X608*Settings!$B$13)+(AA608*Settings!$B$16)</f>
        <v>79.415277777777774</v>
      </c>
      <c r="H608" s="31">
        <f>VLOOKUP(B608,'Standard Deviations'!$A1:$D651,4,FALSE)</f>
        <v>-5.5658255398439644</v>
      </c>
      <c r="I608" s="32">
        <f ca="1">VLOOKUP(B608,'C'!A1:I54,IF(Settings!$J$13="points",6,9),FALSE)</f>
        <v>-4.7792992277847617</v>
      </c>
      <c r="J608" s="31"/>
      <c r="K608" s="31">
        <f ca="1">J608-A608</f>
        <v>-607</v>
      </c>
      <c r="L608" s="31"/>
      <c r="M608" s="31">
        <f>VLOOKUP($B608,Hitters!$A1:$R401,4,FALSE)</f>
        <v>135.64444444444445</v>
      </c>
      <c r="N608" s="31">
        <f>VLOOKUP($B608,Hitters!$A1:$R401,5,FALSE)</f>
        <v>16.099999999999998</v>
      </c>
      <c r="O608" s="31">
        <f>VLOOKUP($B608,Hitters!$A1:$R401,6,FALSE)</f>
        <v>3.9488888888888893</v>
      </c>
      <c r="P608" s="31">
        <f>VLOOKUP($B608,Hitters!$A1:$R401,7,FALSE)</f>
        <v>16.957777777777778</v>
      </c>
      <c r="Q608" s="31">
        <f>VLOOKUP($B608,Hitters!$A1:$R401,8,FALSE)</f>
        <v>2.1583333333333332</v>
      </c>
      <c r="R608" s="33">
        <f>VLOOKUP($B608,Hitters!$A$1:$R$401,14,FALSE)</f>
        <v>0.23731159895150719</v>
      </c>
      <c r="S608" s="33">
        <f>VLOOKUP($B608,Hitters!$A$1:$R$401,15,FALSE)</f>
        <v>0.29549035554103859</v>
      </c>
      <c r="T608" s="31">
        <f>VLOOKUP($B608,Hitters!$A$1:$R$401,9,FALSE)</f>
        <v>32.19</v>
      </c>
      <c r="U608" s="31">
        <f>VLOOKUP($B608,Hitters!$A$1:$R$401,10,FALSE)</f>
        <v>6.8133333333333335</v>
      </c>
      <c r="V608" s="31">
        <f>VLOOKUP($B608,Hitters!$A$1:$R$401,11,FALSE)</f>
        <v>1.0066666666666666</v>
      </c>
      <c r="W608" s="31">
        <f>VLOOKUP($B608,Hitters!$A$1:$R$401,12,FALSE)</f>
        <v>8.9483333333333324</v>
      </c>
      <c r="X608" s="31">
        <f>VLOOKUP($B608,Hitters!$A$1:$R$401,13,FALSE)</f>
        <v>39.541666666666664</v>
      </c>
      <c r="Y608" s="33">
        <f>VLOOKUP($B608,Hitters!$A$1:$R$401,16,FALSE)</f>
        <v>0.38971985583224117</v>
      </c>
      <c r="Z608" s="33">
        <f>VLOOKUP($B608,Hitters!$A$1:$R$401,17,FALSE)</f>
        <v>0.68521021137327975</v>
      </c>
      <c r="AA608" s="31">
        <f>VLOOKUP($B608,Hitters!$A1:$R401,18,FALSE)</f>
        <v>0</v>
      </c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</row>
    <row r="609" spans="1:44" ht="18.600000000000001" customHeight="1">
      <c r="A609" s="25">
        <f ca="1">RANK(I609,I$2:I$651)</f>
        <v>608</v>
      </c>
      <c r="B609" s="26" t="s">
        <v>712</v>
      </c>
      <c r="C609" s="27" t="s">
        <v>258</v>
      </c>
      <c r="D609" s="27" t="s">
        <v>69</v>
      </c>
      <c r="E609" s="48" t="s">
        <v>11</v>
      </c>
      <c r="F609" s="49">
        <f ca="1">VLOOKUP(B609,'2B'!A1:I50,IF(Settings!$J$13="points",4,7),FALSE)</f>
        <v>43</v>
      </c>
      <c r="G609" s="30">
        <f>(M609*Settings!$B$2)+(N609*Settings!$B$3)+(O609*Settings!$B$4)+(P609*Settings!$B$5)+(Q609*Settings!$B$6)+((T609-U609-V609-O609)*Settings!$B$9)+(U609*Settings!$B$10)+(V609*Settings!$B$11)+(W609*Settings!$B$12)+(X609*Settings!$B$13)+(AA609*Settings!$B$16)</f>
        <v>110.52333333333334</v>
      </c>
      <c r="H609" s="31">
        <f>VLOOKUP(B609,'Standard Deviations'!$A1:$D651,4,FALSE)</f>
        <v>-4.7870770927063528</v>
      </c>
      <c r="I609" s="32">
        <f ca="1">IF(Settings!$J$16="no",VLOOKUP(B609,'2B'!A1:I50,IF(Settings!$J$13="points",6,9),FALSE),VLOOKUP(B609,'2B+SS'!$A1:$I94,IF(Settings!$J$13="points",6,9),FALSE))</f>
        <v>-4.7931177396835025</v>
      </c>
      <c r="J609" s="31"/>
      <c r="K609" s="31">
        <f ca="1">J609-A609</f>
        <v>-608</v>
      </c>
      <c r="L609" s="31"/>
      <c r="M609" s="31">
        <f>VLOOKUP($B609,Hitters!$A1:$R401,4,FALSE)</f>
        <v>193.2777777777778</v>
      </c>
      <c r="N609" s="31">
        <f>VLOOKUP($B609,Hitters!$A1:$R401,5,FALSE)</f>
        <v>23.29111111111111</v>
      </c>
      <c r="O609" s="31">
        <f>VLOOKUP($B609,Hitters!$A1:$R401,6,FALSE)</f>
        <v>2.6933333333333334</v>
      </c>
      <c r="P609" s="31">
        <f>VLOOKUP($B609,Hitters!$A1:$R401,7,FALSE)</f>
        <v>17.25</v>
      </c>
      <c r="Q609" s="31">
        <f>VLOOKUP($B609,Hitters!$A1:$R401,8,FALSE)</f>
        <v>2.6716666666666669</v>
      </c>
      <c r="R609" s="33">
        <f>VLOOKUP($B609,Hitters!$A$1:$R$401,14,FALSE)</f>
        <v>0.2473009485484334</v>
      </c>
      <c r="S609" s="33">
        <f>VLOOKUP($B609,Hitters!$A$1:$R$401,15,FALSE)</f>
        <v>0.31907165247126618</v>
      </c>
      <c r="T609" s="31">
        <f>VLOOKUP($B609,Hitters!$A$1:$R$401,9,FALSE)</f>
        <v>47.797777777777775</v>
      </c>
      <c r="U609" s="31">
        <f>VLOOKUP($B609,Hitters!$A$1:$R$401,10,FALSE)</f>
        <v>8.6366666666666667</v>
      </c>
      <c r="V609" s="31">
        <f>VLOOKUP($B609,Hitters!$A$1:$R$401,11,FALSE)</f>
        <v>1.3699999999999999</v>
      </c>
      <c r="W609" s="31">
        <f>VLOOKUP($B609,Hitters!$A$1:$R$401,12,FALSE)</f>
        <v>17.351111111111113</v>
      </c>
      <c r="X609" s="31">
        <f>VLOOKUP($B609,Hitters!$A$1:$R$401,13,FALSE)</f>
        <v>39.93333333333333</v>
      </c>
      <c r="Y609" s="33">
        <f>VLOOKUP($B609,Hitters!$A$1:$R$401,16,FALSE)</f>
        <v>0.34796780684104622</v>
      </c>
      <c r="Z609" s="33">
        <f>VLOOKUP($B609,Hitters!$A$1:$R$401,17,FALSE)</f>
        <v>0.66703945931231234</v>
      </c>
      <c r="AA609" s="31">
        <f>VLOOKUP($B609,Hitters!$A1:$R401,18,FALSE)</f>
        <v>0</v>
      </c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</row>
    <row r="610" spans="1:44" ht="18.600000000000001" customHeight="1">
      <c r="A610" s="25">
        <f ca="1">RANK(I610,I$2:I$651)</f>
        <v>609</v>
      </c>
      <c r="B610" s="26" t="s">
        <v>669</v>
      </c>
      <c r="C610" s="27" t="s">
        <v>71</v>
      </c>
      <c r="D610" s="27" t="s">
        <v>69</v>
      </c>
      <c r="E610" s="28" t="s">
        <v>23</v>
      </c>
      <c r="F610" s="29">
        <f ca="1">VLOOKUP(B610,OF!A1:I139,IF(Settings!$J$13="points",4,7),FALSE)</f>
        <v>132</v>
      </c>
      <c r="G610" s="30">
        <f>(M610*Settings!$B$2)+(N610*Settings!$B$3)+(O610*Settings!$B$4)+(P610*Settings!$B$5)+(Q610*Settings!$B$6)+((T610-U610-V610-O610)*Settings!$B$9)+(U610*Settings!$B$10)+(V610*Settings!$B$11)+(W610*Settings!$B$12)+(X610*Settings!$B$13)+(AA610*Settings!$B$16)</f>
        <v>105.0627777777778</v>
      </c>
      <c r="H610" s="31">
        <f>VLOOKUP(B610,'Standard Deviations'!$A1:$D651,4,FALSE)</f>
        <v>-4.954298710633509</v>
      </c>
      <c r="I610" s="32">
        <f ca="1">VLOOKUP(B610,OF!A1:I139,IF(Settings!$J$13="points",6,9),FALSE)</f>
        <v>-4.7973643676318982</v>
      </c>
      <c r="J610" s="31"/>
      <c r="K610" s="31">
        <f ca="1">J610-A610</f>
        <v>-609</v>
      </c>
      <c r="L610" s="31"/>
      <c r="M610" s="31">
        <f>VLOOKUP($B610,Hitters!$A1:$R401,4,FALSE)</f>
        <v>163.23333333333332</v>
      </c>
      <c r="N610" s="31">
        <f>VLOOKUP($B610,Hitters!$A1:$R401,5,FALSE)</f>
        <v>21.41</v>
      </c>
      <c r="O610" s="31">
        <f>VLOOKUP($B610,Hitters!$A1:$R401,6,FALSE)</f>
        <v>3.3816666666666664</v>
      </c>
      <c r="P610" s="31">
        <f>VLOOKUP($B610,Hitters!$A1:$R401,7,FALSE)</f>
        <v>16.793333333333333</v>
      </c>
      <c r="Q610" s="31">
        <f>VLOOKUP($B610,Hitters!$A1:$R401,8,FALSE)</f>
        <v>9.4322222222222223</v>
      </c>
      <c r="R610" s="33">
        <f>VLOOKUP($B610,Hitters!$A$1:$R$401,14,FALSE)</f>
        <v>0.22602613845211358</v>
      </c>
      <c r="S610" s="33">
        <f>VLOOKUP($B610,Hitters!$A$1:$R$401,15,FALSE)</f>
        <v>0.30068625766992546</v>
      </c>
      <c r="T610" s="31">
        <f>VLOOKUP($B610,Hitters!$A$1:$R$401,9,FALSE)</f>
        <v>36.895000000000003</v>
      </c>
      <c r="U610" s="31">
        <f>VLOOKUP($B610,Hitters!$A$1:$R$401,10,FALSE)</f>
        <v>8.1083333333333325</v>
      </c>
      <c r="V610" s="31">
        <f>VLOOKUP($B610,Hitters!$A$1:$R$401,11,FALSE)</f>
        <v>0.99444444444444446</v>
      </c>
      <c r="W610" s="31">
        <f>VLOOKUP($B610,Hitters!$A$1:$R$401,12,FALSE)</f>
        <v>14.75</v>
      </c>
      <c r="X610" s="31">
        <f>VLOOKUP($B610,Hitters!$A$1:$R$401,13,FALSE)</f>
        <v>47.784444444444439</v>
      </c>
      <c r="Y610" s="33">
        <f>VLOOKUP($B610,Hitters!$A$1:$R$401,16,FALSE)</f>
        <v>0.35003403444285619</v>
      </c>
      <c r="Z610" s="33">
        <f>VLOOKUP($B610,Hitters!$A$1:$R$401,17,FALSE)</f>
        <v>0.65072029211278171</v>
      </c>
      <c r="AA610" s="31">
        <f>VLOOKUP($B610,Hitters!$A1:$R401,18,FALSE)</f>
        <v>0</v>
      </c>
      <c r="AB610" s="31"/>
      <c r="AC610" s="31"/>
      <c r="AD610" s="33"/>
      <c r="AE610" s="33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</row>
    <row r="611" spans="1:44" ht="18.600000000000001" customHeight="1">
      <c r="A611" s="25">
        <f ca="1">RANK(I611,I$2:I$651)</f>
        <v>610</v>
      </c>
      <c r="B611" s="26" t="s">
        <v>642</v>
      </c>
      <c r="C611" s="27" t="s">
        <v>71</v>
      </c>
      <c r="D611" s="27" t="s">
        <v>69</v>
      </c>
      <c r="E611" s="46" t="s">
        <v>19</v>
      </c>
      <c r="F611" s="47">
        <f ca="1">VLOOKUP(B611,'C'!A1:I54,IF(Settings!$J$13="points",4,7),FALSE)</f>
        <v>50</v>
      </c>
      <c r="G611" s="30">
        <f>(M611*Settings!$B$2)+(N611*Settings!$B$3)+(O611*Settings!$B$4)+(P611*Settings!$B$5)+(Q611*Settings!$B$6)+((T611-U611-V611-O611)*Settings!$B$9)+(U611*Settings!$B$10)+(V611*Settings!$B$11)+(W611*Settings!$B$12)+(X611*Settings!$B$13)+(AA611*Settings!$B$16)</f>
        <v>119.27500000000001</v>
      </c>
      <c r="H611" s="31">
        <f>VLOOKUP(B611,'Standard Deviations'!$A1:$D651,4,FALSE)</f>
        <v>-5.5915201412446685</v>
      </c>
      <c r="I611" s="32">
        <f ca="1">VLOOKUP(B611,'C'!A1:I54,IF(Settings!$J$13="points",6,9),FALSE)</f>
        <v>-4.8049932499178887</v>
      </c>
      <c r="J611" s="31"/>
      <c r="K611" s="31">
        <f ca="1">J611-A611</f>
        <v>-610</v>
      </c>
      <c r="L611" s="31"/>
      <c r="M611" s="31">
        <f>VLOOKUP($B611,Hitters!$A1:$R401,4,FALSE)</f>
        <v>209.71666666666667</v>
      </c>
      <c r="N611" s="31">
        <f>VLOOKUP($B611,Hitters!$A1:$R401,5,FALSE)</f>
        <v>25.515000000000001</v>
      </c>
      <c r="O611" s="31">
        <f>VLOOKUP($B611,Hitters!$A1:$R401,6,FALSE)</f>
        <v>8.32</v>
      </c>
      <c r="P611" s="31">
        <f>VLOOKUP($B611,Hitters!$A1:$R401,7,FALSE)</f>
        <v>26.621666666666666</v>
      </c>
      <c r="Q611" s="31">
        <f>VLOOKUP($B611,Hitters!$A1:$R401,8,FALSE)</f>
        <v>0.99888888888888883</v>
      </c>
      <c r="R611" s="33">
        <f>VLOOKUP($B611,Hitters!$A$1:$R$401,14,FALSE)</f>
        <v>0.21277119923706589</v>
      </c>
      <c r="S611" s="33">
        <f>VLOOKUP($B611,Hitters!$A$1:$R$401,15,FALSE)</f>
        <v>0.30177336771450419</v>
      </c>
      <c r="T611" s="31">
        <f>VLOOKUP($B611,Hitters!$A$1:$R$401,9,FALSE)</f>
        <v>44.62166666666667</v>
      </c>
      <c r="U611" s="31">
        <f>VLOOKUP($B611,Hitters!$A$1:$R$401,10,FALSE)</f>
        <v>8.4849999999999994</v>
      </c>
      <c r="V611" s="31">
        <f>VLOOKUP($B611,Hitters!$A$1:$R$401,11,FALSE)</f>
        <v>2.3333333333333331E-2</v>
      </c>
      <c r="W611" s="31">
        <f>VLOOKUP($B611,Hitters!$A$1:$R$401,12,FALSE)</f>
        <v>23.302222222222223</v>
      </c>
      <c r="X611" s="31">
        <f>VLOOKUP($B611,Hitters!$A$1:$R$401,13,FALSE)</f>
        <v>72.55</v>
      </c>
      <c r="Y611" s="33">
        <f>VLOOKUP($B611,Hitters!$A$1:$R$401,16,FALSE)</f>
        <v>0.372470793928316</v>
      </c>
      <c r="Z611" s="33">
        <f>VLOOKUP($B611,Hitters!$A$1:$R$401,17,FALSE)</f>
        <v>0.67424416164282019</v>
      </c>
      <c r="AA611" s="31">
        <f>VLOOKUP($B611,Hitters!$A1:$R401,18,FALSE)</f>
        <v>0</v>
      </c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</row>
    <row r="612" spans="1:44" ht="18.600000000000001" customHeight="1">
      <c r="A612" s="25">
        <f ca="1">RANK(I612,I$2:I$651)</f>
        <v>611</v>
      </c>
      <c r="B612" s="26" t="s">
        <v>699</v>
      </c>
      <c r="C612" s="27" t="s">
        <v>73</v>
      </c>
      <c r="D612" s="27" t="s">
        <v>74</v>
      </c>
      <c r="E612" s="28" t="s">
        <v>23</v>
      </c>
      <c r="F612" s="29">
        <f ca="1">VLOOKUP(B612,OF!A1:I139,IF(Settings!$J$13="points",4,7),FALSE)</f>
        <v>133</v>
      </c>
      <c r="G612" s="30">
        <f>(M612*Settings!$B$2)+(N612*Settings!$B$3)+(O612*Settings!$B$4)+(P612*Settings!$B$5)+(Q612*Settings!$B$6)+((T612-U612-V612-O612)*Settings!$B$9)+(U612*Settings!$B$10)+(V612*Settings!$B$11)+(W612*Settings!$B$12)+(X612*Settings!$B$13)+(AA612*Settings!$B$16)</f>
        <v>127.40444444444444</v>
      </c>
      <c r="H612" s="31">
        <f>VLOOKUP(B612,'Standard Deviations'!$A1:$D651,4,FALSE)</f>
        <v>-5.0519810055146044</v>
      </c>
      <c r="I612" s="32">
        <f ca="1">VLOOKUP(B612,OF!A1:I139,IF(Settings!$J$13="points",6,9),FALSE)</f>
        <v>-4.8950488140766355</v>
      </c>
      <c r="J612" s="31"/>
      <c r="K612" s="31">
        <f ca="1">J612-A612</f>
        <v>-611</v>
      </c>
      <c r="L612" s="31"/>
      <c r="M612" s="31">
        <f>VLOOKUP($B612,Hitters!$A1:$R401,4,FALSE)</f>
        <v>176.39999999999998</v>
      </c>
      <c r="N612" s="31">
        <f>VLOOKUP($B612,Hitters!$A1:$R401,5,FALSE)</f>
        <v>25.525000000000002</v>
      </c>
      <c r="O612" s="31">
        <f>VLOOKUP($B612,Hitters!$A1:$R401,6,FALSE)</f>
        <v>8.6577777777777776</v>
      </c>
      <c r="P612" s="31">
        <f>VLOOKUP($B612,Hitters!$A1:$R401,7,FALSE)</f>
        <v>25.553333333333331</v>
      </c>
      <c r="Q612" s="31">
        <f>VLOOKUP($B612,Hitters!$A1:$R401,8,FALSE)</f>
        <v>2.9922222222222223</v>
      </c>
      <c r="R612" s="33">
        <f>VLOOKUP($B612,Hitters!$A$1:$R$401,14,FALSE)</f>
        <v>0.21778155706727137</v>
      </c>
      <c r="S612" s="33">
        <f>VLOOKUP($B612,Hitters!$A$1:$R$401,15,FALSE)</f>
        <v>0.31361710177216501</v>
      </c>
      <c r="T612" s="31">
        <f>VLOOKUP($B612,Hitters!$A$1:$R$401,9,FALSE)</f>
        <v>38.416666666666664</v>
      </c>
      <c r="U612" s="31">
        <f>VLOOKUP($B612,Hitters!$A$1:$R$401,10,FALSE)</f>
        <v>8.1166666666666671</v>
      </c>
      <c r="V612" s="31">
        <f>VLOOKUP($B612,Hitters!$A$1:$R$401,11,FALSE)</f>
        <v>0.97000000000000008</v>
      </c>
      <c r="W612" s="31">
        <f>VLOOKUP($B612,Hitters!$A$1:$R$401,12,FALSE)</f>
        <v>21.831666666666667</v>
      </c>
      <c r="X612" s="31">
        <f>VLOOKUP($B612,Hitters!$A$1:$R$401,13,FALSE)</f>
        <v>51.873333333333335</v>
      </c>
      <c r="Y612" s="33">
        <f>VLOOKUP($B612,Hitters!$A$1:$R$401,16,FALSE)</f>
        <v>0.42203325774754347</v>
      </c>
      <c r="Z612" s="33">
        <f>VLOOKUP($B612,Hitters!$A$1:$R$401,17,FALSE)</f>
        <v>0.73565035951970847</v>
      </c>
      <c r="AA612" s="31">
        <f>VLOOKUP($B612,Hitters!$A1:$R401,18,FALSE)</f>
        <v>0</v>
      </c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</row>
    <row r="613" spans="1:44" ht="18.600000000000001" customHeight="1">
      <c r="A613" s="25">
        <f ca="1">RANK(I613,I$2:I$651)</f>
        <v>612</v>
      </c>
      <c r="B613" s="26" t="s">
        <v>675</v>
      </c>
      <c r="C613" s="27" t="s">
        <v>120</v>
      </c>
      <c r="D613" s="27" t="s">
        <v>74</v>
      </c>
      <c r="E613" s="28" t="s">
        <v>23</v>
      </c>
      <c r="F613" s="29">
        <f ca="1">VLOOKUP(B613,OF!A1:I139,IF(Settings!$J$13="points",4,7),FALSE)</f>
        <v>134</v>
      </c>
      <c r="G613" s="30">
        <f>(M613*Settings!$B$2)+(N613*Settings!$B$3)+(O613*Settings!$B$4)+(P613*Settings!$B$5)+(Q613*Settings!$B$6)+((T613-U613-V613-O613)*Settings!$B$9)+(U613*Settings!$B$10)+(V613*Settings!$B$11)+(W613*Settings!$B$12)+(X613*Settings!$B$13)+(AA613*Settings!$B$16)</f>
        <v>88.164444444444456</v>
      </c>
      <c r="H613" s="31">
        <f>VLOOKUP(B613,'Standard Deviations'!$A1:$D651,4,FALSE)</f>
        <v>-5.058842641555759</v>
      </c>
      <c r="I613" s="32">
        <f ca="1">VLOOKUP(B613,OF!A1:I139,IF(Settings!$J$13="points",6,9),FALSE)</f>
        <v>-4.901913179458008</v>
      </c>
      <c r="J613" s="31"/>
      <c r="K613" s="31">
        <f ca="1">J613-A613</f>
        <v>-612</v>
      </c>
      <c r="L613" s="31"/>
      <c r="M613" s="31">
        <f>VLOOKUP($B613,Hitters!$A1:$R401,4,FALSE)</f>
        <v>136.24444444444444</v>
      </c>
      <c r="N613" s="31">
        <f>VLOOKUP($B613,Hitters!$A1:$R401,5,FALSE)</f>
        <v>16.933333333333334</v>
      </c>
      <c r="O613" s="31">
        <f>VLOOKUP($B613,Hitters!$A1:$R401,6,FALSE)</f>
        <v>4.1144444444444446</v>
      </c>
      <c r="P613" s="31">
        <f>VLOOKUP($B613,Hitters!$A1:$R401,7,FALSE)</f>
        <v>16.912222222222223</v>
      </c>
      <c r="Q613" s="31">
        <f>VLOOKUP($B613,Hitters!$A1:$R401,8,FALSE)</f>
        <v>0.39333333333333331</v>
      </c>
      <c r="R613" s="33">
        <f>VLOOKUP($B613,Hitters!$A$1:$R$401,14,FALSE)</f>
        <v>0.25075844071114017</v>
      </c>
      <c r="S613" s="33">
        <f>VLOOKUP($B613,Hitters!$A$1:$R$401,15,FALSE)</f>
        <v>0.32587340418765171</v>
      </c>
      <c r="T613" s="31">
        <f>VLOOKUP($B613,Hitters!$A$1:$R$401,9,FALSE)</f>
        <v>34.164444444444449</v>
      </c>
      <c r="U613" s="31">
        <f>VLOOKUP($B613,Hitters!$A$1:$R$401,10,FALSE)</f>
        <v>6.1988888888888889</v>
      </c>
      <c r="V613" s="31">
        <f>VLOOKUP($B613,Hitters!$A$1:$R$401,11,FALSE)</f>
        <v>0.99222222222222223</v>
      </c>
      <c r="W613" s="31">
        <f>VLOOKUP($B613,Hitters!$A$1:$R$401,12,FALSE)</f>
        <v>13.092222222222221</v>
      </c>
      <c r="X613" s="31">
        <f>VLOOKUP($B613,Hitters!$A$1:$R$401,13,FALSE)</f>
        <v>28.502222222222219</v>
      </c>
      <c r="Y613" s="33">
        <f>VLOOKUP($B613,Hitters!$A$1:$R$401,16,FALSE)</f>
        <v>0.40141901810471381</v>
      </c>
      <c r="Z613" s="33">
        <f>VLOOKUP($B613,Hitters!$A$1:$R$401,17,FALSE)</f>
        <v>0.72729242229236557</v>
      </c>
      <c r="AA613" s="31">
        <f>VLOOKUP($B613,Hitters!$A1:$R401,18,FALSE)</f>
        <v>0</v>
      </c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</row>
    <row r="614" spans="1:44" ht="18.600000000000001" customHeight="1">
      <c r="A614" s="25">
        <f ca="1">RANK(I614,I$2:I$651)</f>
        <v>613</v>
      </c>
      <c r="B614" s="26" t="s">
        <v>690</v>
      </c>
      <c r="C614" s="27" t="s">
        <v>95</v>
      </c>
      <c r="D614" s="27" t="s">
        <v>74</v>
      </c>
      <c r="E614" s="46" t="s">
        <v>19</v>
      </c>
      <c r="F614" s="47">
        <f ca="1">VLOOKUP(B614,'C'!A1:I54,IF(Settings!$J$13="points",4,7),FALSE)</f>
        <v>51</v>
      </c>
      <c r="G614" s="30">
        <f>(M614*Settings!$B$2)+(N614*Settings!$B$3)+(O614*Settings!$B$4)+(P614*Settings!$B$5)+(Q614*Settings!$B$6)+((T614-U614-V614-O614)*Settings!$B$9)+(U614*Settings!$B$10)+(V614*Settings!$B$11)+(W614*Settings!$B$12)+(X614*Settings!$B$13)+(AA614*Settings!$B$16)</f>
        <v>95.226666666666659</v>
      </c>
      <c r="H614" s="31">
        <f>VLOOKUP(B614,'Standard Deviations'!$A1:$D651,4,FALSE)</f>
        <v>-5.8990921483044332</v>
      </c>
      <c r="I614" s="32">
        <f ca="1">VLOOKUP(B614,'C'!A1:I54,IF(Settings!$J$13="points",6,9),FALSE)</f>
        <v>-5.1125673785917494</v>
      </c>
      <c r="J614" s="31"/>
      <c r="K614" s="31">
        <f ca="1">J614-A614</f>
        <v>-613</v>
      </c>
      <c r="L614" s="31"/>
      <c r="M614" s="31">
        <f>VLOOKUP($B614,Hitters!$A1:$R401,4,FALSE)</f>
        <v>208.43333333333331</v>
      </c>
      <c r="N614" s="31">
        <f>VLOOKUP($B614,Hitters!$A1:$R401,5,FALSE)</f>
        <v>21.361111111111111</v>
      </c>
      <c r="O614" s="31">
        <f>VLOOKUP($B614,Hitters!$A1:$R401,6,FALSE)</f>
        <v>3.9877777777777776</v>
      </c>
      <c r="P614" s="31">
        <f>VLOOKUP($B614,Hitters!$A1:$R401,7,FALSE)</f>
        <v>20.328888888888887</v>
      </c>
      <c r="Q614" s="31">
        <f>VLOOKUP($B614,Hitters!$A1:$R401,8,FALSE)</f>
        <v>0.99111111111111116</v>
      </c>
      <c r="R614" s="33">
        <f>VLOOKUP($B614,Hitters!$A$1:$R$401,14,FALSE)</f>
        <v>0.22646196492350343</v>
      </c>
      <c r="S614" s="33">
        <f>VLOOKUP($B614,Hitters!$A$1:$R$401,15,FALSE)</f>
        <v>0.27710782524789057</v>
      </c>
      <c r="T614" s="31">
        <f>VLOOKUP($B614,Hitters!$A$1:$R$401,9,FALSE)</f>
        <v>47.202222222222225</v>
      </c>
      <c r="U614" s="31">
        <f>VLOOKUP($B614,Hitters!$A$1:$R$401,10,FALSE)</f>
        <v>9.01</v>
      </c>
      <c r="V614" s="31">
        <f>VLOOKUP($B614,Hitters!$A$1:$R$401,11,FALSE)</f>
        <v>2.5000000000000005E-2</v>
      </c>
      <c r="W614" s="31">
        <f>VLOOKUP($B614,Hitters!$A$1:$R$401,12,FALSE)</f>
        <v>10.99</v>
      </c>
      <c r="X614" s="31">
        <f>VLOOKUP($B614,Hitters!$A$1:$R$401,13,FALSE)</f>
        <v>55.322222222222223</v>
      </c>
      <c r="Y614" s="33">
        <f>VLOOKUP($B614,Hitters!$A$1:$R$401,16,FALSE)</f>
        <v>0.32732555040247352</v>
      </c>
      <c r="Z614" s="33">
        <f>VLOOKUP($B614,Hitters!$A$1:$R$401,17,FALSE)</f>
        <v>0.60443337565036415</v>
      </c>
      <c r="AA614" s="31">
        <f>VLOOKUP($B614,Hitters!$A1:$R401,18,FALSE)</f>
        <v>0</v>
      </c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</row>
    <row r="615" spans="1:44" ht="18.600000000000001" customHeight="1">
      <c r="A615" s="25">
        <f ca="1">RANK(I615,I$2:I$651)</f>
        <v>614</v>
      </c>
      <c r="B615" s="26" t="s">
        <v>700</v>
      </c>
      <c r="C615" s="27" t="s">
        <v>95</v>
      </c>
      <c r="D615" s="27" t="s">
        <v>74</v>
      </c>
      <c r="E615" s="44" t="s">
        <v>112</v>
      </c>
      <c r="F615" s="45">
        <f ca="1">VLOOKUP(B615,'1B'!A1:I63,IF(Settings!$J$13="points",4,7),FALSE)</f>
        <v>48</v>
      </c>
      <c r="G615" s="30">
        <f>(M615*Settings!$B$2)+(N615*Settings!$B$3)+(O615*Settings!$B$4)+(P615*Settings!$B$5)+(Q615*Settings!$B$6)+((T615-U615-V615-O615)*Settings!$B$9)+(U615*Settings!$B$10)+(V615*Settings!$B$11)+(W615*Settings!$B$12)+(X615*Settings!$B$13)+(AA615*Settings!$B$16)</f>
        <v>202.55583333333328</v>
      </c>
      <c r="H615" s="31">
        <f>VLOOKUP(B615,'Standard Deviations'!$A1:$D651,4,FALSE)</f>
        <v>-3.3352893504331718</v>
      </c>
      <c r="I615" s="32">
        <f ca="1">VLOOKUP(B615,'1B'!A1:I63,IF(Settings!$J$13="points",6,9),FALSE)</f>
        <v>-5.1274177720594345</v>
      </c>
      <c r="J615" s="31"/>
      <c r="K615" s="31">
        <f ca="1">J615-A615</f>
        <v>-614</v>
      </c>
      <c r="L615" s="31"/>
      <c r="M615" s="31">
        <f>VLOOKUP($B615,Hitters!$A1:$R401,4,FALSE)</f>
        <v>282.10833333333329</v>
      </c>
      <c r="N615" s="31">
        <f>VLOOKUP($B615,Hitters!$A1:$R401,5,FALSE)</f>
        <v>38.846666666666664</v>
      </c>
      <c r="O615" s="31">
        <f>VLOOKUP($B615,Hitters!$A1:$R401,6,FALSE)</f>
        <v>12.479999999999999</v>
      </c>
      <c r="P615" s="31">
        <f>VLOOKUP($B615,Hitters!$A1:$R401,7,FALSE)</f>
        <v>40.227499999999999</v>
      </c>
      <c r="Q615" s="31">
        <f>VLOOKUP($B615,Hitters!$A1:$R401,8,FALSE)</f>
        <v>1.7499999999999998E-2</v>
      </c>
      <c r="R615" s="33">
        <f>VLOOKUP($B615,Hitters!$A$1:$R$401,14,FALSE)</f>
        <v>0.22508492600360383</v>
      </c>
      <c r="S615" s="33">
        <f>VLOOKUP($B615,Hitters!$A$1:$R$401,15,FALSE)</f>
        <v>0.35154570275465119</v>
      </c>
      <c r="T615" s="31">
        <f>VLOOKUP($B615,Hitters!$A$1:$R$401,9,FALSE)</f>
        <v>63.498333333333328</v>
      </c>
      <c r="U615" s="31">
        <f>VLOOKUP($B615,Hitters!$A$1:$R$401,10,FALSE)</f>
        <v>10.4925</v>
      </c>
      <c r="V615" s="31">
        <f>VLOOKUP($B615,Hitters!$A$1:$R$401,11,FALSE)</f>
        <v>0.99333333333333329</v>
      </c>
      <c r="W615" s="31">
        <f>VLOOKUP($B615,Hitters!$A$1:$R$401,12,FALSE)</f>
        <v>51.022500000000001</v>
      </c>
      <c r="X615" s="31">
        <f>VLOOKUP($B615,Hitters!$A$1:$R$401,13,FALSE)</f>
        <v>81.986666666666665</v>
      </c>
      <c r="Y615" s="33">
        <f>VLOOKUP($B615,Hitters!$A$1:$R$401,16,FALSE)</f>
        <v>0.40203527013854018</v>
      </c>
      <c r="Z615" s="33">
        <f>VLOOKUP($B615,Hitters!$A$1:$R$401,17,FALSE)</f>
        <v>0.75358097289319137</v>
      </c>
      <c r="AA615" s="31">
        <f>VLOOKUP($B615,Hitters!$A1:$R401,18,FALSE)</f>
        <v>0</v>
      </c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</row>
    <row r="616" spans="1:44" ht="18.600000000000001" customHeight="1">
      <c r="A616" s="25">
        <f ca="1">RANK(I616,I$2:I$651)</f>
        <v>615</v>
      </c>
      <c r="B616" s="26" t="s">
        <v>684</v>
      </c>
      <c r="C616" s="27" t="s">
        <v>114</v>
      </c>
      <c r="D616" s="27" t="s">
        <v>69</v>
      </c>
      <c r="E616" s="34" t="s">
        <v>15</v>
      </c>
      <c r="F616" s="35">
        <f ca="1">VLOOKUP(B616,'3B'!A1:I55,IF(Settings!$J$13="points",4,7),FALSE)</f>
        <v>46</v>
      </c>
      <c r="G616" s="30">
        <f>(M616*Settings!$B$2)+(N616*Settings!$B$3)+(O616*Settings!$B$4)+(P616*Settings!$B$5)+(Q616*Settings!$B$6)+((T616-U616-V616-O616)*Settings!$B$9)+(U616*Settings!$B$10)+(V616*Settings!$B$11)+(W616*Settings!$B$12)+(X616*Settings!$B$13)+(AA616*Settings!$B$16)</f>
        <v>101.07527777777777</v>
      </c>
      <c r="H616" s="31">
        <f>VLOOKUP(B616,'Standard Deviations'!$A1:$D651,4,FALSE)</f>
        <v>-4.9209141592064034</v>
      </c>
      <c r="I616" s="32">
        <f ca="1">IF(Settings!$J$15="no",VLOOKUP(B616,'3B'!A1:I55,IF(Settings!$J$13="points",6,9),FALSE),VLOOKUP(B616,'1B+3B'!$A1:$I104,IF(Settings!$J$13="points",6,9),FALSE))</f>
        <v>-5.1463905594311852</v>
      </c>
      <c r="J616" s="31"/>
      <c r="K616" s="31">
        <f ca="1">J616-A616</f>
        <v>-615</v>
      </c>
      <c r="L616" s="31"/>
      <c r="M616" s="31">
        <f>VLOOKUP($B616,Hitters!$A1:$R401,4,FALSE)</f>
        <v>168.6888888888889</v>
      </c>
      <c r="N616" s="31">
        <f>VLOOKUP($B616,Hitters!$A1:$R401,5,FALSE)</f>
        <v>20.698888888888888</v>
      </c>
      <c r="O616" s="31">
        <f>VLOOKUP($B616,Hitters!$A1:$R401,6,FALSE)</f>
        <v>6.919999999999999</v>
      </c>
      <c r="P616" s="31">
        <f>VLOOKUP($B616,Hitters!$A1:$R401,7,FALSE)</f>
        <v>22.615555555555556</v>
      </c>
      <c r="Q616" s="31">
        <f>VLOOKUP($B616,Hitters!$A1:$R401,8,FALSE)</f>
        <v>2.5000000000000005E-2</v>
      </c>
      <c r="R616" s="33">
        <f>VLOOKUP($B616,Hitters!$A$1:$R$401,14,FALSE)</f>
        <v>0.23936898959293898</v>
      </c>
      <c r="S616" s="33">
        <f>VLOOKUP($B616,Hitters!$A$1:$R$401,15,FALSE)</f>
        <v>0.30003797612642324</v>
      </c>
      <c r="T616" s="31">
        <f>VLOOKUP($B616,Hitters!$A$1:$R$401,9,FALSE)</f>
        <v>40.378888888888888</v>
      </c>
      <c r="U616" s="31">
        <f>VLOOKUP($B616,Hitters!$A$1:$R$401,10,FALSE)</f>
        <v>7.471111111111111</v>
      </c>
      <c r="V616" s="31">
        <f>VLOOKUP($B616,Hitters!$A$1:$R$401,11,FALSE)</f>
        <v>1.0116666666666667</v>
      </c>
      <c r="W616" s="31">
        <f>VLOOKUP($B616,Hitters!$A$1:$R$401,12,FALSE)</f>
        <v>11.85</v>
      </c>
      <c r="X616" s="31">
        <f>VLOOKUP($B616,Hitters!$A$1:$R$401,13,FALSE)</f>
        <v>49.544999999999995</v>
      </c>
      <c r="Y616" s="33">
        <f>VLOOKUP($B616,Hitters!$A$1:$R$401,16,FALSE)</f>
        <v>0.41871953629297848</v>
      </c>
      <c r="Z616" s="33">
        <f>VLOOKUP($B616,Hitters!$A$1:$R$401,17,FALSE)</f>
        <v>0.71875751241940167</v>
      </c>
      <c r="AA616" s="31">
        <f>VLOOKUP($B616,Hitters!$A1:$R401,18,FALSE)</f>
        <v>0</v>
      </c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</row>
    <row r="617" spans="1:44" ht="18.600000000000001" customHeight="1">
      <c r="A617" s="25">
        <f ca="1">RANK(I617,I$2:I$651)</f>
        <v>616</v>
      </c>
      <c r="B617" s="50" t="s">
        <v>727</v>
      </c>
      <c r="C617" s="50" t="s">
        <v>117</v>
      </c>
      <c r="D617" s="27" t="s">
        <v>69</v>
      </c>
      <c r="E617" s="40" t="s">
        <v>7</v>
      </c>
      <c r="F617" s="41">
        <f ca="1">VLOOKUP(B617,'1B'!A1:I63,IF(Settings!$J$13="points",4,7),FALSE)</f>
        <v>56</v>
      </c>
      <c r="G617" s="30">
        <f>(M617*Settings!$B$2)+(N617*Settings!$B$3)+(O617*Settings!$B$4)+(P617*Settings!$B$5)+(Q617*Settings!$B$6)+((T617-U617-V617-O617)*Settings!$B$9)+(U617*Settings!$B$10)+(V617*Settings!$B$11)+(W617*Settings!$B$12)+(X617*Settings!$B$13)+(AA617*Settings!$B$16)</f>
        <v>132.22611111111109</v>
      </c>
      <c r="H617" s="31">
        <f>VLOOKUP(B617,'Standard Deviations'!$A1:$D651,4,FALSE)</f>
        <v>-4.9632849357616466</v>
      </c>
      <c r="I617" s="32">
        <f ca="1">IF(Settings!$J$15="no",VLOOKUP(B617,'1B'!A1:I63,IF(Settings!$J$13="points",6,9),FALSE),VLOOKUP(B617,'1B+3B'!$A1:$I104,IF(Settings!$J$13="points",6,9),FALSE))</f>
        <v>-5.1887667877514723</v>
      </c>
      <c r="J617" s="31"/>
      <c r="K617" s="31">
        <f ca="1">J617-A617</f>
        <v>-616</v>
      </c>
      <c r="L617" s="31"/>
      <c r="M617" s="31">
        <f>VLOOKUP($B617,Hitters!$A1:$R401,4,FALSE)</f>
        <v>214.83333333333334</v>
      </c>
      <c r="N617" s="31">
        <f>VLOOKUP($B617,Hitters!$A1:$R401,5,FALSE)</f>
        <v>27.974444444444444</v>
      </c>
      <c r="O617" s="31">
        <f>VLOOKUP($B617,Hitters!$A1:$R401,6,FALSE)</f>
        <v>8.4633333333333329</v>
      </c>
      <c r="P617" s="31">
        <f>VLOOKUP($B617,Hitters!$A1:$R401,7,FALSE)</f>
        <v>28.192222222222224</v>
      </c>
      <c r="Q617" s="31">
        <f>VLOOKUP($B617,Hitters!$A1:$R401,8,FALSE)</f>
        <v>2.9599999999999995</v>
      </c>
      <c r="R617" s="33">
        <f>VLOOKUP($B617,Hitters!$A$1:$R$401,14,FALSE)</f>
        <v>0.21557796741660201</v>
      </c>
      <c r="S617" s="33">
        <f>VLOOKUP($B617,Hitters!$A$1:$R$401,15,FALSE)</f>
        <v>0.30894448918386047</v>
      </c>
      <c r="T617" s="31">
        <f>VLOOKUP($B617,Hitters!$A$1:$R$401,9,FALSE)</f>
        <v>46.313333333333333</v>
      </c>
      <c r="U617" s="31">
        <f>VLOOKUP($B617,Hitters!$A$1:$R$401,10,FALSE)</f>
        <v>10.408888888888889</v>
      </c>
      <c r="V617" s="31">
        <f>VLOOKUP($B617,Hitters!$A$1:$R$401,11,FALSE)</f>
        <v>1.417777777777778</v>
      </c>
      <c r="W617" s="31">
        <f>VLOOKUP($B617,Hitters!$A$1:$R$401,12,FALSE)</f>
        <v>25.575555555555553</v>
      </c>
      <c r="X617" s="31">
        <f>VLOOKUP($B617,Hitters!$A$1:$R$401,13,FALSE)</f>
        <v>80.767777777777781</v>
      </c>
      <c r="Y617" s="33">
        <f>VLOOKUP($B617,Hitters!$A$1:$R$401,16,FALSE)</f>
        <v>0.39541246444272049</v>
      </c>
      <c r="Z617" s="33">
        <f>VLOOKUP($B617,Hitters!$A$1:$R$401,17,FALSE)</f>
        <v>0.70435695362658102</v>
      </c>
      <c r="AA617" s="31">
        <f>VLOOKUP($B617,Hitters!$A1:$R401,18,FALSE)</f>
        <v>0</v>
      </c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</row>
    <row r="618" spans="1:44" ht="18.600000000000001" customHeight="1">
      <c r="A618" s="25">
        <f ca="1">RANK(I618,I$2:I$651)</f>
        <v>617</v>
      </c>
      <c r="B618" s="26" t="s">
        <v>721</v>
      </c>
      <c r="C618" s="27" t="s">
        <v>114</v>
      </c>
      <c r="D618" s="27" t="s">
        <v>69</v>
      </c>
      <c r="E618" s="48" t="s">
        <v>11</v>
      </c>
      <c r="F618" s="49">
        <f ca="1">VLOOKUP(B618,'2B'!A1:I50,IF(Settings!$J$13="points",4,7),FALSE)</f>
        <v>44</v>
      </c>
      <c r="G618" s="30">
        <f>(M618*Settings!$B$2)+(N618*Settings!$B$3)+(O618*Settings!$B$4)+(P618*Settings!$B$5)+(Q618*Settings!$B$6)+((T618-U618-V618-O618)*Settings!$B$9)+(U618*Settings!$B$10)+(V618*Settings!$B$11)+(W618*Settings!$B$12)+(X618*Settings!$B$13)+(AA618*Settings!$B$16)</f>
        <v>87.008888888888904</v>
      </c>
      <c r="H618" s="31">
        <f>VLOOKUP(B618,'Standard Deviations'!$A1:$D651,4,FALSE)</f>
        <v>-5.2093114849762703</v>
      </c>
      <c r="I618" s="32">
        <f ca="1">IF(Settings!$J$16="no",VLOOKUP(B618,'2B'!A1:I50,IF(Settings!$J$13="points",6,9),FALSE),VLOOKUP(B618,'2B+SS'!$A1:$I94,IF(Settings!$J$13="points",6,9),FALSE))</f>
        <v>-5.2153498515446328</v>
      </c>
      <c r="J618" s="31"/>
      <c r="K618" s="31">
        <f ca="1">J618-A618</f>
        <v>-617</v>
      </c>
      <c r="L618" s="31"/>
      <c r="M618" s="31">
        <f>VLOOKUP($B618,Hitters!$A1:$R401,4,FALSE)</f>
        <v>163.8111111111111</v>
      </c>
      <c r="N618" s="31">
        <f>VLOOKUP($B618,Hitters!$A1:$R401,5,FALSE)</f>
        <v>19.661111111111111</v>
      </c>
      <c r="O618" s="31">
        <f>VLOOKUP($B618,Hitters!$A1:$R401,6,FALSE)</f>
        <v>2.3544444444444443</v>
      </c>
      <c r="P618" s="31">
        <f>VLOOKUP($B618,Hitters!$A1:$R401,7,FALSE)</f>
        <v>15.793333333333335</v>
      </c>
      <c r="Q618" s="31">
        <f>VLOOKUP($B618,Hitters!$A1:$R401,8,FALSE)</f>
        <v>1.9922222222222221</v>
      </c>
      <c r="R618" s="33">
        <f>VLOOKUP($B618,Hitters!$A$1:$R$401,14,FALSE)</f>
        <v>0.24633385335413419</v>
      </c>
      <c r="S618" s="33">
        <f>VLOOKUP($B618,Hitters!$A$1:$R$401,15,FALSE)</f>
        <v>0.29802349551208457</v>
      </c>
      <c r="T618" s="31">
        <f>VLOOKUP($B618,Hitters!$A$1:$R$401,9,FALSE)</f>
        <v>40.352222222222224</v>
      </c>
      <c r="U618" s="31">
        <f>VLOOKUP($B618,Hitters!$A$1:$R$401,10,FALSE)</f>
        <v>6.5622222222222222</v>
      </c>
      <c r="V618" s="31">
        <f>VLOOKUP($B618,Hitters!$A$1:$R$401,11,FALSE)</f>
        <v>0.99444444444444446</v>
      </c>
      <c r="W618" s="31">
        <f>VLOOKUP($B618,Hitters!$A$1:$R$401,12,FALSE)</f>
        <v>9.3577777777777786</v>
      </c>
      <c r="X618" s="31">
        <f>VLOOKUP($B618,Hitters!$A$1:$R$401,13,FALSE)</f>
        <v>35.50888888888889</v>
      </c>
      <c r="Y618" s="33">
        <f>VLOOKUP($B618,Hitters!$A$1:$R$401,16,FALSE)</f>
        <v>0.34165366614664588</v>
      </c>
      <c r="Z618" s="33">
        <f>VLOOKUP($B618,Hitters!$A$1:$R$401,17,FALSE)</f>
        <v>0.63967716165873045</v>
      </c>
      <c r="AA618" s="31">
        <f>VLOOKUP($B618,Hitters!$A1:$R401,18,FALSE)</f>
        <v>0</v>
      </c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</row>
    <row r="619" spans="1:44" ht="18.600000000000001" customHeight="1">
      <c r="A619" s="25">
        <f ca="1">RANK(I619,I$2:I$651)</f>
        <v>618</v>
      </c>
      <c r="B619" s="26" t="s">
        <v>681</v>
      </c>
      <c r="C619" s="27" t="s">
        <v>117</v>
      </c>
      <c r="D619" s="27" t="s">
        <v>69</v>
      </c>
      <c r="E619" s="34" t="s">
        <v>15</v>
      </c>
      <c r="F619" s="35">
        <f ca="1">VLOOKUP(B619,'3B'!A1:I55,IF(Settings!$J$13="points",4,7),FALSE)</f>
        <v>47</v>
      </c>
      <c r="G619" s="30">
        <f>(M619*Settings!$B$2)+(N619*Settings!$B$3)+(O619*Settings!$B$4)+(P619*Settings!$B$5)+(Q619*Settings!$B$6)+((T619-U619-V619-O619)*Settings!$B$9)+(U619*Settings!$B$10)+(V619*Settings!$B$11)+(W619*Settings!$B$12)+(X619*Settings!$B$13)+(AA619*Settings!$B$16)</f>
        <v>70.528333333333322</v>
      </c>
      <c r="H619" s="31">
        <f>VLOOKUP(B619,'Standard Deviations'!$A1:$D651,4,FALSE)</f>
        <v>-5.0342748627430822</v>
      </c>
      <c r="I619" s="32">
        <f ca="1">IF(Settings!$J$15="no",VLOOKUP(B619,'3B'!A1:I55,IF(Settings!$J$13="points",6,9),FALSE),VLOOKUP(B619,'1B+3B'!$A1:$I104,IF(Settings!$J$13="points",6,9),FALSE))</f>
        <v>-5.2597504873812797</v>
      </c>
      <c r="J619" s="31"/>
      <c r="K619" s="31">
        <f ca="1">J619-A619</f>
        <v>-618</v>
      </c>
      <c r="L619" s="31"/>
      <c r="M619" s="31">
        <f>VLOOKUP($B619,Hitters!$A1:$R401,4,FALSE)</f>
        <v>131.20000000000002</v>
      </c>
      <c r="N619" s="31">
        <f>VLOOKUP($B619,Hitters!$A1:$R401,5,FALSE)</f>
        <v>13.822222222222223</v>
      </c>
      <c r="O619" s="31">
        <f>VLOOKUP($B619,Hitters!$A1:$R401,6,FALSE)</f>
        <v>1.4433333333333334</v>
      </c>
      <c r="P619" s="31">
        <f>VLOOKUP($B619,Hitters!$A1:$R401,7,FALSE)</f>
        <v>12.437777777777777</v>
      </c>
      <c r="Q619" s="31">
        <f>VLOOKUP($B619,Hitters!$A1:$R401,8,FALSE)</f>
        <v>1.4344444444444442</v>
      </c>
      <c r="R619" s="33">
        <f>VLOOKUP($B619,Hitters!$A$1:$R$401,14,FALSE)</f>
        <v>0.26144986449864493</v>
      </c>
      <c r="S619" s="33">
        <f>VLOOKUP($B619,Hitters!$A$1:$R$401,15,FALSE)</f>
        <v>0.32373046948732537</v>
      </c>
      <c r="T619" s="31">
        <f>VLOOKUP($B619,Hitters!$A$1:$R$401,9,FALSE)</f>
        <v>34.30222222222222</v>
      </c>
      <c r="U619" s="31">
        <f>VLOOKUP($B619,Hitters!$A$1:$R$401,10,FALSE)</f>
        <v>5.2700000000000005</v>
      </c>
      <c r="V619" s="31">
        <f>VLOOKUP($B619,Hitters!$A$1:$R$401,11,FALSE)</f>
        <v>4.9999999999999992E-3</v>
      </c>
      <c r="W619" s="31">
        <f>VLOOKUP($B619,Hitters!$A$1:$R$401,12,FALSE)</f>
        <v>10.058888888888889</v>
      </c>
      <c r="X619" s="31">
        <f>VLOOKUP($B619,Hitters!$A$1:$R$401,13,FALSE)</f>
        <v>25.143333333333334</v>
      </c>
      <c r="Y619" s="33">
        <f>VLOOKUP($B619,Hitters!$A$1:$R$401,16,FALSE)</f>
        <v>0.33469681571815713</v>
      </c>
      <c r="Z619" s="33">
        <f>VLOOKUP($B619,Hitters!$A$1:$R$401,17,FALSE)</f>
        <v>0.65842728520548244</v>
      </c>
      <c r="AA619" s="31">
        <f>VLOOKUP($B619,Hitters!$A1:$R401,18,FALSE)</f>
        <v>0</v>
      </c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</row>
    <row r="620" spans="1:44" ht="18.600000000000001" customHeight="1">
      <c r="A620" s="25">
        <f ca="1">RANK(I620,I$2:I$651)</f>
        <v>619</v>
      </c>
      <c r="B620" s="26" t="s">
        <v>695</v>
      </c>
      <c r="C620" s="27" t="s">
        <v>306</v>
      </c>
      <c r="D620" s="27" t="s">
        <v>74</v>
      </c>
      <c r="E620" s="34" t="s">
        <v>15</v>
      </c>
      <c r="F620" s="35">
        <f ca="1">VLOOKUP(B620,'3B'!A1:I55,IF(Settings!$J$13="points",4,7),FALSE)</f>
        <v>48</v>
      </c>
      <c r="G620" s="30">
        <f>(M620*Settings!$B$2)+(N620*Settings!$B$3)+(O620*Settings!$B$4)+(P620*Settings!$B$5)+(Q620*Settings!$B$6)+((T620-U620-V620-O620)*Settings!$B$9)+(U620*Settings!$B$10)+(V620*Settings!$B$11)+(W620*Settings!$B$12)+(X620*Settings!$B$13)+(AA620*Settings!$B$16)</f>
        <v>114.4188888888889</v>
      </c>
      <c r="H620" s="31">
        <f>VLOOKUP(B620,'Standard Deviations'!$A1:$D651,4,FALSE)</f>
        <v>-5.0853367732065848</v>
      </c>
      <c r="I620" s="32">
        <f ca="1">IF(Settings!$J$15="no",VLOOKUP(B620,'3B'!A1:I55,IF(Settings!$J$13="points",6,9),FALSE),VLOOKUP(B620,'1B+3B'!$A1:$I104,IF(Settings!$J$13="points",6,9),FALSE))</f>
        <v>-5.3108157667242617</v>
      </c>
      <c r="J620" s="31"/>
      <c r="K620" s="31">
        <f ca="1">J620-A620</f>
        <v>-619</v>
      </c>
      <c r="L620" s="31"/>
      <c r="M620" s="31">
        <f>VLOOKUP($B620,Hitters!$A1:$R401,4,FALSE)</f>
        <v>207.1</v>
      </c>
      <c r="N620" s="31">
        <f>VLOOKUP($B620,Hitters!$A1:$R401,5,FALSE)</f>
        <v>21.246666666666666</v>
      </c>
      <c r="O620" s="31">
        <f>VLOOKUP($B620,Hitters!$A1:$R401,6,FALSE)</f>
        <v>3.0183333333333331</v>
      </c>
      <c r="P620" s="31">
        <f>VLOOKUP($B620,Hitters!$A1:$R401,7,FALSE)</f>
        <v>20.265000000000001</v>
      </c>
      <c r="Q620" s="31">
        <f>VLOOKUP($B620,Hitters!$A1:$R401,8,FALSE)</f>
        <v>2.4649999999999999</v>
      </c>
      <c r="R620" s="33">
        <f>VLOOKUP($B620,Hitters!$A$1:$R$401,14,FALSE)</f>
        <v>0.24051183003380011</v>
      </c>
      <c r="S620" s="33">
        <f>VLOOKUP($B620,Hitters!$A$1:$R$401,15,FALSE)</f>
        <v>0.29218756965096992</v>
      </c>
      <c r="T620" s="31">
        <f>VLOOKUP($B620,Hitters!$A$1:$R$401,9,FALSE)</f>
        <v>49.81</v>
      </c>
      <c r="U620" s="31">
        <f>VLOOKUP($B620,Hitters!$A$1:$R$401,10,FALSE)</f>
        <v>10.969999999999999</v>
      </c>
      <c r="V620" s="31">
        <f>VLOOKUP($B620,Hitters!$A$1:$R$401,11,FALSE)</f>
        <v>0.99888888888888883</v>
      </c>
      <c r="W620" s="31">
        <f>VLOOKUP($B620,Hitters!$A$1:$R$401,12,FALSE)</f>
        <v>11.652222222222221</v>
      </c>
      <c r="X620" s="31">
        <f>VLOOKUP($B620,Hitters!$A$1:$R$401,13,FALSE)</f>
        <v>31.015555555555554</v>
      </c>
      <c r="Y620" s="33">
        <f>VLOOKUP($B620,Hitters!$A$1:$R$401,16,FALSE)</f>
        <v>0.34685068941466818</v>
      </c>
      <c r="Z620" s="33">
        <f>VLOOKUP($B620,Hitters!$A$1:$R$401,17,FALSE)</f>
        <v>0.63903825906563805</v>
      </c>
      <c r="AA620" s="31">
        <f>VLOOKUP($B620,Hitters!$A1:$R401,18,FALSE)</f>
        <v>0</v>
      </c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</row>
    <row r="621" spans="1:44" ht="18.600000000000001" customHeight="1">
      <c r="A621" s="25">
        <f ca="1">RANK(I621,I$2:I$651)</f>
        <v>620</v>
      </c>
      <c r="B621" s="26" t="s">
        <v>717</v>
      </c>
      <c r="C621" s="27" t="s">
        <v>103</v>
      </c>
      <c r="D621" s="27" t="s">
        <v>69</v>
      </c>
      <c r="E621" s="40" t="s">
        <v>7</v>
      </c>
      <c r="F621" s="41">
        <f ca="1">VLOOKUP(B621,'1B'!A1:I63,IF(Settings!$J$13="points",4,7),FALSE)</f>
        <v>58</v>
      </c>
      <c r="G621" s="30">
        <f>(M621*Settings!$B$2)+(N621*Settings!$B$3)+(O621*Settings!$B$4)+(P621*Settings!$B$5)+(Q621*Settings!$B$6)+((T621-U621-V621-O621)*Settings!$B$9)+(U621*Settings!$B$10)+(V621*Settings!$B$11)+(W621*Settings!$B$12)+(X621*Settings!$B$13)+(AA621*Settings!$B$16)</f>
        <v>112.29055555555556</v>
      </c>
      <c r="H621" s="31">
        <f>VLOOKUP(B621,'Standard Deviations'!$A1:$D651,4,FALSE)</f>
        <v>-5.0981533183471246</v>
      </c>
      <c r="I621" s="32">
        <f ca="1">IF(Settings!$J$15="no",VLOOKUP(B621,'1B'!A1:I63,IF(Settings!$J$13="points",6,9),FALSE),VLOOKUP(B621,'1B+3B'!$A1:$I104,IF(Settings!$J$13="points",6,9),FALSE))</f>
        <v>-5.3236291469011139</v>
      </c>
      <c r="J621" s="31"/>
      <c r="K621" s="31">
        <f ca="1">J621-A621</f>
        <v>-620</v>
      </c>
      <c r="L621" s="31"/>
      <c r="M621" s="31">
        <f>VLOOKUP($B621,Hitters!$A1:$R401,4,FALSE)</f>
        <v>179.56666666666669</v>
      </c>
      <c r="N621" s="31">
        <f>VLOOKUP($B621,Hitters!$A1:$R401,5,FALSE)</f>
        <v>23.14</v>
      </c>
      <c r="O621" s="31">
        <f>VLOOKUP($B621,Hitters!$A1:$R401,6,FALSE)</f>
        <v>8.9533333333333331</v>
      </c>
      <c r="P621" s="31">
        <f>VLOOKUP($B621,Hitters!$A1:$R401,7,FALSE)</f>
        <v>26.815555555555559</v>
      </c>
      <c r="Q621" s="31">
        <f>VLOOKUP($B621,Hitters!$A1:$R401,8,FALSE)</f>
        <v>1.0866666666666667</v>
      </c>
      <c r="R621" s="33">
        <f>VLOOKUP($B621,Hitters!$A$1:$R$401,14,FALSE)</f>
        <v>0.22236866530536473</v>
      </c>
      <c r="S621" s="33">
        <f>VLOOKUP($B621,Hitters!$A$1:$R$401,15,FALSE)</f>
        <v>0.29469601612339746</v>
      </c>
      <c r="T621" s="31">
        <f>VLOOKUP($B621,Hitters!$A$1:$R$401,9,FALSE)</f>
        <v>39.93</v>
      </c>
      <c r="U621" s="31">
        <f>VLOOKUP($B621,Hitters!$A$1:$R$401,10,FALSE)</f>
        <v>7.1477777777777787</v>
      </c>
      <c r="V621" s="31">
        <f>VLOOKUP($B621,Hitters!$A$1:$R$401,11,FALSE)</f>
        <v>1.085</v>
      </c>
      <c r="W621" s="31">
        <f>VLOOKUP($B621,Hitters!$A$1:$R$401,12,FALSE)</f>
        <v>15.425555555555555</v>
      </c>
      <c r="X621" s="31">
        <f>VLOOKUP($B621,Hitters!$A$1:$R$401,13,FALSE)</f>
        <v>62.743333333333332</v>
      </c>
      <c r="Y621" s="33">
        <f>VLOOKUP($B621,Hitters!$A$1:$R$401,16,FALSE)</f>
        <v>0.42384134645133342</v>
      </c>
      <c r="Z621" s="33">
        <f>VLOOKUP($B621,Hitters!$A$1:$R$401,17,FALSE)</f>
        <v>0.71853736257473089</v>
      </c>
      <c r="AA621" s="31">
        <f>VLOOKUP($B621,Hitters!$A1:$R401,18,FALSE)</f>
        <v>0</v>
      </c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</row>
    <row r="622" spans="1:44" ht="18.600000000000001" customHeight="1">
      <c r="A622" s="25">
        <f ca="1">RANK(I622,I$2:I$651)</f>
        <v>621</v>
      </c>
      <c r="B622" s="26" t="s">
        <v>657</v>
      </c>
      <c r="C622" s="27" t="s">
        <v>63</v>
      </c>
      <c r="D622" s="27" t="s">
        <v>74</v>
      </c>
      <c r="E622" s="28" t="s">
        <v>23</v>
      </c>
      <c r="F622" s="29">
        <f ca="1">VLOOKUP(B622,OF!A1:I139,IF(Settings!$J$13="points",4,7),FALSE)</f>
        <v>135</v>
      </c>
      <c r="G622" s="30">
        <f>(M622*Settings!$B$2)+(N622*Settings!$B$3)+(O622*Settings!$B$4)+(P622*Settings!$B$5)+(Q622*Settings!$B$6)+((T622-U622-V622-O622)*Settings!$B$9)+(U622*Settings!$B$10)+(V622*Settings!$B$11)+(W622*Settings!$B$12)+(X622*Settings!$B$13)+(AA622*Settings!$B$16)</f>
        <v>72.293888888888887</v>
      </c>
      <c r="H622" s="31">
        <f>VLOOKUP(B622,'Standard Deviations'!$A1:$D651,4,FALSE)</f>
        <v>-5.4836859795934316</v>
      </c>
      <c r="I622" s="32">
        <f ca="1">VLOOKUP(B622,OF!A1:I139,IF(Settings!$J$13="points",6,9),FALSE)</f>
        <v>-5.3267552881697737</v>
      </c>
      <c r="J622" s="31"/>
      <c r="K622" s="31">
        <f ca="1">J622-A622</f>
        <v>-621</v>
      </c>
      <c r="L622" s="31"/>
      <c r="M622" s="31">
        <f>VLOOKUP($B622,Hitters!$A1:$R401,4,FALSE)</f>
        <v>127.72222222222221</v>
      </c>
      <c r="N622" s="31">
        <f>VLOOKUP($B622,Hitters!$A1:$R401,5,FALSE)</f>
        <v>14.947777777777778</v>
      </c>
      <c r="O622" s="31">
        <f>VLOOKUP($B622,Hitters!$A1:$R401,6,FALSE)</f>
        <v>1.9844444444444445</v>
      </c>
      <c r="P622" s="31">
        <f>VLOOKUP($B622,Hitters!$A1:$R401,7,FALSE)</f>
        <v>12.425555555555556</v>
      </c>
      <c r="Q622" s="31">
        <f>VLOOKUP($B622,Hitters!$A1:$R401,8,FALSE)</f>
        <v>4.3988888888888891</v>
      </c>
      <c r="R622" s="33">
        <f>VLOOKUP($B622,Hitters!$A$1:$R$401,14,FALSE)</f>
        <v>0.24247063940843847</v>
      </c>
      <c r="S622" s="33">
        <f>VLOOKUP($B622,Hitters!$A$1:$R$401,15,FALSE)</f>
        <v>0.29541606967243</v>
      </c>
      <c r="T622" s="31">
        <f>VLOOKUP($B622,Hitters!$A$1:$R$401,9,FALSE)</f>
        <v>30.968888888888888</v>
      </c>
      <c r="U622" s="31">
        <f>VLOOKUP($B622,Hitters!$A$1:$R$401,10,FALSE)</f>
        <v>5.4577777777777783</v>
      </c>
      <c r="V622" s="31">
        <f>VLOOKUP($B622,Hitters!$A$1:$R$401,11,FALSE)</f>
        <v>1.0549999999999999</v>
      </c>
      <c r="W622" s="31">
        <f>VLOOKUP($B622,Hitters!$A$1:$R$401,12,FALSE)</f>
        <v>7.4755555555555553</v>
      </c>
      <c r="X622" s="31">
        <f>VLOOKUP($B622,Hitters!$A$1:$R$401,13,FALSE)</f>
        <v>31.685555555555556</v>
      </c>
      <c r="Y622" s="33">
        <f>VLOOKUP($B622,Hitters!$A$1:$R$401,16,FALSE)</f>
        <v>0.34833405828621139</v>
      </c>
      <c r="Z622" s="33">
        <f>VLOOKUP($B622,Hitters!$A$1:$R$401,17,FALSE)</f>
        <v>0.64375012795864139</v>
      </c>
      <c r="AA622" s="31">
        <f>VLOOKUP($B622,Hitters!$A1:$R401,18,FALSE)</f>
        <v>0</v>
      </c>
      <c r="AB622" s="31"/>
      <c r="AC622" s="31"/>
      <c r="AD622" s="33"/>
      <c r="AE622" s="33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</row>
    <row r="623" spans="1:44" ht="18.600000000000001" customHeight="1">
      <c r="A623" s="25">
        <f ca="1">RANK(I623,I$2:I$651)</f>
        <v>622</v>
      </c>
      <c r="B623" s="26" t="s">
        <v>718</v>
      </c>
      <c r="C623" s="27" t="s">
        <v>94</v>
      </c>
      <c r="D623" s="27" t="s">
        <v>69</v>
      </c>
      <c r="E623" s="40" t="s">
        <v>7</v>
      </c>
      <c r="F623" s="41">
        <f ca="1">VLOOKUP(B623,'1B'!A1:I63,IF(Settings!$J$13="points",4,7),FALSE)</f>
        <v>59</v>
      </c>
      <c r="G623" s="30">
        <f>(M623*Settings!$B$2)+(N623*Settings!$B$3)+(O623*Settings!$B$4)+(P623*Settings!$B$5)+(Q623*Settings!$B$6)+((T623-U623-V623-O623)*Settings!$B$9)+(U623*Settings!$B$10)+(V623*Settings!$B$11)+(W623*Settings!$B$12)+(X623*Settings!$B$13)+(AA623*Settings!$B$16)</f>
        <v>133.75444444444446</v>
      </c>
      <c r="H623" s="31">
        <f>VLOOKUP(B623,'Standard Deviations'!$A1:$D651,4,FALSE)</f>
        <v>-5.1035184452370936</v>
      </c>
      <c r="I623" s="32">
        <f ca="1">IF(Settings!$J$15="no",VLOOKUP(B623,'1B'!A1:I63,IF(Settings!$J$13="points",6,9),FALSE),VLOOKUP(B623,'1B+3B'!$A1:$I104,IF(Settings!$J$13="points",6,9),FALSE))</f>
        <v>-5.3289957116297249</v>
      </c>
      <c r="J623" s="31"/>
      <c r="K623" s="31">
        <f ca="1">J623-A623</f>
        <v>-622</v>
      </c>
      <c r="L623" s="31"/>
      <c r="M623" s="31">
        <f>VLOOKUP($B623,Hitters!$A1:$R401,4,FALSE)</f>
        <v>204.2222222222222</v>
      </c>
      <c r="N623" s="31">
        <f>VLOOKUP($B623,Hitters!$A1:$R401,5,FALSE)</f>
        <v>29.012222222222221</v>
      </c>
      <c r="O623" s="31">
        <f>VLOOKUP($B623,Hitters!$A1:$R401,6,FALSE)</f>
        <v>6.07</v>
      </c>
      <c r="P623" s="31">
        <f>VLOOKUP($B623,Hitters!$A1:$R401,7,FALSE)</f>
        <v>23.943333333333332</v>
      </c>
      <c r="Q623" s="31">
        <f>VLOOKUP($B623,Hitters!$A1:$R401,8,FALSE)</f>
        <v>3.0233333333333334</v>
      </c>
      <c r="R623" s="33">
        <f>VLOOKUP($B623,Hitters!$A$1:$R$401,14,FALSE)</f>
        <v>0.22128944504896628</v>
      </c>
      <c r="S623" s="33">
        <f>VLOOKUP($B623,Hitters!$A$1:$R$401,15,FALSE)</f>
        <v>0.32940945385444648</v>
      </c>
      <c r="T623" s="31">
        <f>VLOOKUP($B623,Hitters!$A$1:$R$401,9,FALSE)</f>
        <v>45.19222222222222</v>
      </c>
      <c r="U623" s="31">
        <f>VLOOKUP($B623,Hitters!$A$1:$R$401,10,FALSE)</f>
        <v>10.568888888888889</v>
      </c>
      <c r="V623" s="31">
        <f>VLOOKUP($B623,Hitters!$A$1:$R$401,11,FALSE)</f>
        <v>0.99555555555555564</v>
      </c>
      <c r="W623" s="31">
        <f>VLOOKUP($B623,Hitters!$A$1:$R$401,12,FALSE)</f>
        <v>29.827777777777779</v>
      </c>
      <c r="X623" s="31">
        <f>VLOOKUP($B623,Hitters!$A$1:$R$401,13,FALSE)</f>
        <v>62.075555555555553</v>
      </c>
      <c r="Y623" s="33">
        <f>VLOOKUP($B623,Hitters!$A$1:$R$401,16,FALSE)</f>
        <v>0.37195865070729056</v>
      </c>
      <c r="Z623" s="33">
        <f>VLOOKUP($B623,Hitters!$A$1:$R$401,17,FALSE)</f>
        <v>0.70136810456173704</v>
      </c>
      <c r="AA623" s="31">
        <f>VLOOKUP($B623,Hitters!$A1:$R401,18,FALSE)</f>
        <v>0</v>
      </c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</row>
    <row r="624" spans="1:44" ht="18.600000000000001" customHeight="1">
      <c r="A624" s="25">
        <f ca="1">RANK(I624,I$2:I$651)</f>
        <v>623</v>
      </c>
      <c r="B624" s="26" t="s">
        <v>686</v>
      </c>
      <c r="C624" s="27" t="s">
        <v>120</v>
      </c>
      <c r="D624" s="27" t="s">
        <v>74</v>
      </c>
      <c r="E624" s="44" t="s">
        <v>112</v>
      </c>
      <c r="F624" s="45">
        <f ca="1">VLOOKUP(B624,'1B'!A1:I63,IF(Settings!$J$13="points",4,7),FALSE)</f>
        <v>51</v>
      </c>
      <c r="G624" s="30">
        <f>(M624*Settings!$B$2)+(N624*Settings!$B$3)+(O624*Settings!$B$4)+(P624*Settings!$B$5)+(Q624*Settings!$B$6)+((T624-U624-V624-O624)*Settings!$B$9)+(U624*Settings!$B$10)+(V624*Settings!$B$11)+(W624*Settings!$B$12)+(X624*Settings!$B$13)+(AA624*Settings!$B$16)</f>
        <v>157.31499999999997</v>
      </c>
      <c r="H624" s="31">
        <f>VLOOKUP(B624,'Standard Deviations'!$A1:$D651,4,FALSE)</f>
        <v>-3.5611082427368701</v>
      </c>
      <c r="I624" s="32">
        <f ca="1">VLOOKUP(B624,'1B'!A1:I63,IF(Settings!$J$13="points",6,9),FALSE)</f>
        <v>-5.3532310373013603</v>
      </c>
      <c r="J624" s="31"/>
      <c r="K624" s="31">
        <f ca="1">J624-A624</f>
        <v>-623</v>
      </c>
      <c r="L624" s="31"/>
      <c r="M624" s="31">
        <f>VLOOKUP($B624,Hitters!$A1:$R401,4,FALSE)</f>
        <v>253.6</v>
      </c>
      <c r="N624" s="31">
        <f>VLOOKUP($B624,Hitters!$A1:$R401,5,FALSE)</f>
        <v>32.30555555555555</v>
      </c>
      <c r="O624" s="31">
        <f>VLOOKUP($B624,Hitters!$A1:$R401,6,FALSE)</f>
        <v>9.9283333333333346</v>
      </c>
      <c r="P624" s="31">
        <f>VLOOKUP($B624,Hitters!$A1:$R401,7,FALSE)</f>
        <v>33.755555555555553</v>
      </c>
      <c r="Q624" s="31">
        <f>VLOOKUP($B624,Hitters!$A1:$R401,8,FALSE)</f>
        <v>2.0483333333333333</v>
      </c>
      <c r="R624" s="33">
        <f>VLOOKUP($B624,Hitters!$A$1:$R$401,14,FALSE)</f>
        <v>0.23274185068349107</v>
      </c>
      <c r="S624" s="33">
        <f>VLOOKUP($B624,Hitters!$A$1:$R$401,15,FALSE)</f>
        <v>0.31756437007829164</v>
      </c>
      <c r="T624" s="31">
        <f>VLOOKUP($B624,Hitters!$A$1:$R$401,9,FALSE)</f>
        <v>59.023333333333333</v>
      </c>
      <c r="U624" s="31">
        <f>VLOOKUP($B624,Hitters!$A$1:$R$401,10,FALSE)</f>
        <v>10.181111111111111</v>
      </c>
      <c r="V624" s="31">
        <f>VLOOKUP($B624,Hitters!$A$1:$R$401,11,FALSE)</f>
        <v>1.3333333333333331E-2</v>
      </c>
      <c r="W624" s="31">
        <f>VLOOKUP($B624,Hitters!$A$1:$R$401,12,FALSE)</f>
        <v>27.54111111111111</v>
      </c>
      <c r="X624" s="31">
        <f>VLOOKUP($B624,Hitters!$A$1:$R$401,13,FALSE)</f>
        <v>78.8</v>
      </c>
      <c r="Y624" s="33">
        <f>VLOOKUP($B624,Hitters!$A$1:$R$401,16,FALSE)</f>
        <v>0.3904420785138451</v>
      </c>
      <c r="Z624" s="33">
        <f>VLOOKUP($B624,Hitters!$A$1:$R$401,17,FALSE)</f>
        <v>0.70800644859213668</v>
      </c>
      <c r="AA624" s="31">
        <f>VLOOKUP($B624,Hitters!$A1:$R401,18,FALSE)</f>
        <v>0</v>
      </c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</row>
    <row r="625" spans="1:44" ht="18.600000000000001" customHeight="1">
      <c r="A625" s="25">
        <f ca="1">RANK(I625,I$2:I$651)</f>
        <v>624</v>
      </c>
      <c r="B625" s="26" t="s">
        <v>685</v>
      </c>
      <c r="C625" s="27" t="s">
        <v>134</v>
      </c>
      <c r="D625" s="27" t="s">
        <v>74</v>
      </c>
      <c r="E625" s="34" t="s">
        <v>15</v>
      </c>
      <c r="F625" s="35">
        <f ca="1">VLOOKUP(B625,'3B'!A1:I55,IF(Settings!$J$13="points",4,7),FALSE)</f>
        <v>49</v>
      </c>
      <c r="G625" s="30">
        <f>(M625*Settings!$B$2)+(N625*Settings!$B$3)+(O625*Settings!$B$4)+(P625*Settings!$B$5)+(Q625*Settings!$B$6)+((T625-U625-V625-O625)*Settings!$B$9)+(U625*Settings!$B$10)+(V625*Settings!$B$11)+(W625*Settings!$B$12)+(X625*Settings!$B$13)+(AA625*Settings!$B$16)</f>
        <v>87.008888888888876</v>
      </c>
      <c r="H625" s="31">
        <f>VLOOKUP(B625,'Standard Deviations'!$A1:$D651,4,FALSE)</f>
        <v>-5.1560622234923361</v>
      </c>
      <c r="I625" s="32">
        <f ca="1">IF(Settings!$J$15="no",VLOOKUP(B625,'3B'!A1:I55,IF(Settings!$J$13="points",6,9),FALSE),VLOOKUP(B625,'1B+3B'!$A1:$I104,IF(Settings!$J$13="points",6,9),FALSE))</f>
        <v>-5.3815425558444137</v>
      </c>
      <c r="J625" s="31"/>
      <c r="K625" s="31">
        <f ca="1">J625-A625</f>
        <v>-624</v>
      </c>
      <c r="L625" s="31"/>
      <c r="M625" s="31">
        <f>VLOOKUP($B625,Hitters!$A1:$R401,4,FALSE)</f>
        <v>154.48333333333332</v>
      </c>
      <c r="N625" s="31">
        <f>VLOOKUP($B625,Hitters!$A1:$R401,5,FALSE)</f>
        <v>17.446666666666669</v>
      </c>
      <c r="O625" s="31">
        <f>VLOOKUP($B625,Hitters!$A1:$R401,6,FALSE)</f>
        <v>2.5066666666666668</v>
      </c>
      <c r="P625" s="31">
        <f>VLOOKUP($B625,Hitters!$A1:$R401,7,FALSE)</f>
        <v>15.291666666666666</v>
      </c>
      <c r="Q625" s="31">
        <f>VLOOKUP($B625,Hitters!$A1:$R401,8,FALSE)</f>
        <v>0.65555555555555556</v>
      </c>
      <c r="R625" s="33">
        <f>VLOOKUP($B625,Hitters!$A$1:$R$401,14,FALSE)</f>
        <v>0.25301542776998598</v>
      </c>
      <c r="S625" s="33">
        <f>VLOOKUP($B625,Hitters!$A$1:$R$401,15,FALSE)</f>
        <v>0.32632319084831002</v>
      </c>
      <c r="T625" s="31">
        <f>VLOOKUP($B625,Hitters!$A$1:$R$401,9,FALSE)</f>
        <v>39.086666666666666</v>
      </c>
      <c r="U625" s="31">
        <f>VLOOKUP($B625,Hitters!$A$1:$R$401,10,FALSE)</f>
        <v>6.9799999999999995</v>
      </c>
      <c r="V625" s="31">
        <f>VLOOKUP($B625,Hitters!$A$1:$R$401,11,FALSE)</f>
        <v>2.3333333333333331E-2</v>
      </c>
      <c r="W625" s="31">
        <f>VLOOKUP($B625,Hitters!$A$1:$R$401,12,FALSE)</f>
        <v>14.445</v>
      </c>
      <c r="X625" s="31">
        <f>VLOOKUP($B625,Hitters!$A$1:$R$401,13,FALSE)</f>
        <v>30.237777777777779</v>
      </c>
      <c r="Y625" s="33">
        <f>VLOOKUP($B625,Hitters!$A$1:$R$401,16,FALSE)</f>
        <v>0.34717876793613128</v>
      </c>
      <c r="Z625" s="33">
        <f>VLOOKUP($B625,Hitters!$A$1:$R$401,17,FALSE)</f>
        <v>0.6735019587844413</v>
      </c>
      <c r="AA625" s="31">
        <f>VLOOKUP($B625,Hitters!$A1:$R401,18,FALSE)</f>
        <v>0</v>
      </c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</row>
    <row r="626" spans="1:44" ht="18.600000000000001" customHeight="1">
      <c r="A626" s="25">
        <f ca="1">RANK(I626,I$2:I$651)</f>
        <v>625</v>
      </c>
      <c r="B626" s="26" t="s">
        <v>715</v>
      </c>
      <c r="C626" s="27" t="s">
        <v>140</v>
      </c>
      <c r="D626" s="27" t="s">
        <v>69</v>
      </c>
      <c r="E626" s="28" t="s">
        <v>23</v>
      </c>
      <c r="F626" s="29">
        <f ca="1">VLOOKUP(B626,OF!A1:I139,IF(Settings!$J$13="points",4,7),FALSE)</f>
        <v>136</v>
      </c>
      <c r="G626" s="30">
        <f>(M626*Settings!$B$2)+(N626*Settings!$B$3)+(O626*Settings!$B$4)+(P626*Settings!$B$5)+(Q626*Settings!$B$6)+((T626-U626-V626-O626)*Settings!$B$9)+(U626*Settings!$B$10)+(V626*Settings!$B$11)+(W626*Settings!$B$12)+(X626*Settings!$B$13)+(AA626*Settings!$B$16)</f>
        <v>117.11305555555555</v>
      </c>
      <c r="H626" s="31">
        <f>VLOOKUP(B626,'Standard Deviations'!$A1:$D651,4,FALSE)</f>
        <v>-5.5572903700774088</v>
      </c>
      <c r="I626" s="32">
        <f ca="1">VLOOKUP(B626,OF!A1:I139,IF(Settings!$J$13="points",6,9),FALSE)</f>
        <v>-5.4003572486077562</v>
      </c>
      <c r="J626" s="31"/>
      <c r="K626" s="31">
        <f ca="1">J626-A626</f>
        <v>-625</v>
      </c>
      <c r="L626" s="31"/>
      <c r="M626" s="31">
        <f>VLOOKUP($B626,Hitters!$A1:$R401,4,FALSE)</f>
        <v>239.81111111111113</v>
      </c>
      <c r="N626" s="31">
        <f>VLOOKUP($B626,Hitters!$A1:$R401,5,FALSE)</f>
        <v>24.318888888888889</v>
      </c>
      <c r="O626" s="31">
        <f>VLOOKUP($B626,Hitters!$A1:$R401,6,FALSE)</f>
        <v>4.7877777777777775</v>
      </c>
      <c r="P626" s="31">
        <f>VLOOKUP($B626,Hitters!$A1:$R401,7,FALSE)</f>
        <v>23.317777777777778</v>
      </c>
      <c r="Q626" s="31">
        <f>VLOOKUP($B626,Hitters!$A1:$R401,8,FALSE)</f>
        <v>3.6622222222222223</v>
      </c>
      <c r="R626" s="33">
        <f>VLOOKUP($B626,Hitters!$A$1:$R$401,14,FALSE)</f>
        <v>0.21858407079646014</v>
      </c>
      <c r="S626" s="33">
        <f>VLOOKUP($B626,Hitters!$A$1:$R$401,15,FALSE)</f>
        <v>0.27962755613176965</v>
      </c>
      <c r="T626" s="31">
        <f>VLOOKUP($B626,Hitters!$A$1:$R$401,9,FALSE)</f>
        <v>52.418888888888887</v>
      </c>
      <c r="U626" s="31">
        <f>VLOOKUP($B626,Hitters!$A$1:$R$401,10,FALSE)</f>
        <v>10.627777777777778</v>
      </c>
      <c r="V626" s="31">
        <f>VLOOKUP($B626,Hitters!$A$1:$R$401,11,FALSE)</f>
        <v>1.0066666666666666</v>
      </c>
      <c r="W626" s="31">
        <f>VLOOKUP($B626,Hitters!$A$1:$R$401,12,FALSE)</f>
        <v>16.187777777777779</v>
      </c>
      <c r="X626" s="31">
        <f>VLOOKUP($B626,Hitters!$A$1:$R$401,13,FALSE)</f>
        <v>66.918333333333337</v>
      </c>
      <c r="Y626" s="33">
        <f>VLOOKUP($B626,Hitters!$A$1:$R$401,16,FALSE)</f>
        <v>0.33119121530834444</v>
      </c>
      <c r="Z626" s="33">
        <f>VLOOKUP($B626,Hitters!$A$1:$R$401,17,FALSE)</f>
        <v>0.61081877144011409</v>
      </c>
      <c r="AA626" s="31">
        <f>VLOOKUP($B626,Hitters!$A1:$R401,18,FALSE)</f>
        <v>0</v>
      </c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</row>
    <row r="627" spans="1:44" ht="18.600000000000001" customHeight="1">
      <c r="A627" s="25">
        <f ca="1">RANK(I627,I$2:I$651)</f>
        <v>626</v>
      </c>
      <c r="B627" s="26" t="s">
        <v>731</v>
      </c>
      <c r="C627" s="27" t="s">
        <v>101</v>
      </c>
      <c r="D627" s="27" t="s">
        <v>69</v>
      </c>
      <c r="E627" s="38" t="s">
        <v>27</v>
      </c>
      <c r="F627" s="39">
        <f ca="1">VLOOKUP(B627,SS!A1:I45,IF(Settings!$J$13="points",4,7),FALSE)</f>
        <v>40</v>
      </c>
      <c r="G627" s="30">
        <f>(M627*Settings!$B$2)+(N627*Settings!$B$3)+(O627*Settings!$B$4)+(P627*Settings!$B$5)+(Q627*Settings!$B$6)+((T627-U627-V627-O627)*Settings!$B$9)+(U627*Settings!$B$10)+(V627*Settings!$B$11)+(W627*Settings!$B$12)+(X627*Settings!$B$13)+(AA627*Settings!$B$16)</f>
        <v>135.26111111111109</v>
      </c>
      <c r="H627" s="31">
        <f>VLOOKUP(B627,'Standard Deviations'!$A1:$D651,4,FALSE)</f>
        <v>-5.4557991200065636</v>
      </c>
      <c r="I627" s="32">
        <f ca="1">IF(Settings!$J$16="no",VLOOKUP(B627,SS!A1:I45,IF(Settings!$J$13="points",6,9),FALSE),VLOOKUP(B627,'2B+SS'!$A1:$I94,IF(Settings!$J$13="points",6,9),FALSE))</f>
        <v>-5.4618387807281978</v>
      </c>
      <c r="J627" s="31"/>
      <c r="K627" s="31">
        <f ca="1">J627-A627</f>
        <v>-626</v>
      </c>
      <c r="L627" s="31"/>
      <c r="M627" s="31">
        <f>VLOOKUP($B627,Hitters!$A1:$R401,4,FALSE)</f>
        <v>225.68888888888887</v>
      </c>
      <c r="N627" s="31">
        <f>VLOOKUP($B627,Hitters!$A1:$R401,5,FALSE)</f>
        <v>28.177777777777777</v>
      </c>
      <c r="O627" s="31">
        <f>VLOOKUP($B627,Hitters!$A1:$R401,6,FALSE)</f>
        <v>4.6622222222222218</v>
      </c>
      <c r="P627" s="31">
        <f>VLOOKUP($B627,Hitters!$A1:$R401,7,FALSE)</f>
        <v>23.071111111111112</v>
      </c>
      <c r="Q627" s="31">
        <f>VLOOKUP($B627,Hitters!$A1:$R401,8,FALSE)</f>
        <v>6.9911111111111106</v>
      </c>
      <c r="R627" s="33">
        <f>VLOOKUP($B627,Hitters!$A$1:$R$401,14,FALSE)</f>
        <v>0.20858113430484446</v>
      </c>
      <c r="S627" s="33">
        <f>VLOOKUP($B627,Hitters!$A$1:$R$401,15,FALSE)</f>
        <v>0.3057843650963471</v>
      </c>
      <c r="T627" s="31">
        <f>VLOOKUP($B627,Hitters!$A$1:$R$401,9,FALSE)</f>
        <v>47.074444444444445</v>
      </c>
      <c r="U627" s="31">
        <f>VLOOKUP($B627,Hitters!$A$1:$R$401,10,FALSE)</f>
        <v>11.325555555555555</v>
      </c>
      <c r="V627" s="31">
        <f>VLOOKUP($B627,Hitters!$A$1:$R$401,11,FALSE)</f>
        <v>0.99888888888888883</v>
      </c>
      <c r="W627" s="31">
        <f>VLOOKUP($B627,Hitters!$A$1:$R$401,12,FALSE)</f>
        <v>27.946666666666669</v>
      </c>
      <c r="X627" s="31">
        <f>VLOOKUP($B627,Hitters!$A$1:$R$401,13,FALSE)</f>
        <v>64.602222222222224</v>
      </c>
      <c r="Y627" s="33">
        <f>VLOOKUP($B627,Hitters!$A$1:$R$401,16,FALSE)</f>
        <v>0.3295884206380465</v>
      </c>
      <c r="Z627" s="33">
        <f>VLOOKUP($B627,Hitters!$A$1:$R$401,17,FALSE)</f>
        <v>0.6353727857343936</v>
      </c>
      <c r="AA627" s="31">
        <f>VLOOKUP($B627,Hitters!$A1:$R401,18,FALSE)</f>
        <v>0</v>
      </c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</row>
    <row r="628" spans="1:44" ht="18.600000000000001" customHeight="1">
      <c r="A628" s="25">
        <f ca="1">RANK(I628,I$2:I$651)</f>
        <v>627</v>
      </c>
      <c r="B628" s="26" t="s">
        <v>706</v>
      </c>
      <c r="C628" s="27" t="s">
        <v>78</v>
      </c>
      <c r="D628" s="27" t="s">
        <v>69</v>
      </c>
      <c r="E628" s="34" t="s">
        <v>15</v>
      </c>
      <c r="F628" s="35">
        <f ca="1">VLOOKUP(B628,'3B'!A1:I55,IF(Settings!$J$13="points",4,7),FALSE)</f>
        <v>50</v>
      </c>
      <c r="G628" s="30">
        <f>(M628*Settings!$B$2)+(N628*Settings!$B$3)+(O628*Settings!$B$4)+(P628*Settings!$B$5)+(Q628*Settings!$B$6)+((T628-U628-V628-O628)*Settings!$B$9)+(U628*Settings!$B$10)+(V628*Settings!$B$11)+(W628*Settings!$B$12)+(X628*Settings!$B$13)+(AA628*Settings!$B$16)</f>
        <v>98.310833333333335</v>
      </c>
      <c r="H628" s="31">
        <f>VLOOKUP(B628,'Standard Deviations'!$A1:$D651,4,FALSE)</f>
        <v>-5.2668929688678645</v>
      </c>
      <c r="I628" s="32">
        <f ca="1">IF(Settings!$J$15="no",VLOOKUP(B628,'3B'!A1:I55,IF(Settings!$J$13="points",6,9),FALSE),VLOOKUP(B628,'1B+3B'!$A1:$I104,IF(Settings!$J$13="points",6,9),FALSE))</f>
        <v>-5.4923729852049554</v>
      </c>
      <c r="J628" s="31"/>
      <c r="K628" s="31">
        <f ca="1">J628-A628</f>
        <v>-627</v>
      </c>
      <c r="L628" s="31"/>
      <c r="M628" s="31">
        <f>VLOOKUP($B628,Hitters!$A1:$R401,4,FALSE)</f>
        <v>164.43333333333334</v>
      </c>
      <c r="N628" s="31">
        <f>VLOOKUP($B628,Hitters!$A1:$R401,5,FALSE)</f>
        <v>20.391111111111112</v>
      </c>
      <c r="O628" s="31">
        <f>VLOOKUP($B628,Hitters!$A1:$R401,6,FALSE)</f>
        <v>3.1199999999999997</v>
      </c>
      <c r="P628" s="31">
        <f>VLOOKUP($B628,Hitters!$A1:$R401,7,FALSE)</f>
        <v>17.658888888888889</v>
      </c>
      <c r="Q628" s="31">
        <f>VLOOKUP($B628,Hitters!$A1:$R401,8,FALSE)</f>
        <v>3.186666666666667</v>
      </c>
      <c r="R628" s="33">
        <f>VLOOKUP($B628,Hitters!$A$1:$R$401,14,FALSE)</f>
        <v>0.23785390904790865</v>
      </c>
      <c r="S628" s="33">
        <f>VLOOKUP($B628,Hitters!$A$1:$R$401,15,FALSE)</f>
        <v>0.32163495927311958</v>
      </c>
      <c r="T628" s="31">
        <f>VLOOKUP($B628,Hitters!$A$1:$R$401,9,FALSE)</f>
        <v>39.111111111111114</v>
      </c>
      <c r="U628" s="31">
        <f>VLOOKUP($B628,Hitters!$A$1:$R$401,10,FALSE)</f>
        <v>8.7533333333333321</v>
      </c>
      <c r="V628" s="31">
        <f>VLOOKUP($B628,Hitters!$A$1:$R$401,11,FALSE)</f>
        <v>0.99444444444444446</v>
      </c>
      <c r="W628" s="31">
        <f>VLOOKUP($B628,Hitters!$A$1:$R$401,12,FALSE)</f>
        <v>17.756666666666664</v>
      </c>
      <c r="X628" s="31">
        <f>VLOOKUP($B628,Hitters!$A$1:$R$401,13,FALSE)</f>
        <v>46.164999999999999</v>
      </c>
      <c r="Y628" s="33">
        <f>VLOOKUP($B628,Hitters!$A$1:$R$401,16,FALSE)</f>
        <v>0.36010541252787348</v>
      </c>
      <c r="Z628" s="33">
        <f>VLOOKUP($B628,Hitters!$A$1:$R$401,17,FALSE)</f>
        <v>0.68174037180099312</v>
      </c>
      <c r="AA628" s="31">
        <f>VLOOKUP($B628,Hitters!$A1:$R401,18,FALSE)</f>
        <v>0</v>
      </c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</row>
    <row r="629" spans="1:44" ht="18.600000000000001" customHeight="1">
      <c r="A629" s="25">
        <f ca="1">RANK(I629,I$2:I$651)</f>
        <v>628</v>
      </c>
      <c r="B629" s="26" t="s">
        <v>656</v>
      </c>
      <c r="C629" s="27" t="s">
        <v>158</v>
      </c>
      <c r="D629" s="27" t="s">
        <v>74</v>
      </c>
      <c r="E629" s="44" t="s">
        <v>112</v>
      </c>
      <c r="F629" s="45">
        <f ca="1">VLOOKUP(B629,'1B'!A1:I63,IF(Settings!$J$13="points",4,7),FALSE)</f>
        <v>52</v>
      </c>
      <c r="G629" s="30">
        <f>(M629*Settings!$B$2)+(N629*Settings!$B$3)+(O629*Settings!$B$4)+(P629*Settings!$B$5)+(Q629*Settings!$B$6)+((T629-U629-V629-O629)*Settings!$B$9)+(U629*Settings!$B$10)+(V629*Settings!$B$11)+(W629*Settings!$B$12)+(X629*Settings!$B$13)+(AA629*Settings!$B$16)</f>
        <v>137.2727777777778</v>
      </c>
      <c r="H629" s="31">
        <f>VLOOKUP(B629,'Standard Deviations'!$A1:$D651,4,FALSE)</f>
        <v>-3.7010744274485079</v>
      </c>
      <c r="I629" s="32">
        <f ca="1">VLOOKUP(B629,'1B'!A1:I63,IF(Settings!$J$13="points",6,9),FALSE)</f>
        <v>-5.4932029026724596</v>
      </c>
      <c r="J629" s="31"/>
      <c r="K629" s="31">
        <f ca="1">J629-A629</f>
        <v>-628</v>
      </c>
      <c r="L629" s="31"/>
      <c r="M629" s="31">
        <f>VLOOKUP($B629,Hitters!$A1:$R401,4,FALSE)</f>
        <v>216.64444444444442</v>
      </c>
      <c r="N629" s="31">
        <f>VLOOKUP($B629,Hitters!$A1:$R401,5,FALSE)</f>
        <v>27.254444444444445</v>
      </c>
      <c r="O629" s="31">
        <f>VLOOKUP($B629,Hitters!$A1:$R401,6,FALSE)</f>
        <v>9.8488888888888884</v>
      </c>
      <c r="P629" s="31">
        <f>VLOOKUP($B629,Hitters!$A1:$R401,7,FALSE)</f>
        <v>31.203333333333333</v>
      </c>
      <c r="Q629" s="31">
        <f>VLOOKUP($B629,Hitters!$A1:$R401,8,FALSE)</f>
        <v>1.0216666666666667</v>
      </c>
      <c r="R629" s="33">
        <f>VLOOKUP($B629,Hitters!$A$1:$R$401,14,FALSE)</f>
        <v>0.23971176530926255</v>
      </c>
      <c r="S629" s="33">
        <f>VLOOKUP($B629,Hitters!$A$1:$R$401,15,FALSE)</f>
        <v>0.31008284505584754</v>
      </c>
      <c r="T629" s="31">
        <f>VLOOKUP($B629,Hitters!$A$1:$R$401,9,FALSE)</f>
        <v>51.932222222222229</v>
      </c>
      <c r="U629" s="31">
        <f>VLOOKUP($B629,Hitters!$A$1:$R$401,10,FALSE)</f>
        <v>9.3655555555555559</v>
      </c>
      <c r="V629" s="31">
        <f>VLOOKUP($B629,Hitters!$A$1:$R$401,11,FALSE)</f>
        <v>1.0116666666666667</v>
      </c>
      <c r="W629" s="31">
        <f>VLOOKUP($B629,Hitters!$A$1:$R$401,12,FALSE)</f>
        <v>18.628888888888891</v>
      </c>
      <c r="X629" s="31">
        <f>VLOOKUP($B629,Hitters!$A$1:$R$401,13,FALSE)</f>
        <v>69.45</v>
      </c>
      <c r="Y629" s="33">
        <f>VLOOKUP($B629,Hitters!$A$1:$R$401,16,FALSE)</f>
        <v>0.42866447840804189</v>
      </c>
      <c r="Z629" s="33">
        <f>VLOOKUP($B629,Hitters!$A$1:$R$401,17,FALSE)</f>
        <v>0.73874732346388949</v>
      </c>
      <c r="AA629" s="31">
        <f>VLOOKUP($B629,Hitters!$A1:$R401,18,FALSE)</f>
        <v>0</v>
      </c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</row>
    <row r="630" spans="1:44" ht="18.600000000000001" customHeight="1">
      <c r="A630" s="25">
        <f ca="1">RANK(I630,I$2:I$651)</f>
        <v>629</v>
      </c>
      <c r="B630" s="26" t="s">
        <v>633</v>
      </c>
      <c r="C630" s="27"/>
      <c r="D630" s="27" t="s">
        <v>69</v>
      </c>
      <c r="E630" s="40" t="s">
        <v>7</v>
      </c>
      <c r="F630" s="41">
        <f ca="1">VLOOKUP(B630,'1B'!A1:I63,IF(Settings!$J$13="points",4,7),FALSE)</f>
        <v>60</v>
      </c>
      <c r="G630" s="30">
        <f>(M630*Settings!$B$2)+(N630*Settings!$B$3)+(O630*Settings!$B$4)+(P630*Settings!$B$5)+(Q630*Settings!$B$6)+((T630-U630-V630-O630)*Settings!$B$9)+(U630*Settings!$B$10)+(V630*Settings!$B$11)+(W630*Settings!$B$12)+(X630*Settings!$B$13)+(AA630*Settings!$B$16)</f>
        <v>105.88277777777776</v>
      </c>
      <c r="H630" s="31">
        <f>VLOOKUP(B630,'Standard Deviations'!$A1:$D651,4,FALSE)</f>
        <v>-5.2709858891184869</v>
      </c>
      <c r="I630" s="32">
        <f ca="1">IF(Settings!$J$15="no",VLOOKUP(B630,'1B'!A1:I63,IF(Settings!$J$13="points",6,9),FALSE),VLOOKUP(B630,'1B+3B'!$A1:$I104,IF(Settings!$J$13="points",6,9),FALSE))</f>
        <v>-5.4964677072448405</v>
      </c>
      <c r="J630" s="31"/>
      <c r="K630" s="31">
        <f ca="1">J630-A630</f>
        <v>-629</v>
      </c>
      <c r="L630" s="31"/>
      <c r="M630" s="31">
        <f>VLOOKUP($B630,Hitters!$A1:$R401,4,FALSE)</f>
        <v>166.24444444444444</v>
      </c>
      <c r="N630" s="31">
        <f>VLOOKUP($B630,Hitters!$A1:$R401,5,FALSE)</f>
        <v>21.652222222222221</v>
      </c>
      <c r="O630" s="31">
        <f>VLOOKUP($B630,Hitters!$A1:$R401,6,FALSE)</f>
        <v>7.9955555555555557</v>
      </c>
      <c r="P630" s="31">
        <f>VLOOKUP($B630,Hitters!$A1:$R401,7,FALSE)</f>
        <v>24.99</v>
      </c>
      <c r="Q630" s="31">
        <f>VLOOKUP($B630,Hitters!$A1:$R401,8,FALSE)</f>
        <v>4.1666666666666664E-2</v>
      </c>
      <c r="R630" s="33">
        <f>VLOOKUP($B630,Hitters!$A$1:$R$401,14,FALSE)</f>
        <v>0.22711535890923676</v>
      </c>
      <c r="S630" s="33">
        <f>VLOOKUP($B630,Hitters!$A$1:$R$401,15,FALSE)</f>
        <v>0.31197422152161924</v>
      </c>
      <c r="T630" s="31">
        <f>VLOOKUP($B630,Hitters!$A$1:$R$401,9,FALSE)</f>
        <v>37.756666666666668</v>
      </c>
      <c r="U630" s="31">
        <f>VLOOKUP($B630,Hitters!$A$1:$R$401,10,FALSE)</f>
        <v>7.0166666666666666</v>
      </c>
      <c r="V630" s="31">
        <f>VLOOKUP($B630,Hitters!$A$1:$R$401,11,FALSE)</f>
        <v>2.1666666666666667E-2</v>
      </c>
      <c r="W630" s="31">
        <f>VLOOKUP($B630,Hitters!$A$1:$R$401,12,FALSE)</f>
        <v>17.855555555555554</v>
      </c>
      <c r="X630" s="31">
        <f>VLOOKUP($B630,Hitters!$A$1:$R$401,13,FALSE)</f>
        <v>55.00333333333333</v>
      </c>
      <c r="Y630" s="33">
        <f>VLOOKUP($B630,Hitters!$A$1:$R$401,16,FALSE)</f>
        <v>0.41386846678251571</v>
      </c>
      <c r="Z630" s="33">
        <f>VLOOKUP($B630,Hitters!$A$1:$R$401,17,FALSE)</f>
        <v>0.7258426883041349</v>
      </c>
      <c r="AA630" s="31">
        <f>VLOOKUP($B630,Hitters!$A1:$R401,18,FALSE)</f>
        <v>0</v>
      </c>
      <c r="AB630" s="31"/>
      <c r="AC630" s="31"/>
      <c r="AD630" s="33"/>
      <c r="AE630" s="33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</row>
    <row r="631" spans="1:44" ht="18.600000000000001" customHeight="1">
      <c r="A631" s="25">
        <f ca="1">RANK(I631,I$2:I$651)</f>
        <v>630</v>
      </c>
      <c r="B631" s="26" t="s">
        <v>732</v>
      </c>
      <c r="C631" s="27" t="s">
        <v>120</v>
      </c>
      <c r="D631" s="27" t="s">
        <v>74</v>
      </c>
      <c r="E631" s="38" t="s">
        <v>27</v>
      </c>
      <c r="F631" s="39">
        <f ca="1">VLOOKUP(B631,SS!A1:I45,IF(Settings!$J$13="points",4,7),FALSE)</f>
        <v>41</v>
      </c>
      <c r="G631" s="30">
        <f>(M631*Settings!$B$2)+(N631*Settings!$B$3)+(O631*Settings!$B$4)+(P631*Settings!$B$5)+(Q631*Settings!$B$6)+((T631-U631-V631-O631)*Settings!$B$9)+(U631*Settings!$B$10)+(V631*Settings!$B$11)+(W631*Settings!$B$12)+(X631*Settings!$B$13)+(AA631*Settings!$B$16)</f>
        <v>111.70666666666666</v>
      </c>
      <c r="H631" s="31">
        <f>VLOOKUP(B631,'Standard Deviations'!$A1:$D651,4,FALSE)</f>
        <v>-5.5686509391267505</v>
      </c>
      <c r="I631" s="32">
        <f ca="1">IF(Settings!$J$16="no",VLOOKUP(B631,SS!A1:I45,IF(Settings!$J$13="points",6,9),FALSE),VLOOKUP(B631,'2B+SS'!$A1:$I94,IF(Settings!$J$13="points",6,9),FALSE))</f>
        <v>-5.5746892102958947</v>
      </c>
      <c r="J631" s="31"/>
      <c r="K631" s="31">
        <f ca="1">J631-A631</f>
        <v>-630</v>
      </c>
      <c r="L631" s="31"/>
      <c r="M631" s="31">
        <f>VLOOKUP($B631,Hitters!$A1:$R401,4,FALSE)</f>
        <v>192.45555555555555</v>
      </c>
      <c r="N631" s="31">
        <f>VLOOKUP($B631,Hitters!$A1:$R401,5,FALSE)</f>
        <v>24.2</v>
      </c>
      <c r="O631" s="31">
        <f>VLOOKUP($B631,Hitters!$A1:$R401,6,FALSE)</f>
        <v>2.9955555555555553</v>
      </c>
      <c r="P631" s="31">
        <f>VLOOKUP($B631,Hitters!$A1:$R401,7,FALSE)</f>
        <v>18.134444444444444</v>
      </c>
      <c r="Q631" s="31">
        <f>VLOOKUP($B631,Hitters!$A1:$R401,8,FALSE)</f>
        <v>4.681111111111111</v>
      </c>
      <c r="R631" s="33">
        <f>VLOOKUP($B631,Hitters!$A$1:$R$401,14,FALSE)</f>
        <v>0.2245424629062987</v>
      </c>
      <c r="S631" s="33">
        <f>VLOOKUP($B631,Hitters!$A$1:$R$401,15,FALSE)</f>
        <v>0.31353250416209022</v>
      </c>
      <c r="T631" s="31">
        <f>VLOOKUP($B631,Hitters!$A$1:$R$401,9,FALSE)</f>
        <v>43.214444444444439</v>
      </c>
      <c r="U631" s="31">
        <f>VLOOKUP($B631,Hitters!$A$1:$R$401,10,FALSE)</f>
        <v>6.916666666666667</v>
      </c>
      <c r="V631" s="31">
        <f>VLOOKUP($B631,Hitters!$A$1:$R$401,11,FALSE)</f>
        <v>1.0216666666666667</v>
      </c>
      <c r="W631" s="31">
        <f>VLOOKUP($B631,Hitters!$A$1:$R$401,12,FALSE)</f>
        <v>21.895555555555557</v>
      </c>
      <c r="X631" s="31">
        <f>VLOOKUP($B631,Hitters!$A$1:$R$401,13,FALSE)</f>
        <v>46.093333333333334</v>
      </c>
      <c r="Y631" s="33">
        <f>VLOOKUP($B631,Hitters!$A$1:$R$401,16,FALSE)</f>
        <v>0.31779342994053461</v>
      </c>
      <c r="Z631" s="33">
        <f>VLOOKUP($B631,Hitters!$A$1:$R$401,17,FALSE)</f>
        <v>0.63132593410262483</v>
      </c>
      <c r="AA631" s="31">
        <f>VLOOKUP($B631,Hitters!$A1:$R401,18,FALSE)</f>
        <v>0</v>
      </c>
      <c r="AB631" s="31"/>
      <c r="AC631" s="31"/>
      <c r="AD631" s="33"/>
      <c r="AE631" s="33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</row>
    <row r="632" spans="1:44" ht="18.600000000000001" customHeight="1">
      <c r="A632" s="25">
        <f ca="1">RANK(I632,I$2:I$651)</f>
        <v>631</v>
      </c>
      <c r="B632" s="50" t="s">
        <v>693</v>
      </c>
      <c r="C632" s="50" t="s">
        <v>223</v>
      </c>
      <c r="D632" s="27" t="s">
        <v>74</v>
      </c>
      <c r="E632" s="46" t="s">
        <v>19</v>
      </c>
      <c r="F632" s="47">
        <f ca="1">VLOOKUP(B632,'C'!A1:I54,IF(Settings!$J$13="points",4,7),FALSE)</f>
        <v>52</v>
      </c>
      <c r="G632" s="30">
        <f>(M632*Settings!$B$2)+(N632*Settings!$B$3)+(O632*Settings!$B$4)+(P632*Settings!$B$5)+(Q632*Settings!$B$6)+((T632-U632-V632-O632)*Settings!$B$9)+(U632*Settings!$B$10)+(V632*Settings!$B$11)+(W632*Settings!$B$12)+(X632*Settings!$B$13)+(AA632*Settings!$B$16)</f>
        <v>97.474444444444444</v>
      </c>
      <c r="H632" s="31">
        <f>VLOOKUP(B632,'Standard Deviations'!$A1:$D651,4,FALSE)</f>
        <v>-6.3670924655874117</v>
      </c>
      <c r="I632" s="32">
        <f ca="1">VLOOKUP(B632,'C'!A1:I54,IF(Settings!$J$13="points",6,9),FALSE)</f>
        <v>-5.5805737364150847</v>
      </c>
      <c r="J632" s="31"/>
      <c r="K632" s="31">
        <f ca="1">J632-A632</f>
        <v>-631</v>
      </c>
      <c r="L632" s="31"/>
      <c r="M632" s="31">
        <f>VLOOKUP($B632,Hitters!$A1:$R401,4,FALSE)</f>
        <v>174.23333333333335</v>
      </c>
      <c r="N632" s="31">
        <f>VLOOKUP($B632,Hitters!$A1:$R401,5,FALSE)</f>
        <v>20.921111111111113</v>
      </c>
      <c r="O632" s="31">
        <f>VLOOKUP($B632,Hitters!$A1:$R401,6,FALSE)</f>
        <v>6.0533333333333337</v>
      </c>
      <c r="P632" s="31">
        <f>VLOOKUP($B632,Hitters!$A1:$R401,7,FALSE)</f>
        <v>21.538888888888891</v>
      </c>
      <c r="Q632" s="31">
        <f>VLOOKUP($B632,Hitters!$A1:$R401,8,FALSE)</f>
        <v>3.6666666666666667E-2</v>
      </c>
      <c r="R632" s="33">
        <f>VLOOKUP($B632,Hitters!$A$1:$R$401,14,FALSE)</f>
        <v>0.21446336330591159</v>
      </c>
      <c r="S632" s="33">
        <f>VLOOKUP($B632,Hitters!$A$1:$R$401,15,FALSE)</f>
        <v>0.31238134587763428</v>
      </c>
      <c r="T632" s="31">
        <f>VLOOKUP($B632,Hitters!$A$1:$R$401,9,FALSE)</f>
        <v>37.366666666666667</v>
      </c>
      <c r="U632" s="31">
        <f>VLOOKUP($B632,Hitters!$A$1:$R$401,10,FALSE)</f>
        <v>7.0716666666666663</v>
      </c>
      <c r="V632" s="31">
        <f>VLOOKUP($B632,Hitters!$A$1:$R$401,11,FALSE)</f>
        <v>6.6666666666666654E-3</v>
      </c>
      <c r="W632" s="31">
        <f>VLOOKUP($B632,Hitters!$A$1:$R$401,12,FALSE)</f>
        <v>22.03833333333333</v>
      </c>
      <c r="X632" s="31">
        <f>VLOOKUP($B632,Hitters!$A$1:$R$401,13,FALSE)</f>
        <v>59.417777777777779</v>
      </c>
      <c r="Y632" s="33">
        <f>VLOOKUP($B632,Hitters!$A$1:$R$401,16,FALSE)</f>
        <v>0.35935527070977613</v>
      </c>
      <c r="Z632" s="33">
        <f>VLOOKUP($B632,Hitters!$A$1:$R$401,17,FALSE)</f>
        <v>0.67173661658741035</v>
      </c>
      <c r="AA632" s="31">
        <f>VLOOKUP($B632,Hitters!$A1:$R401,18,FALSE)</f>
        <v>0</v>
      </c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</row>
    <row r="633" spans="1:44" ht="18.600000000000001" customHeight="1">
      <c r="A633" s="25">
        <f ca="1">RANK(I633,I$2:I$651)</f>
        <v>632</v>
      </c>
      <c r="B633" s="26" t="s">
        <v>703</v>
      </c>
      <c r="C633" s="27" t="s">
        <v>258</v>
      </c>
      <c r="D633" s="27" t="s">
        <v>69</v>
      </c>
      <c r="E633" s="44" t="s">
        <v>112</v>
      </c>
      <c r="F633" s="45">
        <f ca="1">VLOOKUP(B633,'1B'!A1:I63,IF(Settings!$J$13="points",4,7),FALSE)</f>
        <v>53</v>
      </c>
      <c r="G633" s="30">
        <f>(M633*Settings!$B$2)+(N633*Settings!$B$3)+(O633*Settings!$B$4)+(P633*Settings!$B$5)+(Q633*Settings!$B$6)+((T633-U633-V633-O633)*Settings!$B$9)+(U633*Settings!$B$10)+(V633*Settings!$B$11)+(W633*Settings!$B$12)+(X633*Settings!$B$13)+(AA633*Settings!$B$16)</f>
        <v>149.4</v>
      </c>
      <c r="H633" s="31">
        <f>VLOOKUP(B633,'Standard Deviations'!$A1:$D651,4,FALSE)</f>
        <v>-3.8874889381250832</v>
      </c>
      <c r="I633" s="32">
        <f ca="1">VLOOKUP(B633,'1B'!A1:I63,IF(Settings!$J$13="points",6,9),FALSE)</f>
        <v>-5.6796091052497282</v>
      </c>
      <c r="J633" s="31"/>
      <c r="K633" s="31">
        <f ca="1">J633-A633</f>
        <v>-632</v>
      </c>
      <c r="L633" s="31"/>
      <c r="M633" s="31">
        <f>VLOOKUP($B633,Hitters!$A1:$R401,4,FALSE)</f>
        <v>294.59999999999997</v>
      </c>
      <c r="N633" s="31">
        <f>VLOOKUP($B633,Hitters!$A1:$R401,5,FALSE)</f>
        <v>28.406666666666666</v>
      </c>
      <c r="O633" s="31">
        <f>VLOOKUP($B633,Hitters!$A1:$R401,6,FALSE)</f>
        <v>6.1983333333333333</v>
      </c>
      <c r="P633" s="31">
        <f>VLOOKUP($B633,Hitters!$A1:$R401,7,FALSE)</f>
        <v>33.301666666666662</v>
      </c>
      <c r="Q633" s="31">
        <f>VLOOKUP($B633,Hitters!$A1:$R401,8,FALSE)</f>
        <v>0.9966666666666667</v>
      </c>
      <c r="R633" s="33">
        <f>VLOOKUP($B633,Hitters!$A$1:$R$401,14,FALSE)</f>
        <v>0.24212868673153809</v>
      </c>
      <c r="S633" s="33">
        <f>VLOOKUP($B633,Hitters!$A$1:$R$401,15,FALSE)</f>
        <v>0.30434759144729034</v>
      </c>
      <c r="T633" s="31">
        <f>VLOOKUP($B633,Hitters!$A$1:$R$401,9,FALSE)</f>
        <v>71.331111111111113</v>
      </c>
      <c r="U633" s="31">
        <f>VLOOKUP($B633,Hitters!$A$1:$R$401,10,FALSE)</f>
        <v>10.454444444444444</v>
      </c>
      <c r="V633" s="31">
        <f>VLOOKUP($B633,Hitters!$A$1:$R$401,11,FALSE)</f>
        <v>2.5000000000000005E-2</v>
      </c>
      <c r="W633" s="31">
        <f>VLOOKUP($B633,Hitters!$A$1:$R$401,12,FALSE)</f>
        <v>21.561666666666667</v>
      </c>
      <c r="X633" s="31">
        <f>VLOOKUP($B633,Hitters!$A$1:$R$401,13,FALSE)</f>
        <v>72.587777777777774</v>
      </c>
      <c r="Y633" s="33">
        <f>VLOOKUP($B633,Hitters!$A$1:$R$401,16,FALSE)</f>
        <v>0.34090480500867476</v>
      </c>
      <c r="Z633" s="33">
        <f>VLOOKUP($B633,Hitters!$A$1:$R$401,17,FALSE)</f>
        <v>0.6452523964559651</v>
      </c>
      <c r="AA633" s="31">
        <f>VLOOKUP($B633,Hitters!$A1:$R401,18,FALSE)</f>
        <v>0</v>
      </c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</row>
    <row r="634" spans="1:44" ht="18.600000000000001" customHeight="1">
      <c r="A634" s="25">
        <f ca="1">RANK(I634,I$2:I$651)</f>
        <v>633</v>
      </c>
      <c r="B634" s="26" t="s">
        <v>726</v>
      </c>
      <c r="C634" s="27" t="s">
        <v>114</v>
      </c>
      <c r="D634" s="27" t="s">
        <v>69</v>
      </c>
      <c r="E634" s="48" t="s">
        <v>11</v>
      </c>
      <c r="F634" s="49">
        <f ca="1">VLOOKUP(B634,'2B'!A1:I50,IF(Settings!$J$13="points",4,7),FALSE)</f>
        <v>45</v>
      </c>
      <c r="G634" s="30">
        <f>(M634*Settings!$B$2)+(N634*Settings!$B$3)+(O634*Settings!$B$4)+(P634*Settings!$B$5)+(Q634*Settings!$B$6)+((T634-U634-V634-O634)*Settings!$B$9)+(U634*Settings!$B$10)+(V634*Settings!$B$11)+(W634*Settings!$B$12)+(X634*Settings!$B$13)+(AA634*Settings!$B$16)</f>
        <v>64.171111111111117</v>
      </c>
      <c r="H634" s="31">
        <f>VLOOKUP(B634,'Standard Deviations'!$A1:$D651,4,FALSE)</f>
        <v>-5.6883304566591484</v>
      </c>
      <c r="I634" s="32">
        <f ca="1">IF(Settings!$J$16="no",VLOOKUP(B634,'2B'!A1:I50,IF(Settings!$J$13="points",6,9),FALSE),VLOOKUP(B634,'2B+SS'!$A1:$I94,IF(Settings!$J$13="points",6,9),FALSE))</f>
        <v>-5.6943733945071715</v>
      </c>
      <c r="J634" s="31"/>
      <c r="K634" s="31">
        <f ca="1">J634-A634</f>
        <v>-633</v>
      </c>
      <c r="L634" s="31"/>
      <c r="M634" s="31">
        <f>VLOOKUP($B634,Hitters!$A1:$R401,4,FALSE)</f>
        <v>112.11666666666666</v>
      </c>
      <c r="N634" s="31">
        <f>VLOOKUP($B634,Hitters!$A1:$R401,5,FALSE)</f>
        <v>12.561666666666667</v>
      </c>
      <c r="O634" s="31">
        <f>VLOOKUP($B634,Hitters!$A1:$R401,6,FALSE)</f>
        <v>3.1649999999999996</v>
      </c>
      <c r="P634" s="31">
        <f>VLOOKUP($B634,Hitters!$A1:$R401,7,FALSE)</f>
        <v>12.866666666666667</v>
      </c>
      <c r="Q634" s="31">
        <f>VLOOKUP($B634,Hitters!$A1:$R401,8,FALSE)</f>
        <v>1.0066666666666666</v>
      </c>
      <c r="R634" s="33">
        <f>VLOOKUP($B634,Hitters!$A$1:$R$401,14,FALSE)</f>
        <v>0.2466775680095139</v>
      </c>
      <c r="S634" s="33">
        <f>VLOOKUP($B634,Hitters!$A$1:$R$401,15,FALSE)</f>
        <v>0.29527629722500498</v>
      </c>
      <c r="T634" s="31">
        <f>VLOOKUP($B634,Hitters!$A$1:$R$401,9,FALSE)</f>
        <v>27.656666666666666</v>
      </c>
      <c r="U634" s="31">
        <f>VLOOKUP($B634,Hitters!$A$1:$R$401,10,FALSE)</f>
        <v>5.34</v>
      </c>
      <c r="V634" s="31">
        <f>VLOOKUP($B634,Hitters!$A$1:$R$401,11,FALSE)</f>
        <v>2.5000000000000005E-2</v>
      </c>
      <c r="W634" s="31">
        <f>VLOOKUP($B634,Hitters!$A$1:$R$401,12,FALSE)</f>
        <v>5.8683333333333332</v>
      </c>
      <c r="X634" s="31">
        <f>VLOOKUP($B634,Hitters!$A$1:$R$401,13,FALSE)</f>
        <v>23.361111111111111</v>
      </c>
      <c r="Y634" s="33">
        <f>VLOOKUP($B634,Hitters!$A$1:$R$401,16,FALSE)</f>
        <v>0.37944105842128734</v>
      </c>
      <c r="Z634" s="33">
        <f>VLOOKUP($B634,Hitters!$A$1:$R$401,17,FALSE)</f>
        <v>0.67471735564629232</v>
      </c>
      <c r="AA634" s="31">
        <f>VLOOKUP($B634,Hitters!$A1:$R401,18,FALSE)</f>
        <v>0</v>
      </c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</row>
    <row r="635" spans="1:44" ht="18.600000000000001" customHeight="1">
      <c r="A635" s="25">
        <f ca="1">RANK(I635,I$2:I$651)</f>
        <v>634</v>
      </c>
      <c r="B635" s="26" t="s">
        <v>716</v>
      </c>
      <c r="C635" s="27" t="s">
        <v>114</v>
      </c>
      <c r="D635" s="27" t="s">
        <v>69</v>
      </c>
      <c r="E635" s="48" t="s">
        <v>11</v>
      </c>
      <c r="F635" s="49">
        <f ca="1">VLOOKUP(B635,'2B'!A1:I50,IF(Settings!$J$13="points",4,7),FALSE)</f>
        <v>46</v>
      </c>
      <c r="G635" s="30">
        <f>(M635*Settings!$B$2)+(N635*Settings!$B$3)+(O635*Settings!$B$4)+(P635*Settings!$B$5)+(Q635*Settings!$B$6)+((T635-U635-V635-O635)*Settings!$B$9)+(U635*Settings!$B$10)+(V635*Settings!$B$11)+(W635*Settings!$B$12)+(X635*Settings!$B$13)+(AA635*Settings!$B$16)</f>
        <v>51.627222222222223</v>
      </c>
      <c r="H635" s="31">
        <f>VLOOKUP(B635,'Standard Deviations'!$A1:$D651,4,FALSE)</f>
        <v>-5.7107690534905311</v>
      </c>
      <c r="I635" s="32">
        <f ca="1">IF(Settings!$J$16="no",VLOOKUP(B635,'2B'!A1:I50,IF(Settings!$J$13="points",6,9),FALSE),VLOOKUP(B635,'2B+SS'!$A1:$I94,IF(Settings!$J$13="points",6,9),FALSE))</f>
        <v>-5.716807612023123</v>
      </c>
      <c r="J635" s="31"/>
      <c r="K635" s="31">
        <f ca="1">J635-A635</f>
        <v>-634</v>
      </c>
      <c r="L635" s="31"/>
      <c r="M635" s="31">
        <f>VLOOKUP($B635,Hitters!$A1:$R401,4,FALSE)</f>
        <v>94</v>
      </c>
      <c r="N635" s="31">
        <f>VLOOKUP($B635,Hitters!$A1:$R401,5,FALSE)</f>
        <v>10.046666666666667</v>
      </c>
      <c r="O635" s="31">
        <f>VLOOKUP($B635,Hitters!$A1:$R401,6,FALSE)</f>
        <v>1.5577777777777779</v>
      </c>
      <c r="P635" s="31">
        <f>VLOOKUP($B635,Hitters!$A1:$R401,7,FALSE)</f>
        <v>9.5711111111111098</v>
      </c>
      <c r="Q635" s="31">
        <f>VLOOKUP($B635,Hitters!$A1:$R401,8,FALSE)</f>
        <v>1.0366666666666666</v>
      </c>
      <c r="R635" s="33">
        <f>VLOOKUP($B635,Hitters!$A$1:$R$401,14,FALSE)</f>
        <v>0.25511820330969265</v>
      </c>
      <c r="S635" s="33">
        <f>VLOOKUP($B635,Hitters!$A$1:$R$401,15,FALSE)</f>
        <v>0.28715739843130345</v>
      </c>
      <c r="T635" s="31">
        <f>VLOOKUP($B635,Hitters!$A$1:$R$401,9,FALSE)</f>
        <v>23.981111111111108</v>
      </c>
      <c r="U635" s="31">
        <f>VLOOKUP($B635,Hitters!$A$1:$R$401,10,FALSE)</f>
        <v>5.068888888888889</v>
      </c>
      <c r="V635" s="31">
        <f>VLOOKUP($B635,Hitters!$A$1:$R$401,11,FALSE)</f>
        <v>5.1666666666666673E-2</v>
      </c>
      <c r="W635" s="31">
        <f>VLOOKUP($B635,Hitters!$A$1:$R$401,12,FALSE)</f>
        <v>2.632222222222222</v>
      </c>
      <c r="X635" s="31">
        <f>VLOOKUP($B635,Hitters!$A$1:$R$401,13,FALSE)</f>
        <v>13.045555555555557</v>
      </c>
      <c r="Y635" s="33">
        <f>VLOOKUP($B635,Hitters!$A$1:$R$401,16,FALSE)</f>
        <v>0.35985815602836879</v>
      </c>
      <c r="Z635" s="33">
        <f>VLOOKUP($B635,Hitters!$A$1:$R$401,17,FALSE)</f>
        <v>0.64701555445967229</v>
      </c>
      <c r="AA635" s="31">
        <f>VLOOKUP($B635,Hitters!$A1:$R401,18,FALSE)</f>
        <v>0</v>
      </c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</row>
    <row r="636" spans="1:44" ht="18.600000000000001" customHeight="1">
      <c r="A636" s="25">
        <f ca="1">RANK(I636,I$2:I$651)</f>
        <v>635</v>
      </c>
      <c r="B636" s="26" t="s">
        <v>662</v>
      </c>
      <c r="C636" s="27" t="s">
        <v>158</v>
      </c>
      <c r="D636" s="27" t="s">
        <v>74</v>
      </c>
      <c r="E636" s="28" t="s">
        <v>23</v>
      </c>
      <c r="F636" s="29">
        <f ca="1">VLOOKUP(B636,OF!A1:I139,IF(Settings!$J$13="points",4,7),FALSE)</f>
        <v>137</v>
      </c>
      <c r="G636" s="30">
        <f>(M636*Settings!$B$2)+(N636*Settings!$B$3)+(O636*Settings!$B$4)+(P636*Settings!$B$5)+(Q636*Settings!$B$6)+((T636-U636-V636-O636)*Settings!$B$9)+(U636*Settings!$B$10)+(V636*Settings!$B$11)+(W636*Settings!$B$12)+(X636*Settings!$B$13)+(AA636*Settings!$B$16)</f>
        <v>85.555000000000007</v>
      </c>
      <c r="H636" s="31">
        <f>VLOOKUP(B636,'Standard Deviations'!$A1:$D651,4,FALSE)</f>
        <v>-5.9824938192730759</v>
      </c>
      <c r="I636" s="32">
        <f ca="1">VLOOKUP(B636,OF!A1:I139,IF(Settings!$J$13="points",6,9),FALSE)</f>
        <v>-5.8255666435958409</v>
      </c>
      <c r="J636" s="31"/>
      <c r="K636" s="31">
        <f ca="1">J636-A636</f>
        <v>-635</v>
      </c>
      <c r="L636" s="31"/>
      <c r="M636" s="31">
        <f>VLOOKUP($B636,Hitters!$A1:$R401,4,FALSE)</f>
        <v>143.41666666666669</v>
      </c>
      <c r="N636" s="31">
        <f>VLOOKUP($B636,Hitters!$A1:$R401,5,FALSE)</f>
        <v>17.516666666666669</v>
      </c>
      <c r="O636" s="31">
        <f>VLOOKUP($B636,Hitters!$A1:$R401,6,FALSE)</f>
        <v>5.2966666666666669</v>
      </c>
      <c r="P636" s="31">
        <f>VLOOKUP($B636,Hitters!$A1:$R401,7,FALSE)</f>
        <v>17.781666666666666</v>
      </c>
      <c r="Q636" s="31">
        <f>VLOOKUP($B636,Hitters!$A1:$R401,8,FALSE)</f>
        <v>4.0916666666666668</v>
      </c>
      <c r="R636" s="33">
        <f>VLOOKUP($B636,Hitters!$A$1:$R$401,14,FALSE)</f>
        <v>0.21884950610110399</v>
      </c>
      <c r="S636" s="33">
        <f>VLOOKUP($B636,Hitters!$A$1:$R$401,15,FALSE)</f>
        <v>0.29059228788334834</v>
      </c>
      <c r="T636" s="31">
        <f>VLOOKUP($B636,Hitters!$A$1:$R$401,9,FALSE)</f>
        <v>31.386666666666667</v>
      </c>
      <c r="U636" s="31">
        <f>VLOOKUP($B636,Hitters!$A$1:$R$401,10,FALSE)</f>
        <v>6.2749999999999995</v>
      </c>
      <c r="V636" s="31">
        <f>VLOOKUP($B636,Hitters!$A$1:$R$401,11,FALSE)</f>
        <v>1.0583333333333333</v>
      </c>
      <c r="W636" s="31">
        <f>VLOOKUP($B636,Hitters!$A$1:$R$401,12,FALSE)</f>
        <v>12.093333333333334</v>
      </c>
      <c r="X636" s="31">
        <f>VLOOKUP($B636,Hitters!$A$1:$R$401,13,FALSE)</f>
        <v>51.376666666666665</v>
      </c>
      <c r="Y636" s="33">
        <f>VLOOKUP($B636,Hitters!$A$1:$R$401,16,FALSE)</f>
        <v>0.38815804764671696</v>
      </c>
      <c r="Z636" s="33">
        <f>VLOOKUP($B636,Hitters!$A$1:$R$401,17,FALSE)</f>
        <v>0.67875033553006525</v>
      </c>
      <c r="AA636" s="31">
        <f>VLOOKUP($B636,Hitters!$A1:$R401,18,FALSE)</f>
        <v>0</v>
      </c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</row>
    <row r="637" spans="1:44" ht="18.600000000000001" customHeight="1">
      <c r="A637" s="25">
        <f ca="1">RANK(I637,I$2:I$651)</f>
        <v>636</v>
      </c>
      <c r="B637" s="26" t="s">
        <v>709</v>
      </c>
      <c r="C637" s="27" t="s">
        <v>114</v>
      </c>
      <c r="D637" s="27" t="s">
        <v>69</v>
      </c>
      <c r="E637" s="48" t="s">
        <v>11</v>
      </c>
      <c r="F637" s="49">
        <f ca="1">VLOOKUP(B637,'2B'!A1:I50,IF(Settings!$J$13="points",4,7),FALSE)</f>
        <v>47</v>
      </c>
      <c r="G637" s="30">
        <f>(M637*Settings!$B$2)+(N637*Settings!$B$3)+(O637*Settings!$B$4)+(P637*Settings!$B$5)+(Q637*Settings!$B$6)+((T637-U637-V637-O637)*Settings!$B$9)+(U637*Settings!$B$10)+(V637*Settings!$B$11)+(W637*Settings!$B$12)+(X637*Settings!$B$13)+(AA637*Settings!$B$16)</f>
        <v>80.730555555555554</v>
      </c>
      <c r="H637" s="31">
        <f>VLOOKUP(B637,'Standard Deviations'!$A1:$D651,4,FALSE)</f>
        <v>-5.8277739800140385</v>
      </c>
      <c r="I637" s="32">
        <f ca="1">IF(Settings!$J$16="no",VLOOKUP(B637,'2B'!A1:I50,IF(Settings!$J$13="points",6,9),FALSE),VLOOKUP(B637,'2B+SS'!$A1:$I94,IF(Settings!$J$13="points",6,9),FALSE))</f>
        <v>-5.8338158101572484</v>
      </c>
      <c r="J637" s="31"/>
      <c r="K637" s="31">
        <f ca="1">J637-A637</f>
        <v>-636</v>
      </c>
      <c r="L637" s="31"/>
      <c r="M637" s="31">
        <f>VLOOKUP($B637,Hitters!$A1:$R401,4,FALSE)</f>
        <v>147.91666666666666</v>
      </c>
      <c r="N637" s="31">
        <f>VLOOKUP($B637,Hitters!$A1:$R401,5,FALSE)</f>
        <v>17.544999999999998</v>
      </c>
      <c r="O637" s="31">
        <f>VLOOKUP($B637,Hitters!$A1:$R401,6,FALSE)</f>
        <v>4.5166666666666666</v>
      </c>
      <c r="P637" s="31">
        <f>VLOOKUP($B637,Hitters!$A1:$R401,7,FALSE)</f>
        <v>16.166666666666668</v>
      </c>
      <c r="Q637" s="31">
        <f>VLOOKUP($B637,Hitters!$A1:$R401,8,FALSE)</f>
        <v>3.1916666666666669</v>
      </c>
      <c r="R637" s="33">
        <f>VLOOKUP($B637,Hitters!$A$1:$R$401,14,FALSE)</f>
        <v>0.22753802816901408</v>
      </c>
      <c r="S637" s="33">
        <f>VLOOKUP($B637,Hitters!$A$1:$R$401,15,FALSE)</f>
        <v>0.28862118579993573</v>
      </c>
      <c r="T637" s="31">
        <f>VLOOKUP($B637,Hitters!$A$1:$R$401,9,FALSE)</f>
        <v>33.656666666666666</v>
      </c>
      <c r="U637" s="31">
        <f>VLOOKUP($B637,Hitters!$A$1:$R$401,10,FALSE)</f>
        <v>7.0749999999999993</v>
      </c>
      <c r="V637" s="31">
        <f>VLOOKUP($B637,Hitters!$A$1:$R$401,11,FALSE)</f>
        <v>0.21166666666666667</v>
      </c>
      <c r="W637" s="31">
        <f>VLOOKUP($B637,Hitters!$A$1:$R$401,12,FALSE)</f>
        <v>10.203333333333333</v>
      </c>
      <c r="X637" s="31">
        <f>VLOOKUP($B637,Hitters!$A$1:$R$401,13,FALSE)</f>
        <v>48.545555555555552</v>
      </c>
      <c r="Y637" s="33">
        <f>VLOOKUP($B637,Hitters!$A$1:$R$401,16,FALSE)</f>
        <v>0.36983661971830989</v>
      </c>
      <c r="Z637" s="33">
        <f>VLOOKUP($B637,Hitters!$A$1:$R$401,17,FALSE)</f>
        <v>0.65845780551824562</v>
      </c>
      <c r="AA637" s="31">
        <f>VLOOKUP($B637,Hitters!$A1:$R401,18,FALSE)</f>
        <v>0</v>
      </c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</row>
    <row r="638" spans="1:44" ht="18.600000000000001" customHeight="1">
      <c r="A638" s="25">
        <f ca="1">RANK(I638,I$2:I$651)</f>
        <v>637</v>
      </c>
      <c r="B638" s="26" t="s">
        <v>728</v>
      </c>
      <c r="C638" s="27" t="s">
        <v>97</v>
      </c>
      <c r="D638" s="27" t="s">
        <v>74</v>
      </c>
      <c r="E638" s="48" t="s">
        <v>11</v>
      </c>
      <c r="F638" s="49">
        <f ca="1">VLOOKUP(B638,'2B'!A1:I50,IF(Settings!$J$13="points",4,7),FALSE)</f>
        <v>48</v>
      </c>
      <c r="G638" s="30">
        <f>(M638*Settings!$B$2)+(N638*Settings!$B$3)+(O638*Settings!$B$4)+(P638*Settings!$B$5)+(Q638*Settings!$B$6)+((T638-U638-V638-O638)*Settings!$B$9)+(U638*Settings!$B$10)+(V638*Settings!$B$11)+(W638*Settings!$B$12)+(X638*Settings!$B$13)+(AA638*Settings!$B$16)</f>
        <v>81.992222222222225</v>
      </c>
      <c r="H638" s="31">
        <f>VLOOKUP(B638,'Standard Deviations'!$A1:$D651,4,FALSE)</f>
        <v>-5.8288662727016156</v>
      </c>
      <c r="I638" s="32">
        <f ca="1">IF(Settings!$J$16="no",VLOOKUP(B638,'2B'!A1:I50,IF(Settings!$J$13="points",6,9),FALSE),VLOOKUP(B638,'2B+SS'!$A1:$I94,IF(Settings!$J$13="points",6,9),FALSE))</f>
        <v>-5.8349095107436764</v>
      </c>
      <c r="J638" s="31"/>
      <c r="K638" s="31">
        <f ca="1">J638-A638</f>
        <v>-637</v>
      </c>
      <c r="L638" s="31"/>
      <c r="M638" s="31">
        <f>VLOOKUP($B638,Hitters!$A1:$R401,4,FALSE)</f>
        <v>124.21111111111111</v>
      </c>
      <c r="N638" s="31">
        <f>VLOOKUP($B638,Hitters!$A1:$R401,5,FALSE)</f>
        <v>15.761111111111111</v>
      </c>
      <c r="O638" s="31">
        <f>VLOOKUP($B638,Hitters!$A1:$R401,6,FALSE)</f>
        <v>4.0988888888888892</v>
      </c>
      <c r="P638" s="31">
        <f>VLOOKUP($B638,Hitters!$A1:$R401,7,FALSE)</f>
        <v>15.737777777777778</v>
      </c>
      <c r="Q638" s="31">
        <f>VLOOKUP($B638,Hitters!$A1:$R401,8,FALSE)</f>
        <v>2.0183333333333335</v>
      </c>
      <c r="R638" s="33">
        <f>VLOOKUP($B638,Hitters!$A$1:$R$401,14,FALSE)</f>
        <v>0.23366132927811073</v>
      </c>
      <c r="S638" s="33">
        <f>VLOOKUP($B638,Hitters!$A$1:$R$401,15,FALSE)</f>
        <v>0.30439957095112818</v>
      </c>
      <c r="T638" s="31">
        <f>VLOOKUP($B638,Hitters!$A$1:$R$401,9,FALSE)</f>
        <v>29.02333333333333</v>
      </c>
      <c r="U638" s="31">
        <f>VLOOKUP($B638,Hitters!$A$1:$R$401,10,FALSE)</f>
        <v>6.1588888888888889</v>
      </c>
      <c r="V638" s="31">
        <f>VLOOKUP($B638,Hitters!$A$1:$R$401,11,FALSE)</f>
        <v>8.8333333333333333E-2</v>
      </c>
      <c r="W638" s="31">
        <f>VLOOKUP($B638,Hitters!$A$1:$R$401,12,FALSE)</f>
        <v>10.613333333333333</v>
      </c>
      <c r="X638" s="31">
        <f>VLOOKUP($B638,Hitters!$A$1:$R$401,13,FALSE)</f>
        <v>23.624444444444446</v>
      </c>
      <c r="Y638" s="33">
        <f>VLOOKUP($B638,Hitters!$A$1:$R$401,16,FALSE)</f>
        <v>0.38366580195008493</v>
      </c>
      <c r="Z638" s="33">
        <f>VLOOKUP($B638,Hitters!$A$1:$R$401,17,FALSE)</f>
        <v>0.68806537290121317</v>
      </c>
      <c r="AA638" s="31">
        <f>VLOOKUP($B638,Hitters!$A1:$R401,18,FALSE)</f>
        <v>0</v>
      </c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</row>
    <row r="639" spans="1:44" ht="18.600000000000001" customHeight="1">
      <c r="A639" s="25">
        <f ca="1">RANK(I639,I$2:I$651)</f>
        <v>638</v>
      </c>
      <c r="B639" s="26" t="s">
        <v>708</v>
      </c>
      <c r="C639" s="27" t="s">
        <v>91</v>
      </c>
      <c r="D639" s="27" t="s">
        <v>74</v>
      </c>
      <c r="E639" s="34" t="s">
        <v>15</v>
      </c>
      <c r="F639" s="35">
        <f ca="1">VLOOKUP(B639,'3B'!A1:I55,IF(Settings!$J$13="points",4,7),FALSE)</f>
        <v>51</v>
      </c>
      <c r="G639" s="30">
        <f>(M639*Settings!$B$2)+(N639*Settings!$B$3)+(O639*Settings!$B$4)+(P639*Settings!$B$5)+(Q639*Settings!$B$6)+((T639-U639-V639-O639)*Settings!$B$9)+(U639*Settings!$B$10)+(V639*Settings!$B$11)+(W639*Settings!$B$12)+(X639*Settings!$B$13)+(AA639*Settings!$B$16)</f>
        <v>81.393888888888895</v>
      </c>
      <c r="H639" s="31">
        <f>VLOOKUP(B639,'Standard Deviations'!$A1:$D651,4,FALSE)</f>
        <v>-5.6475759416421276</v>
      </c>
      <c r="I639" s="32">
        <f ca="1">IF(Settings!$J$15="no",VLOOKUP(B639,'3B'!A1:I55,IF(Settings!$J$13="points",6,9),FALSE),VLOOKUP(B639,'1B+3B'!$A1:$I104,IF(Settings!$J$13="points",6,9),FALSE))</f>
        <v>-5.8730505240234105</v>
      </c>
      <c r="J639" s="31"/>
      <c r="K639" s="31">
        <f ca="1">J639-A639</f>
        <v>-638</v>
      </c>
      <c r="L639" s="31"/>
      <c r="M639" s="31">
        <f>VLOOKUP($B639,Hitters!$A1:$R401,4,FALSE)</f>
        <v>141.80000000000001</v>
      </c>
      <c r="N639" s="31">
        <f>VLOOKUP($B639,Hitters!$A1:$R401,5,FALSE)</f>
        <v>16.841666666666665</v>
      </c>
      <c r="O639" s="31">
        <f>VLOOKUP($B639,Hitters!$A1:$R401,6,FALSE)</f>
        <v>3.0983333333333332</v>
      </c>
      <c r="P639" s="31">
        <f>VLOOKUP($B639,Hitters!$A1:$R401,7,FALSE)</f>
        <v>14.990000000000002</v>
      </c>
      <c r="Q639" s="31">
        <f>VLOOKUP($B639,Hitters!$A1:$R401,8,FALSE)</f>
        <v>3.6466666666666665</v>
      </c>
      <c r="R639" s="33">
        <f>VLOOKUP($B639,Hitters!$A$1:$R$401,14,FALSE)</f>
        <v>0.23480253878702392</v>
      </c>
      <c r="S639" s="33">
        <f>VLOOKUP($B639,Hitters!$A$1:$R$401,15,FALSE)</f>
        <v>0.29063038228991672</v>
      </c>
      <c r="T639" s="31">
        <f>VLOOKUP($B639,Hitters!$A$1:$R$401,9,FALSE)</f>
        <v>33.294999999999995</v>
      </c>
      <c r="U639" s="31">
        <f>VLOOKUP($B639,Hitters!$A$1:$R$401,10,FALSE)</f>
        <v>7.0550000000000006</v>
      </c>
      <c r="V639" s="31">
        <f>VLOOKUP($B639,Hitters!$A$1:$R$401,11,FALSE)</f>
        <v>0.98333333333333339</v>
      </c>
      <c r="W639" s="31">
        <f>VLOOKUP($B639,Hitters!$A$1:$R$401,12,FALSE)</f>
        <v>8.7766666666666673</v>
      </c>
      <c r="X639" s="31">
        <f>VLOOKUP($B639,Hitters!$A$1:$R$401,13,FALSE)</f>
        <v>36.238888888888887</v>
      </c>
      <c r="Y639" s="33">
        <f>VLOOKUP($B639,Hitters!$A$1:$R$401,16,FALSE)</f>
        <v>0.36397508227550535</v>
      </c>
      <c r="Z639" s="33">
        <f>VLOOKUP($B639,Hitters!$A$1:$R$401,17,FALSE)</f>
        <v>0.65460546456542201</v>
      </c>
      <c r="AA639" s="31">
        <f>VLOOKUP($B639,Hitters!$A1:$R401,18,FALSE)</f>
        <v>0</v>
      </c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</row>
    <row r="640" spans="1:44" ht="18.600000000000001" customHeight="1">
      <c r="A640" s="25">
        <f ca="1">RANK(I640,I$2:I$651)</f>
        <v>639</v>
      </c>
      <c r="B640" s="26" t="s">
        <v>730</v>
      </c>
      <c r="C640" s="27" t="s">
        <v>123</v>
      </c>
      <c r="D640" s="27" t="s">
        <v>74</v>
      </c>
      <c r="E640" s="38" t="s">
        <v>27</v>
      </c>
      <c r="F640" s="39">
        <f ca="1">VLOOKUP(B640,SS!A1:I45,IF(Settings!$J$13="points",4,7),FALSE)</f>
        <v>42</v>
      </c>
      <c r="G640" s="30">
        <f>(M640*Settings!$B$2)+(N640*Settings!$B$3)+(O640*Settings!$B$4)+(P640*Settings!$B$5)+(Q640*Settings!$B$6)+((T640-U640-V640-O640)*Settings!$B$9)+(U640*Settings!$B$10)+(V640*Settings!$B$11)+(W640*Settings!$B$12)+(X640*Settings!$B$13)+(AA640*Settings!$B$16)</f>
        <v>109.85888888888888</v>
      </c>
      <c r="H640" s="31">
        <f>VLOOKUP(B640,'Standard Deviations'!$A1:$D651,4,FALSE)</f>
        <v>-5.9074856338002286</v>
      </c>
      <c r="I640" s="32">
        <f ca="1">IF(Settings!$J$16="no",VLOOKUP(B640,SS!A1:I45,IF(Settings!$J$13="points",6,9),FALSE),VLOOKUP(B640,'2B+SS'!$A1:$I94,IF(Settings!$J$13="points",6,9),FALSE))</f>
        <v>-5.9135282550356916</v>
      </c>
      <c r="J640" s="31"/>
      <c r="K640" s="31">
        <f ca="1">J640-A640</f>
        <v>-639</v>
      </c>
      <c r="L640" s="31"/>
      <c r="M640" s="31">
        <f>VLOOKUP($B640,Hitters!$A1:$R401,4,FALSE)</f>
        <v>185.05555555555554</v>
      </c>
      <c r="N640" s="31">
        <f>VLOOKUP($B640,Hitters!$A1:$R401,5,FALSE)</f>
        <v>23.408888888888885</v>
      </c>
      <c r="O640" s="31">
        <f>VLOOKUP($B640,Hitters!$A1:$R401,6,FALSE)</f>
        <v>7.6255555555555548</v>
      </c>
      <c r="P640" s="31">
        <f>VLOOKUP($B640,Hitters!$A1:$R401,7,FALSE)</f>
        <v>24.531111111111112</v>
      </c>
      <c r="Q640" s="31">
        <f>VLOOKUP($B640,Hitters!$A1:$R401,8,FALSE)</f>
        <v>2.0300000000000002</v>
      </c>
      <c r="R640" s="33">
        <f>VLOOKUP($B640,Hitters!$A$1:$R$401,14,FALSE)</f>
        <v>0.20924647253077155</v>
      </c>
      <c r="S640" s="33">
        <f>VLOOKUP($B640,Hitters!$A$1:$R$401,15,FALSE)</f>
        <v>0.28643278484942569</v>
      </c>
      <c r="T640" s="31">
        <f>VLOOKUP($B640,Hitters!$A$1:$R$401,9,FALSE)</f>
        <v>38.722222222222221</v>
      </c>
      <c r="U640" s="31">
        <f>VLOOKUP($B640,Hitters!$A$1:$R$401,10,FALSE)</f>
        <v>7.9633333333333338</v>
      </c>
      <c r="V640" s="31">
        <f>VLOOKUP($B640,Hitters!$A$1:$R$401,11,FALSE)</f>
        <v>4.9999999999999992E-3</v>
      </c>
      <c r="W640" s="31">
        <f>VLOOKUP($B640,Hitters!$A$1:$R$401,12,FALSE)</f>
        <v>16.876666666666669</v>
      </c>
      <c r="X640" s="31">
        <f>VLOOKUP($B640,Hitters!$A$1:$R$401,13,FALSE)</f>
        <v>57.18</v>
      </c>
      <c r="Y640" s="33">
        <f>VLOOKUP($B640,Hitters!$A$1:$R$401,16,FALSE)</f>
        <v>0.37595316721705196</v>
      </c>
      <c r="Z640" s="33">
        <f>VLOOKUP($B640,Hitters!$A$1:$R$401,17,FALSE)</f>
        <v>0.66238595206647766</v>
      </c>
      <c r="AA640" s="31">
        <f>VLOOKUP($B640,Hitters!$A1:$R401,18,FALSE)</f>
        <v>0</v>
      </c>
      <c r="AB640" s="31"/>
      <c r="AC640" s="31"/>
      <c r="AD640" s="33"/>
      <c r="AE640" s="33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</row>
    <row r="641" spans="1:44" ht="18.600000000000001" customHeight="1">
      <c r="A641" s="25">
        <f ca="1">RANK(I641,I$2:I$651)</f>
        <v>640</v>
      </c>
      <c r="B641" s="26" t="s">
        <v>710</v>
      </c>
      <c r="C641" s="27" t="s">
        <v>306</v>
      </c>
      <c r="D641" s="27" t="s">
        <v>74</v>
      </c>
      <c r="E641" s="34" t="s">
        <v>15</v>
      </c>
      <c r="F641" s="35">
        <f ca="1">VLOOKUP(B641,'3B'!A1:I55,IF(Settings!$J$13="points",4,7),FALSE)</f>
        <v>52</v>
      </c>
      <c r="G641" s="30">
        <f>(M641*Settings!$B$2)+(N641*Settings!$B$3)+(O641*Settings!$B$4)+(P641*Settings!$B$5)+(Q641*Settings!$B$6)+((T641-U641-V641-O641)*Settings!$B$9)+(U641*Settings!$B$10)+(V641*Settings!$B$11)+(W641*Settings!$B$12)+(X641*Settings!$B$13)+(AA641*Settings!$B$16)</f>
        <v>108.54333333333332</v>
      </c>
      <c r="H641" s="31">
        <f>VLOOKUP(B641,'Standard Deviations'!$A1:$D651,4,FALSE)</f>
        <v>-5.718477857035996</v>
      </c>
      <c r="I641" s="32">
        <f ca="1">IF(Settings!$J$15="no",VLOOKUP(B641,'3B'!A1:I55,IF(Settings!$J$13="points",6,9),FALSE),VLOOKUP(B641,'1B+3B'!$A1:$I104,IF(Settings!$J$13="points",6,9),FALSE))</f>
        <v>-5.9439576670572123</v>
      </c>
      <c r="J641" s="31"/>
      <c r="K641" s="31">
        <f ca="1">J641-A641</f>
        <v>-640</v>
      </c>
      <c r="L641" s="31"/>
      <c r="M641" s="31">
        <f>VLOOKUP($B641,Hitters!$A1:$R401,4,FALSE)</f>
        <v>184.88333333333333</v>
      </c>
      <c r="N641" s="31">
        <f>VLOOKUP($B641,Hitters!$A1:$R401,5,FALSE)</f>
        <v>22.263333333333332</v>
      </c>
      <c r="O641" s="31">
        <f>VLOOKUP($B641,Hitters!$A1:$R401,6,FALSE)</f>
        <v>4.7116666666666669</v>
      </c>
      <c r="P641" s="31">
        <f>VLOOKUP($B641,Hitters!$A1:$R401,7,FALSE)</f>
        <v>20.875</v>
      </c>
      <c r="Q641" s="31">
        <f>VLOOKUP($B641,Hitters!$A1:$R401,8,FALSE)</f>
        <v>1</v>
      </c>
      <c r="R641" s="33">
        <f>VLOOKUP($B641,Hitters!$A$1:$R$401,14,FALSE)</f>
        <v>0.22689083205625168</v>
      </c>
      <c r="S641" s="33">
        <f>VLOOKUP($B641,Hitters!$A$1:$R$401,15,FALSE)</f>
        <v>0.31498121406467222</v>
      </c>
      <c r="T641" s="31">
        <f>VLOOKUP($B641,Hitters!$A$1:$R$401,9,FALSE)</f>
        <v>41.948333333333331</v>
      </c>
      <c r="U641" s="31">
        <f>VLOOKUP($B641,Hitters!$A$1:$R$401,10,FALSE)</f>
        <v>8.0525000000000002</v>
      </c>
      <c r="V641" s="31">
        <f>VLOOKUP($B641,Hitters!$A$1:$R$401,11,FALSE)</f>
        <v>0.75666666666666671</v>
      </c>
      <c r="W641" s="31">
        <f>VLOOKUP($B641,Hitters!$A$1:$R$401,12,FALSE)</f>
        <v>20.853333333333335</v>
      </c>
      <c r="X641" s="31">
        <f>VLOOKUP($B641,Hitters!$A$1:$R$401,13,FALSE)</f>
        <v>46.195</v>
      </c>
      <c r="Y641" s="33">
        <f>VLOOKUP($B641,Hitters!$A$1:$R$401,16,FALSE)</f>
        <v>0.35508428738844322</v>
      </c>
      <c r="Z641" s="33">
        <f>VLOOKUP($B641,Hitters!$A$1:$R$401,17,FALSE)</f>
        <v>0.67006550145311539</v>
      </c>
      <c r="AA641" s="31">
        <f>VLOOKUP($B641,Hitters!$A1:$R401,18,FALSE)</f>
        <v>0</v>
      </c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</row>
    <row r="642" spans="1:44" ht="18.600000000000001" customHeight="1">
      <c r="A642" s="25">
        <f ca="1">RANK(I642,I$2:I$651)</f>
        <v>641</v>
      </c>
      <c r="B642" s="26" t="s">
        <v>719</v>
      </c>
      <c r="C642" s="27" t="s">
        <v>137</v>
      </c>
      <c r="D642" s="27" t="s">
        <v>74</v>
      </c>
      <c r="E642" s="28" t="s">
        <v>23</v>
      </c>
      <c r="F642" s="29">
        <f ca="1">VLOOKUP(B642,OF!A1:I139,IF(Settings!$J$13="points",4,7),FALSE)</f>
        <v>138</v>
      </c>
      <c r="G642" s="30">
        <f>(M642*Settings!$B$2)+(N642*Settings!$B$3)+(O642*Settings!$B$4)+(P642*Settings!$B$5)+(Q642*Settings!$B$6)+((T642-U642-V642-O642)*Settings!$B$9)+(U642*Settings!$B$10)+(V642*Settings!$B$11)+(W642*Settings!$B$12)+(X642*Settings!$B$13)+(AA642*Settings!$B$16)</f>
        <v>68.719444444444434</v>
      </c>
      <c r="H642" s="31">
        <f>VLOOKUP(B642,'Standard Deviations'!$A1:$D651,4,FALSE)</f>
        <v>-6.1389751661830996</v>
      </c>
      <c r="I642" s="32">
        <f ca="1">VLOOKUP(B642,OF!A1:I139,IF(Settings!$J$13="points",6,9),FALSE)</f>
        <v>-5.9820461647937906</v>
      </c>
      <c r="J642" s="31"/>
      <c r="K642" s="31">
        <f ca="1">J642-A642</f>
        <v>-641</v>
      </c>
      <c r="L642" s="31"/>
      <c r="M642" s="31">
        <f>VLOOKUP($B642,Hitters!$A1:$R401,4,FALSE)</f>
        <v>114.51111111111111</v>
      </c>
      <c r="N642" s="31">
        <f>VLOOKUP($B642,Hitters!$A1:$R401,5,FALSE)</f>
        <v>13.878888888888889</v>
      </c>
      <c r="O642" s="31">
        <f>VLOOKUP($B642,Hitters!$A1:$R401,6,FALSE)</f>
        <v>1.7049999999999998</v>
      </c>
      <c r="P642" s="31">
        <f>VLOOKUP($B642,Hitters!$A1:$R401,7,FALSE)</f>
        <v>10.893333333333333</v>
      </c>
      <c r="Q642" s="31">
        <f>VLOOKUP($B642,Hitters!$A1:$R401,8,FALSE)</f>
        <v>2.4955555555555553</v>
      </c>
      <c r="R642" s="33">
        <f>VLOOKUP($B642,Hitters!$A$1:$R$401,14,FALSE)</f>
        <v>0.23806520473510576</v>
      </c>
      <c r="S642" s="33">
        <f>VLOOKUP($B642,Hitters!$A$1:$R$401,15,FALSE)</f>
        <v>0.31593972108310558</v>
      </c>
      <c r="T642" s="31">
        <f>VLOOKUP($B642,Hitters!$A$1:$R$401,9,FALSE)</f>
        <v>27.261111111111109</v>
      </c>
      <c r="U642" s="31">
        <f>VLOOKUP($B642,Hitters!$A$1:$R$401,10,FALSE)</f>
        <v>5.0955555555555554</v>
      </c>
      <c r="V642" s="31">
        <f>VLOOKUP($B642,Hitters!$A$1:$R$401,11,FALSE)</f>
        <v>0.99444444444444446</v>
      </c>
      <c r="W642" s="31">
        <f>VLOOKUP($B642,Hitters!$A$1:$R$401,12,FALSE)</f>
        <v>11.231111111111112</v>
      </c>
      <c r="X642" s="31">
        <f>VLOOKUP($B642,Hitters!$A$1:$R$401,13,FALSE)</f>
        <v>23.47111111111111</v>
      </c>
      <c r="Y642" s="33">
        <f>VLOOKUP($B642,Hitters!$A$1:$R$401,16,FALSE)</f>
        <v>0.344600232874054</v>
      </c>
      <c r="Z642" s="33">
        <f>VLOOKUP($B642,Hitters!$A$1:$R$401,17,FALSE)</f>
        <v>0.66053995395715959</v>
      </c>
      <c r="AA642" s="31">
        <f>VLOOKUP($B642,Hitters!$A1:$R401,18,FALSE)</f>
        <v>0</v>
      </c>
      <c r="AB642" s="31"/>
      <c r="AC642" s="31"/>
      <c r="AD642" s="33"/>
      <c r="AE642" s="33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</row>
    <row r="643" spans="1:44" ht="18.600000000000001" customHeight="1">
      <c r="A643" s="25">
        <f ca="1">RANK(I643,I$2:I$651)</f>
        <v>642</v>
      </c>
      <c r="B643" s="26" t="s">
        <v>707</v>
      </c>
      <c r="C643" s="27" t="s">
        <v>97</v>
      </c>
      <c r="D643" s="27" t="s">
        <v>74</v>
      </c>
      <c r="E643" s="34" t="s">
        <v>15</v>
      </c>
      <c r="F643" s="35">
        <f ca="1">VLOOKUP(B643,'3B'!A1:I55,IF(Settings!$J$13="points",4,7),FALSE)</f>
        <v>53</v>
      </c>
      <c r="G643" s="30">
        <f>(M643*Settings!$B$2)+(N643*Settings!$B$3)+(O643*Settings!$B$4)+(P643*Settings!$B$5)+(Q643*Settings!$B$6)+((T643-U643-V643-O643)*Settings!$B$9)+(U643*Settings!$B$10)+(V643*Settings!$B$11)+(W643*Settings!$B$12)+(X643*Settings!$B$13)+(AA643*Settings!$B$16)</f>
        <v>83.184999999999974</v>
      </c>
      <c r="H643" s="31">
        <f>VLOOKUP(B643,'Standard Deviations'!$A1:$D651,4,FALSE)</f>
        <v>-5.8540036350802884</v>
      </c>
      <c r="I643" s="32">
        <f ca="1">IF(Settings!$J$15="no",VLOOKUP(B643,'3B'!A1:I55,IF(Settings!$J$13="points",6,9),FALSE),VLOOKUP(B643,'1B+3B'!$A1:$I104,IF(Settings!$J$13="points",6,9),FALSE))</f>
        <v>-6.0794826731542129</v>
      </c>
      <c r="J643" s="31"/>
      <c r="K643" s="31">
        <f ca="1">J643-A643</f>
        <v>-642</v>
      </c>
      <c r="L643" s="31"/>
      <c r="M643" s="31">
        <f>VLOOKUP($B643,Hitters!$A1:$R401,4,FALSE)</f>
        <v>139.1</v>
      </c>
      <c r="N643" s="31">
        <f>VLOOKUP($B643,Hitters!$A1:$R401,5,FALSE)</f>
        <v>17.598333333333333</v>
      </c>
      <c r="O643" s="31">
        <f>VLOOKUP($B643,Hitters!$A1:$R401,6,FALSE)</f>
        <v>5.0449999999999999</v>
      </c>
      <c r="P643" s="31">
        <f>VLOOKUP($B643,Hitters!$A1:$R401,7,FALSE)</f>
        <v>17.658333333333335</v>
      </c>
      <c r="Q643" s="31">
        <f>VLOOKUP($B643,Hitters!$A1:$R401,8,FALSE)</f>
        <v>1.46</v>
      </c>
      <c r="R643" s="33">
        <f>VLOOKUP($B643,Hitters!$A$1:$R$401,14,FALSE)</f>
        <v>0.22913970764438057</v>
      </c>
      <c r="S643" s="33">
        <f>VLOOKUP($B643,Hitters!$A$1:$R$401,15,FALSE)</f>
        <v>0.30624321406912008</v>
      </c>
      <c r="T643" s="31">
        <f>VLOOKUP($B643,Hitters!$A$1:$R$401,9,FALSE)</f>
        <v>31.873333333333335</v>
      </c>
      <c r="U643" s="31">
        <f>VLOOKUP($B643,Hitters!$A$1:$R$401,10,FALSE)</f>
        <v>6.2299999999999995</v>
      </c>
      <c r="V643" s="31">
        <f>VLOOKUP($B643,Hitters!$A$1:$R$401,11,FALSE)</f>
        <v>1.2500000000000002E-2</v>
      </c>
      <c r="W643" s="31">
        <f>VLOOKUP($B643,Hitters!$A$1:$R$401,12,FALSE)</f>
        <v>13.21</v>
      </c>
      <c r="X643" s="31">
        <f>VLOOKUP($B643,Hitters!$A$1:$R$401,13,FALSE)</f>
        <v>42.93</v>
      </c>
      <c r="Y643" s="33">
        <f>VLOOKUP($B643,Hitters!$A$1:$R$401,16,FALSE)</f>
        <v>0.38291397076443806</v>
      </c>
      <c r="Z643" s="33">
        <f>VLOOKUP($B643,Hitters!$A$1:$R$401,17,FALSE)</f>
        <v>0.68915718483355815</v>
      </c>
      <c r="AA643" s="31">
        <f>VLOOKUP($B643,Hitters!$A1:$R401,18,FALSE)</f>
        <v>0</v>
      </c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</row>
    <row r="644" spans="1:44" ht="18.600000000000001" customHeight="1">
      <c r="A644" s="25">
        <f ca="1">RANK(I644,I$2:I$651)</f>
        <v>643</v>
      </c>
      <c r="B644" s="26" t="s">
        <v>733</v>
      </c>
      <c r="C644" s="27" t="s">
        <v>258</v>
      </c>
      <c r="D644" s="27" t="s">
        <v>69</v>
      </c>
      <c r="E644" s="38" t="s">
        <v>27</v>
      </c>
      <c r="F644" s="39">
        <f ca="1">VLOOKUP(B644,SS!A1:I45,IF(Settings!$J$13="points",4,7),FALSE)</f>
        <v>43</v>
      </c>
      <c r="G644" s="30">
        <f>(M644*Settings!$B$2)+(N644*Settings!$B$3)+(O644*Settings!$B$4)+(P644*Settings!$B$5)+(Q644*Settings!$B$6)+((T644-U644-V644-O644)*Settings!$B$9)+(U644*Settings!$B$10)+(V644*Settings!$B$11)+(W644*Settings!$B$12)+(X644*Settings!$B$13)+(AA644*Settings!$B$16)</f>
        <v>91.322777777777773</v>
      </c>
      <c r="H644" s="31">
        <f>VLOOKUP(B644,'Standard Deviations'!$A1:$D651,4,FALSE)</f>
        <v>-6.0931831298726093</v>
      </c>
      <c r="I644" s="32">
        <f ca="1">IF(Settings!$J$16="no",VLOOKUP(B644,SS!A1:I45,IF(Settings!$J$13="points",6,9),FALSE),VLOOKUP(B644,'2B+SS'!$A1:$I94,IF(Settings!$J$13="points",6,9),FALSE))</f>
        <v>-6.0992260660004467</v>
      </c>
      <c r="J644" s="31"/>
      <c r="K644" s="31">
        <f ca="1">J644-A644</f>
        <v>-643</v>
      </c>
      <c r="L644" s="31"/>
      <c r="M644" s="31">
        <f>VLOOKUP($B644,Hitters!$A1:$R401,4,FALSE)</f>
        <v>164.56666666666666</v>
      </c>
      <c r="N644" s="31">
        <f>VLOOKUP($B644,Hitters!$A1:$R401,5,FALSE)</f>
        <v>19.225555555555555</v>
      </c>
      <c r="O644" s="31">
        <f>VLOOKUP($B644,Hitters!$A1:$R401,6,FALSE)</f>
        <v>4.128333333333333</v>
      </c>
      <c r="P644" s="31">
        <f>VLOOKUP($B644,Hitters!$A1:$R401,7,FALSE)</f>
        <v>16.931111111111111</v>
      </c>
      <c r="Q644" s="31">
        <f>VLOOKUP($B644,Hitters!$A1:$R401,8,FALSE)</f>
        <v>4.0883333333333329</v>
      </c>
      <c r="R644" s="33">
        <f>VLOOKUP($B644,Hitters!$A$1:$R$401,14,FALSE)</f>
        <v>0.21879684018634799</v>
      </c>
      <c r="S644" s="33">
        <f>VLOOKUP($B644,Hitters!$A$1:$R$401,15,FALSE)</f>
        <v>0.29424569089207592</v>
      </c>
      <c r="T644" s="31">
        <f>VLOOKUP($B644,Hitters!$A$1:$R$401,9,FALSE)</f>
        <v>36.006666666666668</v>
      </c>
      <c r="U644" s="31">
        <f>VLOOKUP($B644,Hitters!$A$1:$R$401,10,FALSE)</f>
        <v>7.4077777777777776</v>
      </c>
      <c r="V644" s="31">
        <f>VLOOKUP($B644,Hitters!$A$1:$R$401,11,FALSE)</f>
        <v>0.98222222222222222</v>
      </c>
      <c r="W644" s="31">
        <f>VLOOKUP($B644,Hitters!$A$1:$R$401,12,FALSE)</f>
        <v>14.851111111111111</v>
      </c>
      <c r="X644" s="31">
        <f>VLOOKUP($B644,Hitters!$A$1:$R$401,13,FALSE)</f>
        <v>51.251111111111108</v>
      </c>
      <c r="Y644" s="33">
        <f>VLOOKUP($B644,Hitters!$A$1:$R$401,16,FALSE)</f>
        <v>0.3510060090473297</v>
      </c>
      <c r="Z644" s="33">
        <f>VLOOKUP($B644,Hitters!$A$1:$R$401,17,FALSE)</f>
        <v>0.64525169993940557</v>
      </c>
      <c r="AA644" s="31">
        <f>VLOOKUP($B644,Hitters!$A1:$R401,18,FALSE)</f>
        <v>0</v>
      </c>
      <c r="AB644" s="31"/>
      <c r="AC644" s="31"/>
      <c r="AD644" s="33"/>
      <c r="AE644" s="33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</row>
    <row r="645" spans="1:44" ht="18.600000000000001" customHeight="1">
      <c r="A645" s="25">
        <f ca="1">RANK(I645,I$2:I$651)</f>
        <v>644</v>
      </c>
      <c r="B645" s="26" t="s">
        <v>725</v>
      </c>
      <c r="C645" s="27" t="s">
        <v>140</v>
      </c>
      <c r="D645" s="27" t="s">
        <v>69</v>
      </c>
      <c r="E645" s="40" t="s">
        <v>7</v>
      </c>
      <c r="F645" s="41">
        <f ca="1">VLOOKUP(B645,'1B'!A1:I63,IF(Settings!$J$13="points",4,7),FALSE)</f>
        <v>62</v>
      </c>
      <c r="G645" s="30">
        <f>(M645*Settings!$B$2)+(N645*Settings!$B$3)+(O645*Settings!$B$4)+(P645*Settings!$B$5)+(Q645*Settings!$B$6)+((T645-U645-V645-O645)*Settings!$B$9)+(U645*Settings!$B$10)+(V645*Settings!$B$11)+(W645*Settings!$B$12)+(X645*Settings!$B$13)+(AA645*Settings!$B$16)</f>
        <v>115.84333333333333</v>
      </c>
      <c r="H645" s="31">
        <f>VLOOKUP(B645,'Standard Deviations'!$A1:$D651,4,FALSE)</f>
        <v>-5.9330042305729469</v>
      </c>
      <c r="I645" s="32">
        <f ca="1">IF(Settings!$J$15="no",VLOOKUP(B645,'1B'!A1:I63,IF(Settings!$J$13="points",6,9),FALSE),VLOOKUP(B645,'1B+3B'!$A1:$I104,IF(Settings!$J$13="points",6,9),FALSE))</f>
        <v>-6.1584829657001885</v>
      </c>
      <c r="J645" s="31"/>
      <c r="K645" s="31">
        <f ca="1">J645-A645</f>
        <v>-644</v>
      </c>
      <c r="L645" s="31"/>
      <c r="M645" s="31">
        <f>VLOOKUP($B645,Hitters!$A1:$R401,4,FALSE)</f>
        <v>205.4</v>
      </c>
      <c r="N645" s="31">
        <f>VLOOKUP($B645,Hitters!$A1:$R401,5,FALSE)</f>
        <v>24.62</v>
      </c>
      <c r="O645" s="31">
        <f>VLOOKUP($B645,Hitters!$A1:$R401,6,FALSE)</f>
        <v>7.0625</v>
      </c>
      <c r="P645" s="31">
        <f>VLOOKUP($B645,Hitters!$A1:$R401,7,FALSE)</f>
        <v>24.706666666666667</v>
      </c>
      <c r="Q645" s="31">
        <f>VLOOKUP($B645,Hitters!$A1:$R401,8,FALSE)</f>
        <v>3</v>
      </c>
      <c r="R645" s="33">
        <f>VLOOKUP($B645,Hitters!$A$1:$R$401,14,FALSE)</f>
        <v>0.20624797143784487</v>
      </c>
      <c r="S645" s="33">
        <f>VLOOKUP($B645,Hitters!$A$1:$R$401,15,FALSE)</f>
        <v>0.30620320752028052</v>
      </c>
      <c r="T645" s="31">
        <f>VLOOKUP($B645,Hitters!$A$1:$R$401,9,FALSE)</f>
        <v>42.363333333333337</v>
      </c>
      <c r="U645" s="31">
        <f>VLOOKUP($B645,Hitters!$A$1:$R$401,10,FALSE)</f>
        <v>9.0124999999999993</v>
      </c>
      <c r="V645" s="31">
        <f>VLOOKUP($B645,Hitters!$A$1:$R$401,11,FALSE)</f>
        <v>0.35666666666666663</v>
      </c>
      <c r="W645" s="31">
        <f>VLOOKUP($B645,Hitters!$A$1:$R$401,12,FALSE)</f>
        <v>26.27</v>
      </c>
      <c r="X645" s="31">
        <f>VLOOKUP($B645,Hitters!$A$1:$R$401,13,FALSE)</f>
        <v>78.06</v>
      </c>
      <c r="Y645" s="33">
        <f>VLOOKUP($B645,Hitters!$A$1:$R$401,16,FALSE)</f>
        <v>0.35675105485232067</v>
      </c>
      <c r="Z645" s="33">
        <f>VLOOKUP($B645,Hitters!$A$1:$R$401,17,FALSE)</f>
        <v>0.66295426237260124</v>
      </c>
      <c r="AA645" s="31">
        <f>VLOOKUP($B645,Hitters!$A1:$R401,18,FALSE)</f>
        <v>0</v>
      </c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</row>
    <row r="646" spans="1:44" ht="18.600000000000001" customHeight="1">
      <c r="A646" s="25">
        <f ca="1">RANK(I646,I$2:I$651)</f>
        <v>645</v>
      </c>
      <c r="B646" s="50" t="s">
        <v>697</v>
      </c>
      <c r="C646" s="50" t="s">
        <v>114</v>
      </c>
      <c r="D646" s="27" t="s">
        <v>69</v>
      </c>
      <c r="E646" s="46" t="s">
        <v>19</v>
      </c>
      <c r="F646" s="47">
        <f ca="1">VLOOKUP(B646,'C'!A1:I54,IF(Settings!$J$13="points",4,7),FALSE)</f>
        <v>53</v>
      </c>
      <c r="G646" s="30">
        <f>(M646*Settings!$B$2)+(N646*Settings!$B$3)+(O646*Settings!$B$4)+(P646*Settings!$B$5)+(Q646*Settings!$B$6)+((T646-U646-V646-O646)*Settings!$B$9)+(U646*Settings!$B$10)+(V646*Settings!$B$11)+(W646*Settings!$B$12)+(X646*Settings!$B$13)+(AA646*Settings!$B$16)</f>
        <v>89.024444444444441</v>
      </c>
      <c r="H646" s="31">
        <f>VLOOKUP(B646,'Standard Deviations'!$A1:$D651,4,FALSE)</f>
        <v>-6.9781252994914862</v>
      </c>
      <c r="I646" s="32">
        <f ca="1">VLOOKUP(B646,'C'!A1:I54,IF(Settings!$J$13="points",6,9),FALSE)</f>
        <v>-6.1916065372762876</v>
      </c>
      <c r="J646" s="31"/>
      <c r="K646" s="31">
        <f ca="1">J646-A646</f>
        <v>-645</v>
      </c>
      <c r="L646" s="31"/>
      <c r="M646" s="31">
        <f>VLOOKUP($B646,Hitters!$A1:$R401,4,FALSE)</f>
        <v>190.79999999999998</v>
      </c>
      <c r="N646" s="31">
        <f>VLOOKUP($B646,Hitters!$A1:$R401,5,FALSE)</f>
        <v>21.504444444444445</v>
      </c>
      <c r="O646" s="31">
        <f>VLOOKUP($B646,Hitters!$A1:$R401,6,FALSE)</f>
        <v>5.9833333333333334</v>
      </c>
      <c r="P646" s="31">
        <f>VLOOKUP($B646,Hitters!$A1:$R401,7,FALSE)</f>
        <v>21.462222222222223</v>
      </c>
      <c r="Q646" s="31">
        <f>VLOOKUP($B646,Hitters!$A1:$R401,8,FALSE)</f>
        <v>1.1666666666666665E-2</v>
      </c>
      <c r="R646" s="33">
        <f>VLOOKUP($B646,Hitters!$A$1:$R$401,14,FALSE)</f>
        <v>0.20255066387141862</v>
      </c>
      <c r="S646" s="33">
        <f>VLOOKUP($B646,Hitters!$A$1:$R$401,15,FALSE)</f>
        <v>0.28268854590162928</v>
      </c>
      <c r="T646" s="31">
        <f>VLOOKUP($B646,Hitters!$A$1:$R$401,9,FALSE)</f>
        <v>38.646666666666668</v>
      </c>
      <c r="U646" s="31">
        <f>VLOOKUP($B646,Hitters!$A$1:$R$401,10,FALSE)</f>
        <v>8.85</v>
      </c>
      <c r="V646" s="31">
        <f>VLOOKUP($B646,Hitters!$A$1:$R$401,11,FALSE)</f>
        <v>3.3333333333333327E-3</v>
      </c>
      <c r="W646" s="31">
        <f>VLOOKUP($B646,Hitters!$A$1:$R$401,12,FALSE)</f>
        <v>18.05</v>
      </c>
      <c r="X646" s="31">
        <f>VLOOKUP($B646,Hitters!$A$1:$R$401,13,FALSE)</f>
        <v>74.937777777777782</v>
      </c>
      <c r="Y646" s="33">
        <f>VLOOKUP($B646,Hitters!$A$1:$R$401,16,FALSE)</f>
        <v>0.34304682040531098</v>
      </c>
      <c r="Z646" s="33">
        <f>VLOOKUP($B646,Hitters!$A$1:$R$401,17,FALSE)</f>
        <v>0.62573536630694027</v>
      </c>
      <c r="AA646" s="31">
        <f>VLOOKUP($B646,Hitters!$A1:$R401,18,FALSE)</f>
        <v>0</v>
      </c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</row>
    <row r="647" spans="1:44" ht="18.600000000000001" customHeight="1">
      <c r="A647" s="25">
        <f ca="1">RANK(I647,I$2:I$651)</f>
        <v>646</v>
      </c>
      <c r="B647" s="26" t="s">
        <v>734</v>
      </c>
      <c r="C647" s="27" t="s">
        <v>223</v>
      </c>
      <c r="D647" s="27" t="s">
        <v>74</v>
      </c>
      <c r="E647" s="38" t="s">
        <v>27</v>
      </c>
      <c r="F647" s="39">
        <f ca="1">VLOOKUP(B647,SS!A1:I45,IF(Settings!$J$13="points",4,7),FALSE)</f>
        <v>44</v>
      </c>
      <c r="G647" s="30">
        <f>(M647*Settings!$B$2)+(N647*Settings!$B$3)+(O647*Settings!$B$4)+(P647*Settings!$B$5)+(Q647*Settings!$B$6)+((T647-U647-V647-O647)*Settings!$B$9)+(U647*Settings!$B$10)+(V647*Settings!$B$11)+(W647*Settings!$B$12)+(X647*Settings!$B$13)+(AA647*Settings!$B$16)</f>
        <v>77.527222222222221</v>
      </c>
      <c r="H647" s="31">
        <f>VLOOKUP(B647,'Standard Deviations'!$A1:$D651,4,FALSE)</f>
        <v>-6.4706632512511657</v>
      </c>
      <c r="I647" s="32">
        <f ca="1">IF(Settings!$J$16="no",VLOOKUP(B647,SS!A1:I45,IF(Settings!$J$13="points",6,9),FALSE),VLOOKUP(B647,'2B+SS'!$A1:$I94,IF(Settings!$J$13="points",6,9),FALSE))</f>
        <v>-6.4767009300042684</v>
      </c>
      <c r="J647" s="31"/>
      <c r="K647" s="31">
        <f ca="1">J647-A647</f>
        <v>-646</v>
      </c>
      <c r="L647" s="31"/>
      <c r="M647" s="31">
        <f>VLOOKUP($B647,Hitters!$A1:$R401,4,FALSE)</f>
        <v>158</v>
      </c>
      <c r="N647" s="31">
        <f>VLOOKUP($B647,Hitters!$A1:$R401,5,FALSE)</f>
        <v>17.478888888888889</v>
      </c>
      <c r="O647" s="31">
        <f>VLOOKUP($B647,Hitters!$A1:$R401,6,FALSE)</f>
        <v>4.358888888888889</v>
      </c>
      <c r="P647" s="31">
        <f>VLOOKUP($B647,Hitters!$A1:$R401,7,FALSE)</f>
        <v>16.676666666666666</v>
      </c>
      <c r="Q647" s="31">
        <f>VLOOKUP($B647,Hitters!$A1:$R401,8,FALSE)</f>
        <v>4.17</v>
      </c>
      <c r="R647" s="33">
        <f>VLOOKUP($B647,Hitters!$A$1:$R$401,14,FALSE)</f>
        <v>0.21253867791842476</v>
      </c>
      <c r="S647" s="33">
        <f>VLOOKUP($B647,Hitters!$A$1:$R$401,15,FALSE)</f>
        <v>0.26880974062776619</v>
      </c>
      <c r="T647" s="31">
        <f>VLOOKUP($B647,Hitters!$A$1:$R$401,9,FALSE)</f>
        <v>33.581111111111113</v>
      </c>
      <c r="U647" s="31">
        <f>VLOOKUP($B647,Hitters!$A$1:$R$401,10,FALSE)</f>
        <v>6.9322222222222223</v>
      </c>
      <c r="V647" s="31">
        <f>VLOOKUP($B647,Hitters!$A$1:$R$401,11,FALSE)</f>
        <v>2.5000000000000005E-2</v>
      </c>
      <c r="W647" s="31">
        <f>VLOOKUP($B647,Hitters!$A$1:$R$401,12,FALSE)</f>
        <v>9.3711111111111105</v>
      </c>
      <c r="X647" s="31">
        <f>VLOOKUP($B647,Hitters!$A$1:$R$401,13,FALSE)</f>
        <v>55.958888888888886</v>
      </c>
      <c r="Y647" s="33">
        <f>VLOOKUP($B647,Hitters!$A$1:$R$401,16,FALSE)</f>
        <v>0.33949367088607596</v>
      </c>
      <c r="Z647" s="33">
        <f>VLOOKUP($B647,Hitters!$A$1:$R$401,17,FALSE)</f>
        <v>0.60830341151384215</v>
      </c>
      <c r="AA647" s="31">
        <f>VLOOKUP($B647,Hitters!$A1:$R401,18,FALSE)</f>
        <v>0</v>
      </c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</row>
    <row r="648" spans="1:44" ht="18.600000000000001" customHeight="1">
      <c r="A648" s="25">
        <f ca="1">RANK(I648,I$2:I$651)</f>
        <v>647</v>
      </c>
      <c r="B648" s="26" t="s">
        <v>747</v>
      </c>
      <c r="C648" s="27" t="s">
        <v>81</v>
      </c>
      <c r="D648" s="27" t="s">
        <v>74</v>
      </c>
      <c r="E648" s="48" t="s">
        <v>11</v>
      </c>
      <c r="F648" s="49">
        <f ca="1">VLOOKUP(B648,'2B'!A1:I50,IF(Settings!$J$13="points",4,7),FALSE)</f>
        <v>49</v>
      </c>
      <c r="G648" s="30">
        <f>(M648*Settings!$B$2)+(N648*Settings!$B$3)+(O648*Settings!$B$4)+(P648*Settings!$B$5)+(Q648*Settings!$B$6)+((T648-U648-V648-O648)*Settings!$B$9)+(U648*Settings!$B$10)+(V648*Settings!$B$11)+(W648*Settings!$B$12)+(X648*Settings!$B$13)+(AA648*Settings!$B$16)</f>
        <v>51.400833333333338</v>
      </c>
      <c r="H648" s="31">
        <f>VLOOKUP(B648,'Standard Deviations'!$A1:$D651,4,FALSE)</f>
        <v>-6.7573270841190656</v>
      </c>
      <c r="I648" s="32">
        <f ca="1">IF(Settings!$J$16="no",VLOOKUP(B648,'2B'!A1:I50,IF(Settings!$J$13="points",6,9),FALSE),VLOOKUP(B648,'2B+SS'!$A1:$I94,IF(Settings!$J$13="points",6,9),FALSE))</f>
        <v>-6.7633726788429414</v>
      </c>
      <c r="J648" s="31"/>
      <c r="K648" s="31">
        <f ca="1">J648-A648</f>
        <v>-647</v>
      </c>
      <c r="L648" s="31"/>
      <c r="M648" s="31">
        <f>VLOOKUP($B648,Hitters!$A1:$R401,4,FALSE)</f>
        <v>78.266666666666666</v>
      </c>
      <c r="N648" s="31">
        <f>VLOOKUP($B648,Hitters!$A1:$R401,5,FALSE)</f>
        <v>10.141666666666667</v>
      </c>
      <c r="O648" s="31">
        <f>VLOOKUP($B648,Hitters!$A1:$R401,6,FALSE)</f>
        <v>0.85416666666666663</v>
      </c>
      <c r="P648" s="31">
        <f>VLOOKUP($B648,Hitters!$A1:$R401,7,FALSE)</f>
        <v>7.2041666666666657</v>
      </c>
      <c r="Q648" s="31">
        <f>VLOOKUP($B648,Hitters!$A1:$R401,8,FALSE)</f>
        <v>4.7</v>
      </c>
      <c r="R648" s="33">
        <f>VLOOKUP($B648,Hitters!$A$1:$R$401,14,FALSE)</f>
        <v>0.22874787052810902</v>
      </c>
      <c r="S648" s="33">
        <f>VLOOKUP($B648,Hitters!$A$1:$R$401,15,FALSE)</f>
        <v>0.31697830194922172</v>
      </c>
      <c r="T648" s="31">
        <f>VLOOKUP($B648,Hitters!$A$1:$R$401,9,FALSE)</f>
        <v>17.903333333333332</v>
      </c>
      <c r="U648" s="31">
        <f>VLOOKUP($B648,Hitters!$A$1:$R$401,10,FALSE)</f>
        <v>3.3000000000000003</v>
      </c>
      <c r="V648" s="31">
        <f>VLOOKUP($B648,Hitters!$A$1:$R$401,11,FALSE)</f>
        <v>0.46166666666666667</v>
      </c>
      <c r="W648" s="31">
        <f>VLOOKUP($B648,Hitters!$A$1:$R$401,12,FALSE)</f>
        <v>8.8800000000000008</v>
      </c>
      <c r="X648" s="31">
        <f>VLOOKUP($B648,Hitters!$A$1:$R$401,13,FALSE)</f>
        <v>17.828333333333333</v>
      </c>
      <c r="Y648" s="33">
        <f>VLOOKUP($B648,Hitters!$A$1:$R$401,16,FALSE)</f>
        <v>0.31544931856899494</v>
      </c>
      <c r="Z648" s="33">
        <f>VLOOKUP($B648,Hitters!$A$1:$R$401,17,FALSE)</f>
        <v>0.63242762051821666</v>
      </c>
      <c r="AA648" s="31">
        <f>VLOOKUP($B648,Hitters!$A1:$R401,18,FALSE)</f>
        <v>0</v>
      </c>
      <c r="AB648" s="31"/>
      <c r="AC648" s="31"/>
      <c r="AD648" s="33"/>
      <c r="AE648" s="33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</row>
    <row r="649" spans="1:44" ht="18.600000000000001" customHeight="1">
      <c r="A649" s="25">
        <f ca="1">RANK(I649,I$2:I$651)</f>
        <v>648</v>
      </c>
      <c r="B649" s="26" t="s">
        <v>720</v>
      </c>
      <c r="C649" s="27" t="s">
        <v>258</v>
      </c>
      <c r="D649" s="27" t="s">
        <v>69</v>
      </c>
      <c r="E649" s="34" t="s">
        <v>15</v>
      </c>
      <c r="F649" s="35">
        <f ca="1">VLOOKUP(B649,'3B'!A1:I55,IF(Settings!$J$13="points",4,7),FALSE)</f>
        <v>54</v>
      </c>
      <c r="G649" s="30">
        <f>(M649*Settings!$B$2)+(N649*Settings!$B$3)+(O649*Settings!$B$4)+(P649*Settings!$B$5)+(Q649*Settings!$B$6)+((T649-U649-V649-O649)*Settings!$B$9)+(U649*Settings!$B$10)+(V649*Settings!$B$11)+(W649*Settings!$B$12)+(X649*Settings!$B$13)+(AA649*Settings!$B$16)</f>
        <v>68.832777777777764</v>
      </c>
      <c r="H649" s="31">
        <f>VLOOKUP(B649,'Standard Deviations'!$A1:$D651,4,FALSE)</f>
        <v>-6.5967388389508912</v>
      </c>
      <c r="I649" s="32">
        <f ca="1">IF(Settings!$J$15="no",VLOOKUP(B649,'3B'!A1:I55,IF(Settings!$J$13="points",6,9),FALSE),VLOOKUP(B649,'1B+3B'!$A1:$I104,IF(Settings!$J$13="points",6,9),FALSE))</f>
        <v>-6.8222200978970626</v>
      </c>
      <c r="J649" s="31"/>
      <c r="K649" s="31">
        <f ca="1">J649-A649</f>
        <v>-648</v>
      </c>
      <c r="L649" s="31"/>
      <c r="M649" s="31">
        <f>VLOOKUP($B649,Hitters!$A1:$R401,4,FALSE)</f>
        <v>122.05555555555554</v>
      </c>
      <c r="N649" s="31">
        <f>VLOOKUP($B649,Hitters!$A1:$R401,5,FALSE)</f>
        <v>13.504444444444445</v>
      </c>
      <c r="O649" s="31">
        <f>VLOOKUP($B649,Hitters!$A1:$R401,6,FALSE)</f>
        <v>3.0433333333333334</v>
      </c>
      <c r="P649" s="31">
        <f>VLOOKUP($B649,Hitters!$A1:$R401,7,FALSE)</f>
        <v>13.806666666666667</v>
      </c>
      <c r="Q649" s="31">
        <f>VLOOKUP($B649,Hitters!$A1:$R401,8,FALSE)</f>
        <v>0.98555555555555552</v>
      </c>
      <c r="R649" s="33">
        <f>VLOOKUP($B649,Hitters!$A$1:$R$401,14,FALSE)</f>
        <v>0.2279745106964042</v>
      </c>
      <c r="S649" s="33">
        <f>VLOOKUP($B649,Hitters!$A$1:$R$401,15,FALSE)</f>
        <v>0.3082801813494675</v>
      </c>
      <c r="T649" s="31">
        <f>VLOOKUP($B649,Hitters!$A$1:$R$401,9,FALSE)</f>
        <v>27.825555555555553</v>
      </c>
      <c r="U649" s="31">
        <f>VLOOKUP($B649,Hitters!$A$1:$R$401,10,FALSE)</f>
        <v>5.4822222222222221</v>
      </c>
      <c r="V649" s="31">
        <f>VLOOKUP($B649,Hitters!$A$1:$R$401,11,FALSE)</f>
        <v>6.6666666666666654E-3</v>
      </c>
      <c r="W649" s="31">
        <f>VLOOKUP($B649,Hitters!$A$1:$R$401,12,FALSE)</f>
        <v>12.206666666666669</v>
      </c>
      <c r="X649" s="31">
        <f>VLOOKUP($B649,Hitters!$A$1:$R$401,13,FALSE)</f>
        <v>30.214444444444442</v>
      </c>
      <c r="Y649" s="33">
        <f>VLOOKUP($B649,Hitters!$A$1:$R$401,16,FALSE)</f>
        <v>0.3478015475648612</v>
      </c>
      <c r="Z649" s="33">
        <f>VLOOKUP($B649,Hitters!$A$1:$R$401,17,FALSE)</f>
        <v>0.6560817289143287</v>
      </c>
      <c r="AA649" s="31">
        <f>VLOOKUP($B649,Hitters!$A1:$R401,18,FALSE)</f>
        <v>0</v>
      </c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</row>
    <row r="650" spans="1:44" ht="18.600000000000001" customHeight="1">
      <c r="A650" s="25">
        <f ca="1">RANK(I650,I$2:I$651)</f>
        <v>649</v>
      </c>
      <c r="B650" s="26" t="s">
        <v>724</v>
      </c>
      <c r="C650" s="27" t="s">
        <v>76</v>
      </c>
      <c r="D650" s="27" t="s">
        <v>69</v>
      </c>
      <c r="E650" s="44" t="s">
        <v>112</v>
      </c>
      <c r="F650" s="45">
        <f ca="1">VLOOKUP(B650,'1B'!A1:I63,IF(Settings!$J$13="points",4,7),FALSE)</f>
        <v>57</v>
      </c>
      <c r="G650" s="30">
        <f>(M650*Settings!$B$2)+(N650*Settings!$B$3)+(O650*Settings!$B$4)+(P650*Settings!$B$5)+(Q650*Settings!$B$6)+((T650-U650-V650-O650)*Settings!$B$9)+(U650*Settings!$B$10)+(V650*Settings!$B$11)+(W650*Settings!$B$12)+(X650*Settings!$B$13)+(AA650*Settings!$B$16)</f>
        <v>90.176666666666677</v>
      </c>
      <c r="H650" s="31">
        <f>VLOOKUP(B650,'Standard Deviations'!$A1:$D651,4,FALSE)</f>
        <v>-5.0972293181120589</v>
      </c>
      <c r="I650" s="32">
        <f ca="1">VLOOKUP(B650,'1B'!A1:I63,IF(Settings!$J$13="points",6,9),FALSE)</f>
        <v>-6.8893520844594374</v>
      </c>
      <c r="J650" s="31"/>
      <c r="K650" s="31">
        <f ca="1">J650-A650</f>
        <v>-649</v>
      </c>
      <c r="L650" s="31"/>
      <c r="M650" s="31">
        <f>VLOOKUP($B650,Hitters!$A1:$R401,4,FALSE)</f>
        <v>151.04999999999998</v>
      </c>
      <c r="N650" s="31">
        <f>VLOOKUP($B650,Hitters!$A1:$R401,5,FALSE)</f>
        <v>18.596666666666668</v>
      </c>
      <c r="O650" s="31">
        <f>VLOOKUP($B650,Hitters!$A1:$R401,6,FALSE)</f>
        <v>4.2850000000000001</v>
      </c>
      <c r="P650" s="31">
        <f>VLOOKUP($B650,Hitters!$A1:$R401,7,FALSE)</f>
        <v>18.155000000000001</v>
      </c>
      <c r="Q650" s="31">
        <f>VLOOKUP($B650,Hitters!$A1:$R401,8,FALSE)</f>
        <v>1.9883333333333333</v>
      </c>
      <c r="R650" s="33">
        <f>VLOOKUP($B650,Hitters!$A$1:$R$401,14,FALSE)</f>
        <v>0.24271212622751853</v>
      </c>
      <c r="S650" s="33">
        <f>VLOOKUP($B650,Hitters!$A$1:$R$401,15,FALSE)</f>
        <v>0.30740367320192685</v>
      </c>
      <c r="T650" s="31">
        <f>VLOOKUP($B650,Hitters!$A$1:$R$401,9,FALSE)</f>
        <v>36.661666666666669</v>
      </c>
      <c r="U650" s="31">
        <f>VLOOKUP($B650,Hitters!$A$1:$R$401,10,FALSE)</f>
        <v>7.3649999999999993</v>
      </c>
      <c r="V650" s="31">
        <f>VLOOKUP($B650,Hitters!$A$1:$R$401,11,FALSE)</f>
        <v>0.52666666666666673</v>
      </c>
      <c r="W650" s="31">
        <f>VLOOKUP($B650,Hitters!$A$1:$R$401,12,FALSE)</f>
        <v>11.673333333333332</v>
      </c>
      <c r="X650" s="31">
        <f>VLOOKUP($B650,Hitters!$A$1:$R$401,13,FALSE)</f>
        <v>40.32</v>
      </c>
      <c r="Y650" s="33">
        <f>VLOOKUP($B650,Hitters!$A$1:$R$401,16,FALSE)</f>
        <v>0.38354849387619999</v>
      </c>
      <c r="Z650" s="33">
        <f>VLOOKUP($B650,Hitters!$A$1:$R$401,17,FALSE)</f>
        <v>0.6909521670781269</v>
      </c>
      <c r="AA650" s="31">
        <f>VLOOKUP($B650,Hitters!$A1:$R401,18,FALSE)</f>
        <v>0</v>
      </c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</row>
    <row r="651" spans="1:44" ht="18.600000000000001" customHeight="1">
      <c r="A651" s="25">
        <f ca="1">RANK(I651,I$2:I$651)</f>
        <v>650</v>
      </c>
      <c r="B651" s="26" t="s">
        <v>722</v>
      </c>
      <c r="C651" s="27" t="s">
        <v>71</v>
      </c>
      <c r="D651" s="27" t="s">
        <v>69</v>
      </c>
      <c r="E651" s="44" t="s">
        <v>112</v>
      </c>
      <c r="F651" s="45">
        <f ca="1">VLOOKUP(B651,'1B'!A1:I63,IF(Settings!$J$13="points",4,7),FALSE)</f>
        <v>61</v>
      </c>
      <c r="G651" s="30">
        <f>(M651*Settings!$B$2)+(N651*Settings!$B$3)+(O651*Settings!$B$4)+(P651*Settings!$B$5)+(Q651*Settings!$B$6)+((T651-U651-V651-O651)*Settings!$B$9)+(U651*Settings!$B$10)+(V651*Settings!$B$11)+(W651*Settings!$B$12)+(X651*Settings!$B$13)+(AA651*Settings!$B$16)</f>
        <v>94.023333333333312</v>
      </c>
      <c r="H651" s="31">
        <f>VLOOKUP(B651,'Standard Deviations'!$A1:$D651,4,FALSE)</f>
        <v>-5.6533627040104362</v>
      </c>
      <c r="I651" s="32">
        <f ca="1">VLOOKUP(B651,'1B'!A1:I63,IF(Settings!$J$13="points",6,9),FALSE)</f>
        <v>-7.4454873329987903</v>
      </c>
      <c r="J651" s="31"/>
      <c r="K651" s="31">
        <f ca="1">J651-A651</f>
        <v>-650</v>
      </c>
      <c r="L651" s="31"/>
      <c r="M651" s="31">
        <f>VLOOKUP($B651,Hitters!$A1:$R401,4,FALSE)</f>
        <v>166.22499999999999</v>
      </c>
      <c r="N651" s="31">
        <f>VLOOKUP($B651,Hitters!$A1:$R401,5,FALSE)</f>
        <v>19.057500000000001</v>
      </c>
      <c r="O651" s="31">
        <f>VLOOKUP($B651,Hitters!$A1:$R401,6,FALSE)</f>
        <v>3.0425</v>
      </c>
      <c r="P651" s="31">
        <f>VLOOKUP($B651,Hitters!$A1:$R401,7,FALSE)</f>
        <v>17</v>
      </c>
      <c r="Q651" s="31">
        <f>VLOOKUP($B651,Hitters!$A1:$R401,8,FALSE)</f>
        <v>4.7500000000000007E-2</v>
      </c>
      <c r="R651" s="33">
        <f>VLOOKUP($B651,Hitters!$A$1:$R$401,14,FALSE)</f>
        <v>0.2409535268461423</v>
      </c>
      <c r="S651" s="33">
        <f>VLOOKUP($B651,Hitters!$A$1:$R$401,15,FALSE)</f>
        <v>0.31029698527556476</v>
      </c>
      <c r="T651" s="31">
        <f>VLOOKUP($B651,Hitters!$A$1:$R$401,9,FALSE)</f>
        <v>40.052500000000002</v>
      </c>
      <c r="U651" s="31">
        <f>VLOOKUP($B651,Hitters!$A$1:$R$401,10,FALSE)</f>
        <v>8.0525000000000002</v>
      </c>
      <c r="V651" s="31">
        <f>VLOOKUP($B651,Hitters!$A$1:$R$401,11,FALSE)</f>
        <v>7.4999999999999997E-3</v>
      </c>
      <c r="W651" s="31">
        <f>VLOOKUP($B651,Hitters!$A$1:$R$401,12,FALSE)</f>
        <v>14.052500000000002</v>
      </c>
      <c r="X651" s="31">
        <f>VLOOKUP($B651,Hitters!$A$1:$R$401,13,FALSE)</f>
        <v>26.858333333333334</v>
      </c>
      <c r="Y651" s="33">
        <f>VLOOKUP($B651,Hitters!$A$1:$R$401,16,FALSE)</f>
        <v>0.34439765378252374</v>
      </c>
      <c r="Z651" s="33">
        <f>VLOOKUP($B651,Hitters!$A$1:$R$401,17,FALSE)</f>
        <v>0.65469463905808856</v>
      </c>
      <c r="AA651" s="31">
        <f>VLOOKUP($B651,Hitters!$A1:$R401,18,FALSE)</f>
        <v>0</v>
      </c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</row>
  </sheetData>
  <autoFilter ref="A1:AR651" xr:uid="{00000000-0001-0000-0100-000000000000}">
    <filterColumn colId="4" showButton="0"/>
    <sortState xmlns:xlrd2="http://schemas.microsoft.com/office/spreadsheetml/2017/richdata2" ref="A2:AR651">
      <sortCondition ref="A1:A651"/>
    </sortState>
  </autoFilter>
  <sortState xmlns:xlrd2="http://schemas.microsoft.com/office/spreadsheetml/2017/richdata2" ref="A2:AR651">
    <sortCondition ref="A2:A651"/>
  </sortState>
  <mergeCells count="1">
    <mergeCell ref="E1:F1"/>
  </mergeCells>
  <conditionalFormatting sqref="K2:K651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45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3" width="7.140625" style="1" customWidth="1"/>
    <col min="4" max="5" width="6" style="1" customWidth="1"/>
    <col min="6" max="8" width="9.42578125" style="1" customWidth="1"/>
    <col min="9" max="9" width="2.28515625" style="1" customWidth="1"/>
    <col min="10" max="25" width="7.140625" style="1" customWidth="1"/>
    <col min="26" max="26" width="16.28515625" style="1" customWidth="1"/>
    <col min="27" max="16384" width="16.28515625" style="1"/>
  </cols>
  <sheetData>
    <row r="1" spans="1:25" ht="18.600000000000001" customHeight="1" thickBot="1">
      <c r="A1" s="51" t="s">
        <v>735</v>
      </c>
      <c r="B1" s="52" t="s">
        <v>59</v>
      </c>
      <c r="C1" s="53" t="s">
        <v>60</v>
      </c>
      <c r="D1" s="175" t="s">
        <v>61</v>
      </c>
      <c r="E1" s="176"/>
      <c r="F1" s="54" t="s">
        <v>62</v>
      </c>
      <c r="G1" s="52" t="s">
        <v>63</v>
      </c>
      <c r="H1" s="52" t="s">
        <v>64</v>
      </c>
      <c r="I1" s="55"/>
      <c r="J1" s="52" t="s">
        <v>5</v>
      </c>
      <c r="K1" s="52" t="s">
        <v>9</v>
      </c>
      <c r="L1" s="52" t="s">
        <v>13</v>
      </c>
      <c r="M1" s="52" t="s">
        <v>17</v>
      </c>
      <c r="N1" s="52" t="s">
        <v>21</v>
      </c>
      <c r="O1" s="52" t="s">
        <v>25</v>
      </c>
      <c r="P1" s="52" t="s">
        <v>29</v>
      </c>
      <c r="Q1" s="52" t="s">
        <v>33</v>
      </c>
      <c r="R1" s="52" t="s">
        <v>11</v>
      </c>
      <c r="S1" s="52" t="s">
        <v>15</v>
      </c>
      <c r="T1" s="52" t="s">
        <v>36</v>
      </c>
      <c r="U1" s="52" t="s">
        <v>40</v>
      </c>
      <c r="V1" s="52" t="s">
        <v>45</v>
      </c>
      <c r="W1" s="52" t="s">
        <v>47</v>
      </c>
      <c r="X1" s="52" t="s">
        <v>51</v>
      </c>
      <c r="Y1" s="55"/>
    </row>
    <row r="2" spans="1:25" ht="18.600000000000001" customHeight="1">
      <c r="A2" s="56" t="s">
        <v>93</v>
      </c>
      <c r="B2" s="57" t="str">
        <f>IFERROR(VLOOKUP($A2,Rankings!B1:C519,2,FALSE)," ")</f>
        <v>TOR</v>
      </c>
      <c r="C2" s="57" t="str">
        <f>IFERROR(VLOOKUP($A2,Rankings!B1:D519,3,FALSE)," ")</f>
        <v>AL</v>
      </c>
      <c r="D2" s="58" t="s">
        <v>7</v>
      </c>
      <c r="E2" s="59">
        <f ca="1">IFERROR(VLOOKUP($A2,Rankings!B1:F519,5,FALSE)," ")</f>
        <v>1</v>
      </c>
      <c r="F2" s="163">
        <f>IFERROR(VLOOKUP(A2,Rankings!B:G,6,FALSE)," ")</f>
        <v>539.89722222222213</v>
      </c>
      <c r="G2" s="61">
        <f>IFERROR(VLOOKUP(A2,'Standard Deviations'!A1:D536,4,FALSE)," ")</f>
        <v>9.6358241194264433</v>
      </c>
      <c r="H2" s="62">
        <f ca="1">IFERROR(VLOOKUP($A2,Rankings!B1:I519,8,FALSE)," ")</f>
        <v>9.410344607116194</v>
      </c>
      <c r="I2" s="61"/>
      <c r="J2" s="61">
        <f>IFERROR(VLOOKUP($A2,Hitters!$A1:$R1500,4,FALSE)," ")</f>
        <v>575.31666666666672</v>
      </c>
      <c r="K2" s="61">
        <f>IFERROR(VLOOKUP($A2,Hitters!$A1:$R1500,5,FALSE)," ")</f>
        <v>97.761666666666656</v>
      </c>
      <c r="L2" s="61">
        <f>IFERROR(VLOOKUP($A2,Hitters!$A1:$R1500,6,FALSE)," ")</f>
        <v>35.516666666666666</v>
      </c>
      <c r="M2" s="61">
        <f>IFERROR(VLOOKUP($A2,Hitters!$A1:$R1500,7,FALSE)," ")</f>
        <v>104.60000000000001</v>
      </c>
      <c r="N2" s="61">
        <f>IFERROR(VLOOKUP($A2,Hitters!$A1:$R1500,8,FALSE)," ")</f>
        <v>6.8677777777777775</v>
      </c>
      <c r="O2" s="151">
        <f>IFERROR(VLOOKUP($A2,Hitters!$A$1:$R$1500,14,FALSE)," ")</f>
        <v>0.2915283370510926</v>
      </c>
      <c r="P2" s="151">
        <f>IFERROR(VLOOKUP($A2,Hitters!$A$1:$R$1500,15,FALSE)," ")</f>
        <v>0.37146797575949253</v>
      </c>
      <c r="Q2" s="153">
        <f>IFERROR(VLOOKUP($A2,Hitters!$A$1:$R$1500,9,FALSE)," ")</f>
        <v>167.7211111111111</v>
      </c>
      <c r="R2" s="153">
        <f>IFERROR(VLOOKUP($A2,Hitters!$A$1:$R$1500,10,FALSE)," ")</f>
        <v>32.716666666666669</v>
      </c>
      <c r="S2" s="153">
        <f>IFERROR(VLOOKUP($A2,Hitters!$A$1:$R$1500,11,FALSE)," ")</f>
        <v>0.99777777777777776</v>
      </c>
      <c r="T2" s="153">
        <f>IFERROR(VLOOKUP($A2,Hitters!$A$1:$R$1500,12,FALSE)," ")</f>
        <v>65.588888888888889</v>
      </c>
      <c r="U2" s="153">
        <f>IFERROR(VLOOKUP($A2,Hitters!$A$1:$R$1500,13,FALSE)," ")</f>
        <v>101.54444444444444</v>
      </c>
      <c r="V2" s="63">
        <f>IFERROR(VLOOKUP($A2,Hitters!$A1:$R1500,16,FALSE)," ")</f>
        <v>0.53706654306324053</v>
      </c>
      <c r="W2" s="63">
        <f>IFERROR(VLOOKUP($A2,Hitters!$A1:$R1500,17,FALSE)," ")</f>
        <v>0.90853451882273306</v>
      </c>
      <c r="X2" s="61">
        <f>IFERROR(VLOOKUP($A2,Hitters!$A1:$R1500,18,FALSE)," ")</f>
        <v>0</v>
      </c>
      <c r="Y2" s="61"/>
    </row>
    <row r="3" spans="1:25" ht="18.600000000000001" customHeight="1">
      <c r="A3" s="64"/>
      <c r="B3" s="11" t="str">
        <f>IFERROR(VLOOKUP($A3,Rankings!B1:C519,2,FALSE)," ")</f>
        <v xml:space="preserve"> </v>
      </c>
      <c r="C3" s="11" t="str">
        <f>IFERROR(VLOOKUP($A3,Rankings!B1:D519,3,FALSE)," ")</f>
        <v xml:space="preserve"> </v>
      </c>
      <c r="D3" s="65" t="s">
        <v>7</v>
      </c>
      <c r="E3" s="66" t="str">
        <f>IFERROR(VLOOKUP($A3,Rankings!B1:F519,5,FALSE)," ")</f>
        <v xml:space="preserve"> </v>
      </c>
      <c r="F3" s="164" t="str">
        <f>IFERROR(VLOOKUP(A3,Rankings!B:G,6,FALSE)," ")</f>
        <v xml:space="preserve"> </v>
      </c>
      <c r="G3" s="67" t="str">
        <f>IFERROR(VLOOKUP(A3,'Standard Deviations'!A1:D536,4,FALSE)," ")</f>
        <v xml:space="preserve"> </v>
      </c>
      <c r="H3" s="71" t="str">
        <f>IFERROR(VLOOKUP($A3,Rankings!B1:I519,8,FALSE)," ")</f>
        <v xml:space="preserve"> </v>
      </c>
      <c r="I3" s="67"/>
      <c r="J3" s="67" t="str">
        <f>IFERROR(VLOOKUP($A3,Hitters!$A1:$R1500,4,FALSE)," ")</f>
        <v xml:space="preserve"> </v>
      </c>
      <c r="K3" s="67" t="str">
        <f>IFERROR(VLOOKUP($A3,Hitters!$A1:$R1500,5,FALSE)," ")</f>
        <v xml:space="preserve"> </v>
      </c>
      <c r="L3" s="67" t="str">
        <f>IFERROR(VLOOKUP($A3,Hitters!$A1:$R1500,6,FALSE)," ")</f>
        <v xml:space="preserve"> </v>
      </c>
      <c r="M3" s="67" t="str">
        <f>IFERROR(VLOOKUP($A3,Hitters!$A1:$R1500,7,FALSE)," ")</f>
        <v xml:space="preserve"> </v>
      </c>
      <c r="N3" s="67" t="str">
        <f>IFERROR(VLOOKUP($A3,Hitters!$A1:$R1500,8,FALSE)," ")</f>
        <v xml:space="preserve"> </v>
      </c>
      <c r="O3" s="152" t="str">
        <f>IFERROR(VLOOKUP($A3,Hitters!$A$1:$R$1500,14,FALSE)," ")</f>
        <v xml:space="preserve"> </v>
      </c>
      <c r="P3" s="152" t="str">
        <f>IFERROR(VLOOKUP($A3,Hitters!$A$1:$R$1500,15,FALSE)," ")</f>
        <v xml:space="preserve"> </v>
      </c>
      <c r="Q3" s="154" t="str">
        <f>IFERROR(VLOOKUP($A3,Hitters!$A$1:$R$1500,9,FALSE)," ")</f>
        <v xml:space="preserve"> </v>
      </c>
      <c r="R3" s="154" t="str">
        <f>IFERROR(VLOOKUP($A3,Hitters!$A$1:$R$1500,10,FALSE)," ")</f>
        <v xml:space="preserve"> </v>
      </c>
      <c r="S3" s="154" t="str">
        <f>IFERROR(VLOOKUP($A3,Hitters!$A$1:$R$1500,11,FALSE)," ")</f>
        <v xml:space="preserve"> </v>
      </c>
      <c r="T3" s="154" t="str">
        <f>IFERROR(VLOOKUP($A3,Hitters!$A$1:$R$1500,12,FALSE)," ")</f>
        <v xml:space="preserve"> </v>
      </c>
      <c r="U3" s="154" t="str">
        <f>IFERROR(VLOOKUP($A3,Hitters!$A$1:$R$1500,13,FALSE)," ")</f>
        <v xml:space="preserve"> </v>
      </c>
      <c r="V3" s="72" t="str">
        <f>IFERROR(VLOOKUP($A3,Hitters!$A1:$R1500,16,FALSE)," ")</f>
        <v xml:space="preserve"> </v>
      </c>
      <c r="W3" s="72" t="str">
        <f>IFERROR(VLOOKUP($A3,Hitters!$A1:$R1500,17,FALSE)," ")</f>
        <v xml:space="preserve"> </v>
      </c>
      <c r="X3" s="67" t="str">
        <f>IFERROR(VLOOKUP($A3,Hitters!$A1:$R1500,18,FALSE)," ")</f>
        <v xml:space="preserve"> </v>
      </c>
      <c r="Y3" s="6"/>
    </row>
    <row r="4" spans="1:25" ht="18.600000000000001" customHeight="1">
      <c r="A4" s="64"/>
      <c r="B4" s="11" t="str">
        <f>IFERROR(VLOOKUP($A4,Rankings!B1:C519,2,FALSE)," ")</f>
        <v xml:space="preserve"> </v>
      </c>
      <c r="C4" s="11" t="str">
        <f>IFERROR(VLOOKUP($A4,Rankings!B1:D519,3,FALSE)," ")</f>
        <v xml:space="preserve"> </v>
      </c>
      <c r="D4" s="65" t="s">
        <v>7</v>
      </c>
      <c r="E4" s="66" t="str">
        <f>IFERROR(VLOOKUP($A4,Rankings!B1:F519,5,FALSE)," ")</f>
        <v xml:space="preserve"> </v>
      </c>
      <c r="F4" s="164" t="str">
        <f>IFERROR(VLOOKUP(A4,Rankings!B:G,6,FALSE)," ")</f>
        <v xml:space="preserve"> </v>
      </c>
      <c r="G4" s="67" t="str">
        <f>IFERROR(VLOOKUP(A4,'Standard Deviations'!A1:D536,4,FALSE)," ")</f>
        <v xml:space="preserve"> </v>
      </c>
      <c r="H4" s="71" t="str">
        <f>IFERROR(VLOOKUP($A4,Rankings!B1:I519,8,FALSE)," ")</f>
        <v xml:space="preserve"> </v>
      </c>
      <c r="I4" s="67"/>
      <c r="J4" s="67" t="str">
        <f>IFERROR(VLOOKUP($A4,Hitters!$A1:$R1500,4,FALSE)," ")</f>
        <v xml:space="preserve"> </v>
      </c>
      <c r="K4" s="67" t="str">
        <f>IFERROR(VLOOKUP($A4,Hitters!$A1:$R1500,5,FALSE)," ")</f>
        <v xml:space="preserve"> </v>
      </c>
      <c r="L4" s="67" t="str">
        <f>IFERROR(VLOOKUP($A4,Hitters!$A1:$R1500,6,FALSE)," ")</f>
        <v xml:space="preserve"> </v>
      </c>
      <c r="M4" s="67" t="str">
        <f>IFERROR(VLOOKUP($A4,Hitters!$A1:$R1500,7,FALSE)," ")</f>
        <v xml:space="preserve"> </v>
      </c>
      <c r="N4" s="67" t="str">
        <f>IFERROR(VLOOKUP($A4,Hitters!$A1:$R1500,8,FALSE)," ")</f>
        <v xml:space="preserve"> </v>
      </c>
      <c r="O4" s="152" t="str">
        <f>IFERROR(VLOOKUP($A4,Hitters!$A$1:$R$1500,14,FALSE)," ")</f>
        <v xml:space="preserve"> </v>
      </c>
      <c r="P4" s="152" t="str">
        <f>IFERROR(VLOOKUP($A4,Hitters!$A$1:$R$1500,15,FALSE)," ")</f>
        <v xml:space="preserve"> </v>
      </c>
      <c r="Q4" s="154" t="str">
        <f>IFERROR(VLOOKUP($A4,Hitters!$A$1:$R$1500,9,FALSE)," ")</f>
        <v xml:space="preserve"> </v>
      </c>
      <c r="R4" s="154" t="str">
        <f>IFERROR(VLOOKUP($A4,Hitters!$A$1:$R$1500,10,FALSE)," ")</f>
        <v xml:space="preserve"> </v>
      </c>
      <c r="S4" s="154" t="str">
        <f>IFERROR(VLOOKUP($A4,Hitters!$A$1:$R$1500,11,FALSE)," ")</f>
        <v xml:space="preserve"> </v>
      </c>
      <c r="T4" s="154" t="str">
        <f>IFERROR(VLOOKUP($A4,Hitters!$A$1:$R$1500,12,FALSE)," ")</f>
        <v xml:space="preserve"> </v>
      </c>
      <c r="U4" s="154" t="str">
        <f>IFERROR(VLOOKUP($A4,Hitters!$A$1:$R$1500,13,FALSE)," ")</f>
        <v xml:space="preserve"> </v>
      </c>
      <c r="V4" s="72" t="str">
        <f>IFERROR(VLOOKUP($A4,Hitters!$A1:$R1500,16,FALSE)," ")</f>
        <v xml:space="preserve"> </v>
      </c>
      <c r="W4" s="72" t="str">
        <f>IFERROR(VLOOKUP($A4,Hitters!$A1:$R1500,17,FALSE)," ")</f>
        <v xml:space="preserve"> </v>
      </c>
      <c r="X4" s="67" t="str">
        <f>IFERROR(VLOOKUP($A4,Hitters!$A1:$R1500,18,FALSE)," ")</f>
        <v xml:space="preserve"> </v>
      </c>
      <c r="Y4" s="6"/>
    </row>
    <row r="5" spans="1:25" ht="18.600000000000001" customHeight="1">
      <c r="A5" s="68" t="s">
        <v>196</v>
      </c>
      <c r="B5" s="11" t="str">
        <f>IFERROR(VLOOKUP($A5,Rankings!B1:C519,2,FALSE)," ")</f>
        <v>ATL</v>
      </c>
      <c r="C5" s="11" t="str">
        <f>IFERROR(VLOOKUP($A5,Rankings!B1:D519,3,FALSE)," ")</f>
        <v>NL</v>
      </c>
      <c r="D5" s="69" t="s">
        <v>11</v>
      </c>
      <c r="E5" s="70">
        <f ca="1">IFERROR(VLOOKUP($A5,Rankings!B1:F519,5,FALSE)," ")</f>
        <v>5</v>
      </c>
      <c r="F5" s="164">
        <f>IFERROR(VLOOKUP(A5,Rankings!B:G,6,FALSE)," ")</f>
        <v>415.12555555555554</v>
      </c>
      <c r="G5" s="67">
        <f>IFERROR(VLOOKUP(A5,'Standard Deviations'!A1:D536,4,FALSE)," ")</f>
        <v>5.4976121273017373</v>
      </c>
      <c r="H5" s="71">
        <f ca="1">IFERROR(VLOOKUP($A5,Rankings!B1:I519,8,FALSE)," ")</f>
        <v>5.4915733054781937</v>
      </c>
      <c r="I5" s="67"/>
      <c r="J5" s="67">
        <f>IFERROR(VLOOKUP($A5,Hitters!$A1:$R1500,4,FALSE)," ")</f>
        <v>535.21666666666658</v>
      </c>
      <c r="K5" s="67">
        <f>IFERROR(VLOOKUP($A5,Hitters!$A1:$R1500,5,FALSE)," ")</f>
        <v>78.416666666666657</v>
      </c>
      <c r="L5" s="67">
        <f>IFERROR(VLOOKUP($A5,Hitters!$A1:$R1500,6,FALSE)," ")</f>
        <v>21.105</v>
      </c>
      <c r="M5" s="67">
        <f>IFERROR(VLOOKUP($A5,Hitters!$A1:$R1500,7,FALSE)," ")</f>
        <v>75.186666666666667</v>
      </c>
      <c r="N5" s="67">
        <f>IFERROR(VLOOKUP($A5,Hitters!$A1:$R1500,8,FALSE)," ")</f>
        <v>16.936666666666667</v>
      </c>
      <c r="O5" s="152">
        <f>IFERROR(VLOOKUP($A5,Hitters!$A$1:$R$1500,14,FALSE)," ")</f>
        <v>0.26209946127736433</v>
      </c>
      <c r="P5" s="152">
        <f>IFERROR(VLOOKUP($A5,Hitters!$A$1:$R$1500,15,FALSE)," ")</f>
        <v>0.32129385638656466</v>
      </c>
      <c r="Q5" s="154">
        <f>IFERROR(VLOOKUP($A5,Hitters!$A$1:$R$1500,9,FALSE)," ")</f>
        <v>140.28</v>
      </c>
      <c r="R5" s="154">
        <f>IFERROR(VLOOKUP($A5,Hitters!$A$1:$R$1500,10,FALSE)," ")</f>
        <v>31.814999999999998</v>
      </c>
      <c r="S5" s="154">
        <f>IFERROR(VLOOKUP($A5,Hitters!$A$1:$R$1500,11,FALSE)," ")</f>
        <v>3.3744444444444444</v>
      </c>
      <c r="T5" s="154">
        <f>IFERROR(VLOOKUP($A5,Hitters!$A$1:$R$1500,12,FALSE)," ")</f>
        <v>38.366666666666667</v>
      </c>
      <c r="U5" s="154">
        <f>IFERROR(VLOOKUP($A5,Hitters!$A$1:$R$1500,13,FALSE)," ")</f>
        <v>105.75333333333333</v>
      </c>
      <c r="V5" s="72">
        <f>IFERROR(VLOOKUP($A5,Hitters!$A1:$R1500,16,FALSE)," ")</f>
        <v>0.4524502018912383</v>
      </c>
      <c r="W5" s="72">
        <f>IFERROR(VLOOKUP($A5,Hitters!$A1:$R1500,17,FALSE)," ")</f>
        <v>0.77374405827780302</v>
      </c>
      <c r="X5" s="67">
        <f>IFERROR(VLOOKUP($A5,Hitters!$A1:$R1500,18,FALSE)," ")</f>
        <v>0</v>
      </c>
      <c r="Y5" s="67"/>
    </row>
    <row r="6" spans="1:25" ht="18.600000000000001" customHeight="1">
      <c r="A6" s="64"/>
      <c r="B6" s="11" t="str">
        <f>IFERROR(VLOOKUP($A6,Rankings!B1:C519,2,FALSE)," ")</f>
        <v xml:space="preserve"> </v>
      </c>
      <c r="C6" s="11" t="str">
        <f>IFERROR(VLOOKUP($A6,Rankings!B1:D519,3,FALSE)," ")</f>
        <v xml:space="preserve"> </v>
      </c>
      <c r="D6" s="69" t="s">
        <v>11</v>
      </c>
      <c r="E6" s="73" t="str">
        <f>IFERROR(VLOOKUP($A6,Rankings!B1:F519,5,FALSE)," ")</f>
        <v xml:space="preserve"> </v>
      </c>
      <c r="F6" s="164" t="str">
        <f>IFERROR(VLOOKUP(A6,Rankings!B:G,6,FALSE)," ")</f>
        <v xml:space="preserve"> </v>
      </c>
      <c r="G6" s="67" t="str">
        <f>IFERROR(VLOOKUP(A6,'Standard Deviations'!A1:D536,4,FALSE)," ")</f>
        <v xml:space="preserve"> </v>
      </c>
      <c r="H6" s="71" t="str">
        <f>IFERROR(VLOOKUP($A6,Rankings!B1:I519,8,FALSE)," ")</f>
        <v xml:space="preserve"> </v>
      </c>
      <c r="I6" s="67"/>
      <c r="J6" s="67" t="str">
        <f>IFERROR(VLOOKUP($A6,Hitters!$A1:$R1500,4,FALSE)," ")</f>
        <v xml:space="preserve"> </v>
      </c>
      <c r="K6" s="67" t="str">
        <f>IFERROR(VLOOKUP($A6,Hitters!$A1:$R1500,5,FALSE)," ")</f>
        <v xml:space="preserve"> </v>
      </c>
      <c r="L6" s="67" t="str">
        <f>IFERROR(VLOOKUP($A6,Hitters!$A1:$R1500,6,FALSE)," ")</f>
        <v xml:space="preserve"> </v>
      </c>
      <c r="M6" s="67" t="str">
        <f>IFERROR(VLOOKUP($A6,Hitters!$A1:$R1500,7,FALSE)," ")</f>
        <v xml:space="preserve"> </v>
      </c>
      <c r="N6" s="67" t="str">
        <f>IFERROR(VLOOKUP($A6,Hitters!$A1:$R1500,8,FALSE)," ")</f>
        <v xml:space="preserve"> </v>
      </c>
      <c r="O6" s="152" t="str">
        <f>IFERROR(VLOOKUP($A6,Hitters!$A$1:$R$1500,14,FALSE)," ")</f>
        <v xml:space="preserve"> </v>
      </c>
      <c r="P6" s="152" t="str">
        <f>IFERROR(VLOOKUP($A6,Hitters!$A$1:$R$1500,15,FALSE)," ")</f>
        <v xml:space="preserve"> </v>
      </c>
      <c r="Q6" s="154" t="str">
        <f>IFERROR(VLOOKUP($A6,Hitters!$A$1:$R$1500,9,FALSE)," ")</f>
        <v xml:space="preserve"> </v>
      </c>
      <c r="R6" s="154" t="str">
        <f>IFERROR(VLOOKUP($A6,Hitters!$A$1:$R$1500,10,FALSE)," ")</f>
        <v xml:space="preserve"> </v>
      </c>
      <c r="S6" s="154" t="str">
        <f>IFERROR(VLOOKUP($A6,Hitters!$A$1:$R$1500,11,FALSE)," ")</f>
        <v xml:space="preserve"> </v>
      </c>
      <c r="T6" s="154" t="str">
        <f>IFERROR(VLOOKUP($A6,Hitters!$A$1:$R$1500,12,FALSE)," ")</f>
        <v xml:space="preserve"> </v>
      </c>
      <c r="U6" s="154" t="str">
        <f>IFERROR(VLOOKUP($A6,Hitters!$A$1:$R$1500,13,FALSE)," ")</f>
        <v xml:space="preserve"> </v>
      </c>
      <c r="V6" s="72" t="str">
        <f>IFERROR(VLOOKUP($A6,Hitters!$A1:$R1500,16,FALSE)," ")</f>
        <v xml:space="preserve"> </v>
      </c>
      <c r="W6" s="72" t="str">
        <f>IFERROR(VLOOKUP($A6,Hitters!$A1:$R1500,17,FALSE)," ")</f>
        <v xml:space="preserve"> </v>
      </c>
      <c r="X6" s="67" t="str">
        <f>IFERROR(VLOOKUP($A6,Hitters!$A1:$R1500,18,FALSE)," ")</f>
        <v xml:space="preserve"> </v>
      </c>
      <c r="Y6" s="6"/>
    </row>
    <row r="7" spans="1:25" ht="18.600000000000001" customHeight="1">
      <c r="A7" s="64"/>
      <c r="B7" s="11" t="str">
        <f>IFERROR(VLOOKUP($A7,Rankings!B1:C519,2,FALSE)," ")</f>
        <v xml:space="preserve"> </v>
      </c>
      <c r="C7" s="11" t="str">
        <f>IFERROR(VLOOKUP($A7,Rankings!B1:D519,3,FALSE)," ")</f>
        <v xml:space="preserve"> </v>
      </c>
      <c r="D7" s="69" t="s">
        <v>11</v>
      </c>
      <c r="E7" s="73" t="str">
        <f>IFERROR(VLOOKUP($A7,Rankings!B1:F519,5,FALSE)," ")</f>
        <v xml:space="preserve"> </v>
      </c>
      <c r="F7" s="164" t="str">
        <f>IFERROR(VLOOKUP(A7,Rankings!B:G,6,FALSE)," ")</f>
        <v xml:space="preserve"> </v>
      </c>
      <c r="G7" s="67" t="str">
        <f>IFERROR(VLOOKUP(A7,'Standard Deviations'!A1:D536,4,FALSE)," ")</f>
        <v xml:space="preserve"> </v>
      </c>
      <c r="H7" s="71" t="str">
        <f>IFERROR(VLOOKUP($A7,Rankings!B1:I519,8,FALSE)," ")</f>
        <v xml:space="preserve"> </v>
      </c>
      <c r="I7" s="67"/>
      <c r="J7" s="67" t="str">
        <f>IFERROR(VLOOKUP($A7,Hitters!$A1:$R1500,4,FALSE)," ")</f>
        <v xml:space="preserve"> </v>
      </c>
      <c r="K7" s="67" t="str">
        <f>IFERROR(VLOOKUP($A7,Hitters!$A1:$R1500,5,FALSE)," ")</f>
        <v xml:space="preserve"> </v>
      </c>
      <c r="L7" s="67" t="str">
        <f>IFERROR(VLOOKUP($A7,Hitters!$A1:$R1500,6,FALSE)," ")</f>
        <v xml:space="preserve"> </v>
      </c>
      <c r="M7" s="67" t="str">
        <f>IFERROR(VLOOKUP($A7,Hitters!$A1:$R1500,7,FALSE)," ")</f>
        <v xml:space="preserve"> </v>
      </c>
      <c r="N7" s="67" t="str">
        <f>IFERROR(VLOOKUP($A7,Hitters!$A1:$R1500,8,FALSE)," ")</f>
        <v xml:space="preserve"> </v>
      </c>
      <c r="O7" s="152" t="str">
        <f>IFERROR(VLOOKUP($A7,Hitters!$A$1:$R$1500,14,FALSE)," ")</f>
        <v xml:space="preserve"> </v>
      </c>
      <c r="P7" s="152" t="str">
        <f>IFERROR(VLOOKUP($A7,Hitters!$A$1:$R$1500,15,FALSE)," ")</f>
        <v xml:space="preserve"> </v>
      </c>
      <c r="Q7" s="154" t="str">
        <f>IFERROR(VLOOKUP($A7,Hitters!$A$1:$R$1500,9,FALSE)," ")</f>
        <v xml:space="preserve"> </v>
      </c>
      <c r="R7" s="154" t="str">
        <f>IFERROR(VLOOKUP($A7,Hitters!$A$1:$R$1500,10,FALSE)," ")</f>
        <v xml:space="preserve"> </v>
      </c>
      <c r="S7" s="154" t="str">
        <f>IFERROR(VLOOKUP($A7,Hitters!$A$1:$R$1500,11,FALSE)," ")</f>
        <v xml:space="preserve"> </v>
      </c>
      <c r="T7" s="154" t="str">
        <f>IFERROR(VLOOKUP($A7,Hitters!$A$1:$R$1500,12,FALSE)," ")</f>
        <v xml:space="preserve"> </v>
      </c>
      <c r="U7" s="154" t="str">
        <f>IFERROR(VLOOKUP($A7,Hitters!$A$1:$R$1500,13,FALSE)," ")</f>
        <v xml:space="preserve"> </v>
      </c>
      <c r="V7" s="72" t="str">
        <f>IFERROR(VLOOKUP($A7,Hitters!$A1:$R1500,16,FALSE)," ")</f>
        <v xml:space="preserve"> </v>
      </c>
      <c r="W7" s="72" t="str">
        <f>IFERROR(VLOOKUP($A7,Hitters!$A1:$R1500,17,FALSE)," ")</f>
        <v xml:space="preserve"> </v>
      </c>
      <c r="X7" s="67" t="str">
        <f>IFERROR(VLOOKUP($A7,Hitters!$A1:$R1500,18,FALSE)," ")</f>
        <v xml:space="preserve"> </v>
      </c>
      <c r="Y7" s="6"/>
    </row>
    <row r="8" spans="1:25" ht="18.600000000000001" customHeight="1">
      <c r="A8" s="68" t="s">
        <v>75</v>
      </c>
      <c r="B8" s="11" t="str">
        <f>IFERROR(VLOOKUP($A8,Rankings!B1:C519,2,FALSE)," ")</f>
        <v>CLE</v>
      </c>
      <c r="C8" s="11" t="str">
        <f>IFERROR(VLOOKUP($A8,Rankings!B1:D519,3,FALSE)," ")</f>
        <v>AL</v>
      </c>
      <c r="D8" s="74" t="s">
        <v>15</v>
      </c>
      <c r="E8" s="75">
        <f ca="1">IFERROR(VLOOKUP($A8,Rankings!B1:F519,5,FALSE)," ")</f>
        <v>1</v>
      </c>
      <c r="F8" s="164">
        <f>IFERROR(VLOOKUP(A8,Rankings!B:G,6,FALSE)," ")</f>
        <v>555.1538888888889</v>
      </c>
      <c r="G8" s="67">
        <f>IFERROR(VLOOKUP(A8,'Standard Deviations'!A1:D536,4,FALSE)," ")</f>
        <v>9.8765616764352018</v>
      </c>
      <c r="H8" s="71">
        <f ca="1">IFERROR(VLOOKUP($A8,Rankings!B1:I519,8,FALSE)," ")</f>
        <v>9.6510802023197897</v>
      </c>
      <c r="I8" s="67"/>
      <c r="J8" s="67">
        <f>IFERROR(VLOOKUP($A8,Hitters!$A1:$R1500,4,FALSE)," ")</f>
        <v>568.82222222222219</v>
      </c>
      <c r="K8" s="67">
        <f>IFERROR(VLOOKUP($A8,Hitters!$A1:$R1500,5,FALSE)," ")</f>
        <v>93.6388888888889</v>
      </c>
      <c r="L8" s="67">
        <f>IFERROR(VLOOKUP($A8,Hitters!$A1:$R1500,6,FALSE)," ")</f>
        <v>29.492222222222221</v>
      </c>
      <c r="M8" s="67">
        <f>IFERROR(VLOOKUP($A8,Hitters!$A1:$R1500,7,FALSE)," ")</f>
        <v>100.3288888888889</v>
      </c>
      <c r="N8" s="67">
        <f>IFERROR(VLOOKUP($A8,Hitters!$A1:$R1500,8,FALSE)," ")</f>
        <v>24.197777777777777</v>
      </c>
      <c r="O8" s="152">
        <f>IFERROR(VLOOKUP($A8,Hitters!$A$1:$R$1500,14,FALSE)," ")</f>
        <v>0.27063718404500531</v>
      </c>
      <c r="P8" s="152">
        <f>IFERROR(VLOOKUP($A8,Hitters!$A$1:$R$1500,15,FALSE)," ")</f>
        <v>0.35704307605311075</v>
      </c>
      <c r="Q8" s="154">
        <f>IFERROR(VLOOKUP($A8,Hitters!$A$1:$R$1500,9,FALSE)," ")</f>
        <v>153.94444444444446</v>
      </c>
      <c r="R8" s="154">
        <f>IFERROR(VLOOKUP($A8,Hitters!$A$1:$R$1500,10,FALSE)," ")</f>
        <v>36.56444444444444</v>
      </c>
      <c r="S8" s="154">
        <f>IFERROR(VLOOKUP($A8,Hitters!$A$1:$R$1500,11,FALSE)," ")</f>
        <v>4.0049999999999999</v>
      </c>
      <c r="T8" s="154">
        <f>IFERROR(VLOOKUP($A8,Hitters!$A$1:$R$1500,12,FALSE)," ")</f>
        <v>68.539999999999992</v>
      </c>
      <c r="U8" s="154">
        <f>IFERROR(VLOOKUP($A8,Hitters!$A$1:$R$1500,13,FALSE)," ")</f>
        <v>85.490000000000009</v>
      </c>
      <c r="V8" s="72">
        <f>IFERROR(VLOOKUP($A8,Hitters!$A1:$R1500,16,FALSE)," ")</f>
        <v>0.50454350119154601</v>
      </c>
      <c r="W8" s="72">
        <f>IFERROR(VLOOKUP($A8,Hitters!$A1:$R1500,17,FALSE)," ")</f>
        <v>0.8615865772446567</v>
      </c>
      <c r="X8" s="67">
        <f>IFERROR(VLOOKUP($A8,Hitters!$A1:$R1500,18,FALSE)," ")</f>
        <v>0</v>
      </c>
      <c r="Y8" s="67"/>
    </row>
    <row r="9" spans="1:25" ht="18.600000000000001" customHeight="1">
      <c r="A9" s="64"/>
      <c r="B9" s="11" t="str">
        <f>IFERROR(VLOOKUP($A9,Rankings!B1:C519,2,FALSE)," ")</f>
        <v xml:space="preserve"> </v>
      </c>
      <c r="C9" s="11" t="str">
        <f>IFERROR(VLOOKUP($A9,Rankings!B1:D519,3,FALSE)," ")</f>
        <v xml:space="preserve"> </v>
      </c>
      <c r="D9" s="74" t="s">
        <v>15</v>
      </c>
      <c r="E9" s="76" t="str">
        <f>IFERROR(VLOOKUP($A9,Rankings!B1:F519,5,FALSE)," ")</f>
        <v xml:space="preserve"> </v>
      </c>
      <c r="F9" s="164" t="str">
        <f>IFERROR(VLOOKUP(A9,Rankings!B:G,6,FALSE)," ")</f>
        <v xml:space="preserve"> </v>
      </c>
      <c r="G9" s="67" t="str">
        <f>IFERROR(VLOOKUP(A9,'Standard Deviations'!A1:D536,4,FALSE)," ")</f>
        <v xml:space="preserve"> </v>
      </c>
      <c r="H9" s="71" t="str">
        <f>IFERROR(VLOOKUP($A9,Rankings!B1:I519,8,FALSE)," ")</f>
        <v xml:space="preserve"> </v>
      </c>
      <c r="I9" s="67"/>
      <c r="J9" s="67" t="str">
        <f>IFERROR(VLOOKUP($A9,Hitters!$A1:$R1500,4,FALSE)," ")</f>
        <v xml:space="preserve"> </v>
      </c>
      <c r="K9" s="67" t="str">
        <f>IFERROR(VLOOKUP($A9,Hitters!$A1:$R1500,5,FALSE)," ")</f>
        <v xml:space="preserve"> </v>
      </c>
      <c r="L9" s="67" t="str">
        <f>IFERROR(VLOOKUP($A9,Hitters!$A1:$R1500,6,FALSE)," ")</f>
        <v xml:space="preserve"> </v>
      </c>
      <c r="M9" s="67" t="str">
        <f>IFERROR(VLOOKUP($A9,Hitters!$A1:$R1500,7,FALSE)," ")</f>
        <v xml:space="preserve"> </v>
      </c>
      <c r="N9" s="67" t="str">
        <f>IFERROR(VLOOKUP($A9,Hitters!$A1:$R1500,8,FALSE)," ")</f>
        <v xml:space="preserve"> </v>
      </c>
      <c r="O9" s="152" t="str">
        <f>IFERROR(VLOOKUP($A9,Hitters!$A$1:$R$1500,14,FALSE)," ")</f>
        <v xml:space="preserve"> </v>
      </c>
      <c r="P9" s="152" t="str">
        <f>IFERROR(VLOOKUP($A9,Hitters!$A$1:$R$1500,15,FALSE)," ")</f>
        <v xml:space="preserve"> </v>
      </c>
      <c r="Q9" s="154" t="str">
        <f>IFERROR(VLOOKUP($A9,Hitters!$A$1:$R$1500,9,FALSE)," ")</f>
        <v xml:space="preserve"> </v>
      </c>
      <c r="R9" s="154" t="str">
        <f>IFERROR(VLOOKUP($A9,Hitters!$A$1:$R$1500,10,FALSE)," ")</f>
        <v xml:space="preserve"> </v>
      </c>
      <c r="S9" s="154" t="str">
        <f>IFERROR(VLOOKUP($A9,Hitters!$A$1:$R$1500,11,FALSE)," ")</f>
        <v xml:space="preserve"> </v>
      </c>
      <c r="T9" s="154" t="str">
        <f>IFERROR(VLOOKUP($A9,Hitters!$A$1:$R$1500,12,FALSE)," ")</f>
        <v xml:space="preserve"> </v>
      </c>
      <c r="U9" s="154" t="str">
        <f>IFERROR(VLOOKUP($A9,Hitters!$A$1:$R$1500,13,FALSE)," ")</f>
        <v xml:space="preserve"> </v>
      </c>
      <c r="V9" s="72" t="str">
        <f>IFERROR(VLOOKUP($A9,Hitters!$A1:$R1500,16,FALSE)," ")</f>
        <v xml:space="preserve"> </v>
      </c>
      <c r="W9" s="72" t="str">
        <f>IFERROR(VLOOKUP($A9,Hitters!$A1:$R1500,17,FALSE)," ")</f>
        <v xml:space="preserve"> </v>
      </c>
      <c r="X9" s="67" t="str">
        <f>IFERROR(VLOOKUP($A9,Hitters!$A1:$R1500,18,FALSE)," ")</f>
        <v xml:space="preserve"> </v>
      </c>
      <c r="Y9" s="6"/>
    </row>
    <row r="10" spans="1:25" ht="18.600000000000001" customHeight="1">
      <c r="A10" s="64"/>
      <c r="B10" s="11" t="str">
        <f>IFERROR(VLOOKUP($A10,Rankings!B1:C519,2,FALSE)," ")</f>
        <v xml:space="preserve"> </v>
      </c>
      <c r="C10" s="11" t="str">
        <f>IFERROR(VLOOKUP($A10,Rankings!B1:D519,3,FALSE)," ")</f>
        <v xml:space="preserve"> </v>
      </c>
      <c r="D10" s="74" t="s">
        <v>15</v>
      </c>
      <c r="E10" s="76" t="str">
        <f>IFERROR(VLOOKUP($A10,Rankings!B1:F519,5,FALSE)," ")</f>
        <v xml:space="preserve"> </v>
      </c>
      <c r="F10" s="164" t="str">
        <f>IFERROR(VLOOKUP(A10,Rankings!B:G,6,FALSE)," ")</f>
        <v xml:space="preserve"> </v>
      </c>
      <c r="G10" s="67" t="str">
        <f>IFERROR(VLOOKUP(A10,'Standard Deviations'!A1:D536,4,FALSE)," ")</f>
        <v xml:space="preserve"> </v>
      </c>
      <c r="H10" s="71" t="str">
        <f>IFERROR(VLOOKUP($A10,Rankings!B1:I519,8,FALSE)," ")</f>
        <v xml:space="preserve"> </v>
      </c>
      <c r="I10" s="67"/>
      <c r="J10" s="67" t="str">
        <f>IFERROR(VLOOKUP($A10,Hitters!$A1:$R1500,4,FALSE)," ")</f>
        <v xml:space="preserve"> </v>
      </c>
      <c r="K10" s="67" t="str">
        <f>IFERROR(VLOOKUP($A10,Hitters!$A1:$R1500,5,FALSE)," ")</f>
        <v xml:space="preserve"> </v>
      </c>
      <c r="L10" s="67" t="str">
        <f>IFERROR(VLOOKUP($A10,Hitters!$A1:$R1500,6,FALSE)," ")</f>
        <v xml:space="preserve"> </v>
      </c>
      <c r="M10" s="67" t="str">
        <f>IFERROR(VLOOKUP($A10,Hitters!$A1:$R1500,7,FALSE)," ")</f>
        <v xml:space="preserve"> </v>
      </c>
      <c r="N10" s="67" t="str">
        <f>IFERROR(VLOOKUP($A10,Hitters!$A1:$R1500,8,FALSE)," ")</f>
        <v xml:space="preserve"> </v>
      </c>
      <c r="O10" s="152" t="str">
        <f>IFERROR(VLOOKUP($A10,Hitters!$A$1:$R$1500,14,FALSE)," ")</f>
        <v xml:space="preserve"> </v>
      </c>
      <c r="P10" s="152" t="str">
        <f>IFERROR(VLOOKUP($A10,Hitters!$A$1:$R$1500,15,FALSE)," ")</f>
        <v xml:space="preserve"> </v>
      </c>
      <c r="Q10" s="154" t="str">
        <f>IFERROR(VLOOKUP($A10,Hitters!$A$1:$R$1500,9,FALSE)," ")</f>
        <v xml:space="preserve"> </v>
      </c>
      <c r="R10" s="154" t="str">
        <f>IFERROR(VLOOKUP($A10,Hitters!$A$1:$R$1500,10,FALSE)," ")</f>
        <v xml:space="preserve"> </v>
      </c>
      <c r="S10" s="154" t="str">
        <f>IFERROR(VLOOKUP($A10,Hitters!$A$1:$R$1500,11,FALSE)," ")</f>
        <v xml:space="preserve"> </v>
      </c>
      <c r="T10" s="154" t="str">
        <f>IFERROR(VLOOKUP($A10,Hitters!$A$1:$R$1500,12,FALSE)," ")</f>
        <v xml:space="preserve"> </v>
      </c>
      <c r="U10" s="154" t="str">
        <f>IFERROR(VLOOKUP($A10,Hitters!$A$1:$R$1500,13,FALSE)," ")</f>
        <v xml:space="preserve"> </v>
      </c>
      <c r="V10" s="72" t="str">
        <f>IFERROR(VLOOKUP($A10,Hitters!$A1:$R1500,16,FALSE)," ")</f>
        <v xml:space="preserve"> </v>
      </c>
      <c r="W10" s="72" t="str">
        <f>IFERROR(VLOOKUP($A10,Hitters!$A1:$R1500,17,FALSE)," ")</f>
        <v xml:space="preserve"> </v>
      </c>
      <c r="X10" s="67" t="str">
        <f>IFERROR(VLOOKUP($A10,Hitters!$A1:$R1500,18,FALSE)," ")</f>
        <v xml:space="preserve"> </v>
      </c>
      <c r="Y10" s="6"/>
    </row>
    <row r="11" spans="1:25" ht="18.600000000000001" customHeight="1">
      <c r="A11" s="68" t="s">
        <v>164</v>
      </c>
      <c r="B11" s="11" t="str">
        <f>IFERROR(VLOOKUP($A11,Rankings!B1:C519,2,FALSE)," ")</f>
        <v>KC</v>
      </c>
      <c r="C11" s="11" t="str">
        <f>IFERROR(VLOOKUP($A11,Rankings!B1:D519,3,FALSE)," ")</f>
        <v>AL</v>
      </c>
      <c r="D11" s="77" t="s">
        <v>19</v>
      </c>
      <c r="E11" s="78">
        <f ca="1">IFERROR(VLOOKUP($A11,Rankings!B1:F519,5,FALSE)," ")</f>
        <v>3</v>
      </c>
      <c r="F11" s="164">
        <f>IFERROR(VLOOKUP(A11,Rankings!B:G,6,FALSE)," ")</f>
        <v>345.50555555555559</v>
      </c>
      <c r="G11" s="67">
        <f>IFERROR(VLOOKUP(A11,'Standard Deviations'!A1:D536,4,FALSE)," ")</f>
        <v>3.4429192132752755</v>
      </c>
      <c r="H11" s="71">
        <f ca="1">IFERROR(VLOOKUP($A11,Rankings!B1:I519,8,FALSE)," ")</f>
        <v>4.2294413764500867</v>
      </c>
      <c r="I11" s="67"/>
      <c r="J11" s="67">
        <f>IFERROR(VLOOKUP($A11,Hitters!$A1:$R1500,4,FALSE)," ")</f>
        <v>510.51111111111112</v>
      </c>
      <c r="K11" s="67">
        <f>IFERROR(VLOOKUP($A11,Hitters!$A1:$R1500,5,FALSE)," ")</f>
        <v>63.791666666666664</v>
      </c>
      <c r="L11" s="67">
        <f>IFERROR(VLOOKUP($A11,Hitters!$A1:$R1500,6,FALSE)," ")</f>
        <v>28.007777777777779</v>
      </c>
      <c r="M11" s="67">
        <f>IFERROR(VLOOKUP($A11,Hitters!$A1:$R1500,7,FALSE)," ")</f>
        <v>83.534444444444446</v>
      </c>
      <c r="N11" s="67">
        <f>IFERROR(VLOOKUP($A11,Hitters!$A1:$R1500,8,FALSE)," ")</f>
        <v>0.99888888888888883</v>
      </c>
      <c r="O11" s="152">
        <f>IFERROR(VLOOKUP($A11,Hitters!$A$1:$R$1500,14,FALSE)," ")</f>
        <v>0.25514081748139122</v>
      </c>
      <c r="P11" s="152">
        <f>IFERROR(VLOOKUP($A11,Hitters!$A$1:$R$1500,15,FALSE)," ")</f>
        <v>0.29939222027599099</v>
      </c>
      <c r="Q11" s="154">
        <f>IFERROR(VLOOKUP($A11,Hitters!$A$1:$R$1500,9,FALSE)," ")</f>
        <v>130.25222222222223</v>
      </c>
      <c r="R11" s="154">
        <f>IFERROR(VLOOKUP($A11,Hitters!$A$1:$R$1500,10,FALSE)," ")</f>
        <v>22.993333333333336</v>
      </c>
      <c r="S11" s="154">
        <f>IFERROR(VLOOKUP($A11,Hitters!$A$1:$R$1500,11,FALSE)," ")</f>
        <v>1</v>
      </c>
      <c r="T11" s="154">
        <f>IFERROR(VLOOKUP($A11,Hitters!$A$1:$R$1500,12,FALSE)," ")</f>
        <v>23.844999999999999</v>
      </c>
      <c r="U11" s="154">
        <f>IFERROR(VLOOKUP($A11,Hitters!$A$1:$R$1500,13,FALSE)," ")</f>
        <v>133.86444444444444</v>
      </c>
      <c r="V11" s="72">
        <f>IFERROR(VLOOKUP($A11,Hitters!$A1:$R1500,16,FALSE)," ")</f>
        <v>0.46868497801767295</v>
      </c>
      <c r="W11" s="72">
        <f>IFERROR(VLOOKUP($A11,Hitters!$A1:$R1500,17,FALSE)," ")</f>
        <v>0.76807719829366394</v>
      </c>
      <c r="X11" s="67">
        <f>IFERROR(VLOOKUP($A11,Hitters!$A1:$R1500,18,FALSE)," ")</f>
        <v>0</v>
      </c>
      <c r="Y11" s="67"/>
    </row>
    <row r="12" spans="1:25" ht="18.600000000000001" customHeight="1">
      <c r="A12" s="64"/>
      <c r="B12" s="11" t="str">
        <f>IFERROR(VLOOKUP($A12,Rankings!B1:C519,2,FALSE)," ")</f>
        <v xml:space="preserve"> </v>
      </c>
      <c r="C12" s="11" t="str">
        <f>IFERROR(VLOOKUP($A12,Rankings!B1:D519,3,FALSE)," ")</f>
        <v xml:space="preserve"> </v>
      </c>
      <c r="D12" s="77" t="s">
        <v>19</v>
      </c>
      <c r="E12" s="79" t="str">
        <f>IFERROR(VLOOKUP($A12,Rankings!B1:F519,5,FALSE)," ")</f>
        <v xml:space="preserve"> </v>
      </c>
      <c r="F12" s="164" t="str">
        <f>IFERROR(VLOOKUP(A12,Rankings!B:G,6,FALSE)," ")</f>
        <v xml:space="preserve"> </v>
      </c>
      <c r="G12" s="67" t="str">
        <f>IFERROR(VLOOKUP(A12,'Standard Deviations'!A1:D536,4,FALSE)," ")</f>
        <v xml:space="preserve"> </v>
      </c>
      <c r="H12" s="71" t="str">
        <f>IFERROR(VLOOKUP($A12,Rankings!B1:I519,8,FALSE)," ")</f>
        <v xml:space="preserve"> </v>
      </c>
      <c r="I12" s="67"/>
      <c r="J12" s="67" t="str">
        <f>IFERROR(VLOOKUP($A12,Hitters!$A1:$R1500,4,FALSE)," ")</f>
        <v xml:space="preserve"> </v>
      </c>
      <c r="K12" s="67" t="str">
        <f>IFERROR(VLOOKUP($A12,Hitters!$A1:$R1500,5,FALSE)," ")</f>
        <v xml:space="preserve"> </v>
      </c>
      <c r="L12" s="67" t="str">
        <f>IFERROR(VLOOKUP($A12,Hitters!$A1:$R1500,6,FALSE)," ")</f>
        <v xml:space="preserve"> </v>
      </c>
      <c r="M12" s="67" t="str">
        <f>IFERROR(VLOOKUP($A12,Hitters!$A1:$R1500,7,FALSE)," ")</f>
        <v xml:space="preserve"> </v>
      </c>
      <c r="N12" s="67" t="str">
        <f>IFERROR(VLOOKUP($A12,Hitters!$A1:$R1500,8,FALSE)," ")</f>
        <v xml:space="preserve"> </v>
      </c>
      <c r="O12" s="152" t="str">
        <f>IFERROR(VLOOKUP($A12,Hitters!$A$1:$R$1500,14,FALSE)," ")</f>
        <v xml:space="preserve"> </v>
      </c>
      <c r="P12" s="152" t="str">
        <f>IFERROR(VLOOKUP($A12,Hitters!$A$1:$R$1500,15,FALSE)," ")</f>
        <v xml:space="preserve"> </v>
      </c>
      <c r="Q12" s="154" t="str">
        <f>IFERROR(VLOOKUP($A12,Hitters!$A$1:$R$1500,9,FALSE)," ")</f>
        <v xml:space="preserve"> </v>
      </c>
      <c r="R12" s="154" t="str">
        <f>IFERROR(VLOOKUP($A12,Hitters!$A$1:$R$1500,10,FALSE)," ")</f>
        <v xml:space="preserve"> </v>
      </c>
      <c r="S12" s="154" t="str">
        <f>IFERROR(VLOOKUP($A12,Hitters!$A$1:$R$1500,11,FALSE)," ")</f>
        <v xml:space="preserve"> </v>
      </c>
      <c r="T12" s="154" t="str">
        <f>IFERROR(VLOOKUP($A12,Hitters!$A$1:$R$1500,12,FALSE)," ")</f>
        <v xml:space="preserve"> </v>
      </c>
      <c r="U12" s="154" t="str">
        <f>IFERROR(VLOOKUP($A12,Hitters!$A$1:$R$1500,13,FALSE)," ")</f>
        <v xml:space="preserve"> </v>
      </c>
      <c r="V12" s="72" t="str">
        <f>IFERROR(VLOOKUP($A12,Hitters!$A1:$R1500,16,FALSE)," ")</f>
        <v xml:space="preserve"> </v>
      </c>
      <c r="W12" s="72" t="str">
        <f>IFERROR(VLOOKUP($A12,Hitters!$A1:$R1500,17,FALSE)," ")</f>
        <v xml:space="preserve"> </v>
      </c>
      <c r="X12" s="67" t="str">
        <f>IFERROR(VLOOKUP($A12,Hitters!$A1:$R1500,18,FALSE)," ")</f>
        <v xml:space="preserve"> </v>
      </c>
      <c r="Y12" s="6"/>
    </row>
    <row r="13" spans="1:25" ht="18.600000000000001" customHeight="1">
      <c r="A13" s="64"/>
      <c r="B13" s="11" t="str">
        <f>IFERROR(VLOOKUP($A13,Rankings!B1:C519,2,FALSE)," ")</f>
        <v xml:space="preserve"> </v>
      </c>
      <c r="C13" s="11" t="str">
        <f>IFERROR(VLOOKUP($A13,Rankings!B1:D519,3,FALSE)," ")</f>
        <v xml:space="preserve"> </v>
      </c>
      <c r="D13" s="77" t="s">
        <v>19</v>
      </c>
      <c r="E13" s="79" t="str">
        <f>IFERROR(VLOOKUP($A13,Rankings!B1:F519,5,FALSE)," ")</f>
        <v xml:space="preserve"> </v>
      </c>
      <c r="F13" s="164" t="str">
        <f>IFERROR(VLOOKUP(A13,Rankings!B:G,6,FALSE)," ")</f>
        <v xml:space="preserve"> </v>
      </c>
      <c r="G13" s="67" t="str">
        <f>IFERROR(VLOOKUP(A13,'Standard Deviations'!A1:D536,4,FALSE)," ")</f>
        <v xml:space="preserve"> </v>
      </c>
      <c r="H13" s="71" t="str">
        <f>IFERROR(VLOOKUP($A13,Rankings!B1:I519,8,FALSE)," ")</f>
        <v xml:space="preserve"> </v>
      </c>
      <c r="I13" s="67"/>
      <c r="J13" s="67" t="str">
        <f>IFERROR(VLOOKUP($A13,Hitters!$A1:$R1500,4,FALSE)," ")</f>
        <v xml:space="preserve"> </v>
      </c>
      <c r="K13" s="67" t="str">
        <f>IFERROR(VLOOKUP($A13,Hitters!$A1:$R1500,5,FALSE)," ")</f>
        <v xml:space="preserve"> </v>
      </c>
      <c r="L13" s="67" t="str">
        <f>IFERROR(VLOOKUP($A13,Hitters!$A1:$R1500,6,FALSE)," ")</f>
        <v xml:space="preserve"> </v>
      </c>
      <c r="M13" s="67" t="str">
        <f>IFERROR(VLOOKUP($A13,Hitters!$A1:$R1500,7,FALSE)," ")</f>
        <v xml:space="preserve"> </v>
      </c>
      <c r="N13" s="67" t="str">
        <f>IFERROR(VLOOKUP($A13,Hitters!$A1:$R1500,8,FALSE)," ")</f>
        <v xml:space="preserve"> </v>
      </c>
      <c r="O13" s="152" t="str">
        <f>IFERROR(VLOOKUP($A13,Hitters!$A$1:$R$1500,14,FALSE)," ")</f>
        <v xml:space="preserve"> </v>
      </c>
      <c r="P13" s="152" t="str">
        <f>IFERROR(VLOOKUP($A13,Hitters!$A$1:$R$1500,15,FALSE)," ")</f>
        <v xml:space="preserve"> </v>
      </c>
      <c r="Q13" s="154" t="str">
        <f>IFERROR(VLOOKUP($A13,Hitters!$A$1:$R$1500,9,FALSE)," ")</f>
        <v xml:space="preserve"> </v>
      </c>
      <c r="R13" s="154" t="str">
        <f>IFERROR(VLOOKUP($A13,Hitters!$A$1:$R$1500,10,FALSE)," ")</f>
        <v xml:space="preserve"> </v>
      </c>
      <c r="S13" s="154" t="str">
        <f>IFERROR(VLOOKUP($A13,Hitters!$A$1:$R$1500,11,FALSE)," ")</f>
        <v xml:space="preserve"> </v>
      </c>
      <c r="T13" s="154" t="str">
        <f>IFERROR(VLOOKUP($A13,Hitters!$A$1:$R$1500,12,FALSE)," ")</f>
        <v xml:space="preserve"> </v>
      </c>
      <c r="U13" s="154" t="str">
        <f>IFERROR(VLOOKUP($A13,Hitters!$A$1:$R$1500,13,FALSE)," ")</f>
        <v xml:space="preserve"> </v>
      </c>
      <c r="V13" s="72" t="str">
        <f>IFERROR(VLOOKUP($A13,Hitters!$A1:$R1500,16,FALSE)," ")</f>
        <v xml:space="preserve"> </v>
      </c>
      <c r="W13" s="72" t="str">
        <f>IFERROR(VLOOKUP($A13,Hitters!$A1:$R1500,17,FALSE)," ")</f>
        <v xml:space="preserve"> </v>
      </c>
      <c r="X13" s="67" t="str">
        <f>IFERROR(VLOOKUP($A13,Hitters!$A1:$R1500,18,FALSE)," ")</f>
        <v xml:space="preserve"> </v>
      </c>
      <c r="Y13" s="6"/>
    </row>
    <row r="14" spans="1:25" ht="18.600000000000001" customHeight="1">
      <c r="A14" s="68" t="s">
        <v>126</v>
      </c>
      <c r="B14" s="11" t="str">
        <f>IFERROR(VLOOKUP($A14,Rankings!B1:C519,2,FALSE)," ")</f>
        <v>SD</v>
      </c>
      <c r="C14" s="11" t="str">
        <f>IFERROR(VLOOKUP($A14,Rankings!B1:D519,3,FALSE)," ")</f>
        <v>NL</v>
      </c>
      <c r="D14" s="80" t="s">
        <v>27</v>
      </c>
      <c r="E14" s="81">
        <f ca="1">IFERROR(VLOOKUP($A14,Rankings!B1:F519,5,FALSE)," ")</f>
        <v>2</v>
      </c>
      <c r="F14" s="164">
        <f>IFERROR(VLOOKUP(A14,Rankings!B:G,6,FALSE)," ")</f>
        <v>454.76277777777779</v>
      </c>
      <c r="G14" s="67">
        <f>IFERROR(VLOOKUP(A14,'Standard Deviations'!A1:D536,4,FALSE)," ")</f>
        <v>9.1767930609302155</v>
      </c>
      <c r="H14" s="71">
        <f ca="1">IFERROR(VLOOKUP($A14,Rankings!B1:I519,8,FALSE)," ")</f>
        <v>9.1707504971045939</v>
      </c>
      <c r="I14" s="67"/>
      <c r="J14" s="67">
        <f>IFERROR(VLOOKUP($A14,Hitters!$A1:$R1500,4,FALSE)," ")</f>
        <v>451.13333333333327</v>
      </c>
      <c r="K14" s="67">
        <f>IFERROR(VLOOKUP($A14,Hitters!$A1:$R1500,5,FALSE)," ")</f>
        <v>85.521666666666661</v>
      </c>
      <c r="L14" s="67">
        <f>IFERROR(VLOOKUP($A14,Hitters!$A1:$R1500,6,FALSE)," ")</f>
        <v>32.136666666666663</v>
      </c>
      <c r="M14" s="67">
        <f>IFERROR(VLOOKUP($A14,Hitters!$A1:$R1500,7,FALSE)," ")</f>
        <v>83.983333333333334</v>
      </c>
      <c r="N14" s="67">
        <f>IFERROR(VLOOKUP($A14,Hitters!$A1:$R1500,8,FALSE)," ")</f>
        <v>22.466666666666669</v>
      </c>
      <c r="O14" s="152">
        <f>IFERROR(VLOOKUP($A14,Hitters!$A$1:$R$1500,14,FALSE)," ")</f>
        <v>0.27705039160632483</v>
      </c>
      <c r="P14" s="152">
        <f>IFERROR(VLOOKUP($A14,Hitters!$A$1:$R$1500,15,FALSE)," ")</f>
        <v>0.36152060389320118</v>
      </c>
      <c r="Q14" s="154">
        <f>IFERROR(VLOOKUP($A14,Hitters!$A$1:$R$1500,9,FALSE)," ")</f>
        <v>124.98666666666666</v>
      </c>
      <c r="R14" s="154">
        <f>IFERROR(VLOOKUP($A14,Hitters!$A$1:$R$1500,10,FALSE)," ")</f>
        <v>25.178333333333331</v>
      </c>
      <c r="S14" s="154">
        <f>IFERROR(VLOOKUP($A14,Hitters!$A$1:$R$1500,11,FALSE)," ")</f>
        <v>1.9944444444444445</v>
      </c>
      <c r="T14" s="154">
        <f>IFERROR(VLOOKUP($A14,Hitters!$A$1:$R$1500,12,FALSE)," ")</f>
        <v>53.515000000000008</v>
      </c>
      <c r="U14" s="154">
        <f>IFERROR(VLOOKUP($A14,Hitters!$A$1:$R$1500,13,FALSE)," ")</f>
        <v>127.50888888888888</v>
      </c>
      <c r="V14" s="72">
        <f>IFERROR(VLOOKUP($A14,Hitters!$A1:$R1500,16,FALSE)," ")</f>
        <v>0.555409832027979</v>
      </c>
      <c r="W14" s="72">
        <f>IFERROR(VLOOKUP($A14,Hitters!$A1:$R1500,17,FALSE)," ")</f>
        <v>0.91693043592118018</v>
      </c>
      <c r="X14" s="67">
        <f>IFERROR(VLOOKUP($A14,Hitters!$A1:$R1500,18,FALSE)," ")</f>
        <v>0</v>
      </c>
      <c r="Y14" s="67"/>
    </row>
    <row r="15" spans="1:25" ht="18.600000000000001" customHeight="1">
      <c r="A15" s="64"/>
      <c r="B15" s="11" t="str">
        <f>IFERROR(VLOOKUP($A15,Rankings!B1:C519,2,FALSE)," ")</f>
        <v xml:space="preserve"> </v>
      </c>
      <c r="C15" s="11" t="str">
        <f>IFERROR(VLOOKUP($A15,Rankings!B1:D519,3,FALSE)," ")</f>
        <v xml:space="preserve"> </v>
      </c>
      <c r="D15" s="80" t="s">
        <v>27</v>
      </c>
      <c r="E15" s="82" t="str">
        <f>IFERROR(VLOOKUP($A15,Rankings!B1:F519,5,FALSE)," ")</f>
        <v xml:space="preserve"> </v>
      </c>
      <c r="F15" s="164" t="str">
        <f>IFERROR(VLOOKUP(A15,Rankings!B:G,6,FALSE)," ")</f>
        <v xml:space="preserve"> </v>
      </c>
      <c r="G15" s="67" t="str">
        <f>IFERROR(VLOOKUP(A15,'Standard Deviations'!A1:D536,4,FALSE)," ")</f>
        <v xml:space="preserve"> </v>
      </c>
      <c r="H15" s="71" t="str">
        <f>IFERROR(VLOOKUP($A15,Rankings!B1:I519,8,FALSE)," ")</f>
        <v xml:space="preserve"> </v>
      </c>
      <c r="I15" s="67"/>
      <c r="J15" s="67" t="str">
        <f>IFERROR(VLOOKUP($A15,Hitters!$A1:$R1500,4,FALSE)," ")</f>
        <v xml:space="preserve"> </v>
      </c>
      <c r="K15" s="67" t="str">
        <f>IFERROR(VLOOKUP($A15,Hitters!$A1:$R1500,5,FALSE)," ")</f>
        <v xml:space="preserve"> </v>
      </c>
      <c r="L15" s="67" t="str">
        <f>IFERROR(VLOOKUP($A15,Hitters!$A1:$R1500,6,FALSE)," ")</f>
        <v xml:space="preserve"> </v>
      </c>
      <c r="M15" s="67" t="str">
        <f>IFERROR(VLOOKUP($A15,Hitters!$A1:$R1500,7,FALSE)," ")</f>
        <v xml:space="preserve"> </v>
      </c>
      <c r="N15" s="67" t="str">
        <f>IFERROR(VLOOKUP($A15,Hitters!$A1:$R1500,8,FALSE)," ")</f>
        <v xml:space="preserve"> </v>
      </c>
      <c r="O15" s="152" t="str">
        <f>IFERROR(VLOOKUP($A15,Hitters!$A$1:$R$1500,14,FALSE)," ")</f>
        <v xml:space="preserve"> </v>
      </c>
      <c r="P15" s="152" t="str">
        <f>IFERROR(VLOOKUP($A15,Hitters!$A$1:$R$1500,15,FALSE)," ")</f>
        <v xml:space="preserve"> </v>
      </c>
      <c r="Q15" s="154" t="str">
        <f>IFERROR(VLOOKUP($A15,Hitters!$A$1:$R$1500,9,FALSE)," ")</f>
        <v xml:space="preserve"> </v>
      </c>
      <c r="R15" s="154" t="str">
        <f>IFERROR(VLOOKUP($A15,Hitters!$A$1:$R$1500,10,FALSE)," ")</f>
        <v xml:space="preserve"> </v>
      </c>
      <c r="S15" s="154" t="str">
        <f>IFERROR(VLOOKUP($A15,Hitters!$A$1:$R$1500,11,FALSE)," ")</f>
        <v xml:space="preserve"> </v>
      </c>
      <c r="T15" s="154" t="str">
        <f>IFERROR(VLOOKUP($A15,Hitters!$A$1:$R$1500,12,FALSE)," ")</f>
        <v xml:space="preserve"> </v>
      </c>
      <c r="U15" s="154" t="str">
        <f>IFERROR(VLOOKUP($A15,Hitters!$A$1:$R$1500,13,FALSE)," ")</f>
        <v xml:space="preserve"> </v>
      </c>
      <c r="V15" s="72" t="str">
        <f>IFERROR(VLOOKUP($A15,Hitters!$A1:$R1500,16,FALSE)," ")</f>
        <v xml:space="preserve"> </v>
      </c>
      <c r="W15" s="72" t="str">
        <f>IFERROR(VLOOKUP($A15,Hitters!$A1:$R1500,17,FALSE)," ")</f>
        <v xml:space="preserve"> </v>
      </c>
      <c r="X15" s="67" t="str">
        <f>IFERROR(VLOOKUP($A15,Hitters!$A1:$R1500,18,FALSE)," ")</f>
        <v xml:space="preserve"> </v>
      </c>
      <c r="Y15" s="6"/>
    </row>
    <row r="16" spans="1:25" ht="18.600000000000001" customHeight="1">
      <c r="A16" s="64"/>
      <c r="B16" s="11" t="str">
        <f>IFERROR(VLOOKUP($A16,Rankings!B1:C519,2,FALSE)," ")</f>
        <v xml:space="preserve"> </v>
      </c>
      <c r="C16" s="11" t="str">
        <f>IFERROR(VLOOKUP($A16,Rankings!B1:D519,3,FALSE)," ")</f>
        <v xml:space="preserve"> </v>
      </c>
      <c r="D16" s="80" t="s">
        <v>27</v>
      </c>
      <c r="E16" s="82" t="str">
        <f>IFERROR(VLOOKUP($A16,Rankings!B1:F519,5,FALSE)," ")</f>
        <v xml:space="preserve"> </v>
      </c>
      <c r="F16" s="164" t="str">
        <f>IFERROR(VLOOKUP(A16,Rankings!B:G,6,FALSE)," ")</f>
        <v xml:space="preserve"> </v>
      </c>
      <c r="G16" s="67" t="str">
        <f>IFERROR(VLOOKUP(A16,'Standard Deviations'!A1:D536,4,FALSE)," ")</f>
        <v xml:space="preserve"> </v>
      </c>
      <c r="H16" s="71" t="str">
        <f>IFERROR(VLOOKUP($A16,Rankings!B1:I519,8,FALSE)," ")</f>
        <v xml:space="preserve"> </v>
      </c>
      <c r="I16" s="67"/>
      <c r="J16" s="67" t="str">
        <f>IFERROR(VLOOKUP($A16,Hitters!$A1:$R1500,4,FALSE)," ")</f>
        <v xml:space="preserve"> </v>
      </c>
      <c r="K16" s="67" t="str">
        <f>IFERROR(VLOOKUP($A16,Hitters!$A1:$R1500,5,FALSE)," ")</f>
        <v xml:space="preserve"> </v>
      </c>
      <c r="L16" s="67" t="str">
        <f>IFERROR(VLOOKUP($A16,Hitters!$A1:$R1500,6,FALSE)," ")</f>
        <v xml:space="preserve"> </v>
      </c>
      <c r="M16" s="67" t="str">
        <f>IFERROR(VLOOKUP($A16,Hitters!$A1:$R1500,7,FALSE)," ")</f>
        <v xml:space="preserve"> </v>
      </c>
      <c r="N16" s="67" t="str">
        <f>IFERROR(VLOOKUP($A16,Hitters!$A1:$R1500,8,FALSE)," ")</f>
        <v xml:space="preserve"> </v>
      </c>
      <c r="O16" s="152" t="str">
        <f>IFERROR(VLOOKUP($A16,Hitters!$A$1:$R$1500,14,FALSE)," ")</f>
        <v xml:space="preserve"> </v>
      </c>
      <c r="P16" s="152" t="str">
        <f>IFERROR(VLOOKUP($A16,Hitters!$A$1:$R$1500,15,FALSE)," ")</f>
        <v xml:space="preserve"> </v>
      </c>
      <c r="Q16" s="154" t="str">
        <f>IFERROR(VLOOKUP($A16,Hitters!$A$1:$R$1500,9,FALSE)," ")</f>
        <v xml:space="preserve"> </v>
      </c>
      <c r="R16" s="154" t="str">
        <f>IFERROR(VLOOKUP($A16,Hitters!$A$1:$R$1500,10,FALSE)," ")</f>
        <v xml:space="preserve"> </v>
      </c>
      <c r="S16" s="154" t="str">
        <f>IFERROR(VLOOKUP($A16,Hitters!$A$1:$R$1500,11,FALSE)," ")</f>
        <v xml:space="preserve"> </v>
      </c>
      <c r="T16" s="154" t="str">
        <f>IFERROR(VLOOKUP($A16,Hitters!$A$1:$R$1500,12,FALSE)," ")</f>
        <v xml:space="preserve"> </v>
      </c>
      <c r="U16" s="154" t="str">
        <f>IFERROR(VLOOKUP($A16,Hitters!$A$1:$R$1500,13,FALSE)," ")</f>
        <v xml:space="preserve"> </v>
      </c>
      <c r="V16" s="72" t="str">
        <f>IFERROR(VLOOKUP($A16,Hitters!$A1:$R1500,16,FALSE)," ")</f>
        <v xml:space="preserve"> </v>
      </c>
      <c r="W16" s="72" t="str">
        <f>IFERROR(VLOOKUP($A16,Hitters!$A1:$R1500,17,FALSE)," ")</f>
        <v xml:space="preserve"> </v>
      </c>
      <c r="X16" s="67" t="str">
        <f>IFERROR(VLOOKUP($A16,Hitters!$A1:$R1500,18,FALSE)," ")</f>
        <v xml:space="preserve"> </v>
      </c>
      <c r="Y16" s="6"/>
    </row>
    <row r="17" spans="1:25" ht="18.600000000000001" customHeight="1">
      <c r="A17" s="68" t="s">
        <v>82</v>
      </c>
      <c r="B17" s="11" t="str">
        <f>IFERROR(VLOOKUP($A17,Rankings!B1:C519,2,FALSE)," ")</f>
        <v>SD</v>
      </c>
      <c r="C17" s="11" t="str">
        <f>IFERROR(VLOOKUP($A17,Rankings!B1:D519,3,FALSE)," ")</f>
        <v>NL</v>
      </c>
      <c r="D17" s="83" t="s">
        <v>23</v>
      </c>
      <c r="E17" s="84">
        <f ca="1">IFERROR(VLOOKUP($A17,Rankings!B1:F519,5,FALSE)," ")</f>
        <v>6</v>
      </c>
      <c r="F17" s="164">
        <f>IFERROR(VLOOKUP(A17,Rankings!B:G,6,FALSE)," ")</f>
        <v>569.33388888888885</v>
      </c>
      <c r="G17" s="67">
        <f>IFERROR(VLOOKUP(A17,'Standard Deviations'!A1:D536,4,FALSE)," ")</f>
        <v>8.5815816134329932</v>
      </c>
      <c r="H17" s="71">
        <f ca="1">IFERROR(VLOOKUP($A17,Rankings!B1:I519,8,FALSE)," ")</f>
        <v>8.7385139538561045</v>
      </c>
      <c r="I17" s="67"/>
      <c r="J17" s="67">
        <f>IFERROR(VLOOKUP($A17,Hitters!$A1:$R1500,4,FALSE)," ")</f>
        <v>520.69999999999993</v>
      </c>
      <c r="K17" s="67">
        <f>IFERROR(VLOOKUP($A17,Hitters!$A1:$R1500,5,FALSE)," ")</f>
        <v>107.33666666666666</v>
      </c>
      <c r="L17" s="67">
        <f>IFERROR(VLOOKUP($A17,Hitters!$A1:$R1500,6,FALSE)," ")</f>
        <v>30.106666666666669</v>
      </c>
      <c r="M17" s="67">
        <f>IFERROR(VLOOKUP($A17,Hitters!$A1:$R1500,7,FALSE)," ")</f>
        <v>88.654444444444451</v>
      </c>
      <c r="N17" s="67">
        <f>IFERROR(VLOOKUP($A17,Hitters!$A1:$R1500,8,FALSE)," ")</f>
        <v>9.9644444444444442</v>
      </c>
      <c r="O17" s="152">
        <f>IFERROR(VLOOKUP($A17,Hitters!$A$1:$R$1500,14,FALSE)," ")</f>
        <v>0.2814928621727163</v>
      </c>
      <c r="P17" s="152">
        <f>IFERROR(VLOOKUP($A17,Hitters!$A$1:$R$1500,15,FALSE)," ")</f>
        <v>0.43216770618783151</v>
      </c>
      <c r="Q17" s="154">
        <f>IFERROR(VLOOKUP($A17,Hitters!$A$1:$R$1500,9,FALSE)," ")</f>
        <v>146.57333333333335</v>
      </c>
      <c r="R17" s="154">
        <f>IFERROR(VLOOKUP($A17,Hitters!$A$1:$R$1500,10,FALSE)," ")</f>
        <v>26.846666666666668</v>
      </c>
      <c r="S17" s="154">
        <f>IFERROR(VLOOKUP($A17,Hitters!$A$1:$R$1500,11,FALSE)," ")</f>
        <v>2.0016666666666665</v>
      </c>
      <c r="T17" s="154">
        <f>IFERROR(VLOOKUP($A17,Hitters!$A$1:$R$1500,12,FALSE)," ")</f>
        <v>133.07666666666668</v>
      </c>
      <c r="U17" s="154">
        <f>IFERROR(VLOOKUP($A17,Hitters!$A$1:$R$1500,13,FALSE)," ")</f>
        <v>94.812222222222218</v>
      </c>
      <c r="V17" s="72">
        <f>IFERROR(VLOOKUP($A17,Hitters!$A1:$R1500,16,FALSE)," ")</f>
        <v>0.5141988349017349</v>
      </c>
      <c r="W17" s="72">
        <f>IFERROR(VLOOKUP($A17,Hitters!$A1:$R1500,17,FALSE)," ")</f>
        <v>0.94636654108956642</v>
      </c>
      <c r="X17" s="67">
        <f>IFERROR(VLOOKUP($A17,Hitters!$A1:$R1500,18,FALSE)," ")</f>
        <v>0</v>
      </c>
      <c r="Y17" s="67"/>
    </row>
    <row r="18" spans="1:25" ht="18.600000000000001" customHeight="1">
      <c r="A18" s="64"/>
      <c r="B18" s="11" t="str">
        <f>IFERROR(VLOOKUP($A18,Rankings!B1:C519,2,FALSE)," ")</f>
        <v xml:space="preserve"> </v>
      </c>
      <c r="C18" s="11" t="str">
        <f>IFERROR(VLOOKUP($A18,Rankings!B1:D519,3,FALSE)," ")</f>
        <v xml:space="preserve"> </v>
      </c>
      <c r="D18" s="83" t="s">
        <v>23</v>
      </c>
      <c r="E18" s="85" t="str">
        <f>IFERROR(VLOOKUP($A18,Rankings!B1:F519,5,FALSE)," ")</f>
        <v xml:space="preserve"> </v>
      </c>
      <c r="F18" s="164" t="str">
        <f>IFERROR(VLOOKUP(A18,Rankings!B:G,6,FALSE)," ")</f>
        <v xml:space="preserve"> </v>
      </c>
      <c r="G18" s="67" t="str">
        <f>IFERROR(VLOOKUP(A18,'Standard Deviations'!A1:D536,4,FALSE)," ")</f>
        <v xml:space="preserve"> </v>
      </c>
      <c r="H18" s="71" t="str">
        <f>IFERROR(VLOOKUP($A18,Rankings!B1:I519,8,FALSE)," ")</f>
        <v xml:space="preserve"> </v>
      </c>
      <c r="I18" s="67"/>
      <c r="J18" s="67" t="str">
        <f>IFERROR(VLOOKUP($A18,Hitters!$A1:$R1500,4,FALSE)," ")</f>
        <v xml:space="preserve"> </v>
      </c>
      <c r="K18" s="67" t="str">
        <f>IFERROR(VLOOKUP($A18,Hitters!$A1:$R1500,5,FALSE)," ")</f>
        <v xml:space="preserve"> </v>
      </c>
      <c r="L18" s="67" t="str">
        <f>IFERROR(VLOOKUP($A18,Hitters!$A1:$R1500,6,FALSE)," ")</f>
        <v xml:space="preserve"> </v>
      </c>
      <c r="M18" s="67" t="str">
        <f>IFERROR(VLOOKUP($A18,Hitters!$A1:$R1500,7,FALSE)," ")</f>
        <v xml:space="preserve"> </v>
      </c>
      <c r="N18" s="67" t="str">
        <f>IFERROR(VLOOKUP($A18,Hitters!$A1:$R1500,8,FALSE)," ")</f>
        <v xml:space="preserve"> </v>
      </c>
      <c r="O18" s="152" t="str">
        <f>IFERROR(VLOOKUP($A18,Hitters!$A$1:$R$1500,14,FALSE)," ")</f>
        <v xml:space="preserve"> </v>
      </c>
      <c r="P18" s="152" t="str">
        <f>IFERROR(VLOOKUP($A18,Hitters!$A$1:$R$1500,15,FALSE)," ")</f>
        <v xml:space="preserve"> </v>
      </c>
      <c r="Q18" s="154" t="str">
        <f>IFERROR(VLOOKUP($A18,Hitters!$A$1:$R$1500,9,FALSE)," ")</f>
        <v xml:space="preserve"> </v>
      </c>
      <c r="R18" s="154" t="str">
        <f>IFERROR(VLOOKUP($A18,Hitters!$A$1:$R$1500,10,FALSE)," ")</f>
        <v xml:space="preserve"> </v>
      </c>
      <c r="S18" s="154" t="str">
        <f>IFERROR(VLOOKUP($A18,Hitters!$A$1:$R$1500,11,FALSE)," ")</f>
        <v xml:space="preserve"> </v>
      </c>
      <c r="T18" s="154" t="str">
        <f>IFERROR(VLOOKUP($A18,Hitters!$A$1:$R$1500,12,FALSE)," ")</f>
        <v xml:space="preserve"> </v>
      </c>
      <c r="U18" s="154" t="str">
        <f>IFERROR(VLOOKUP($A18,Hitters!$A$1:$R$1500,13,FALSE)," ")</f>
        <v xml:space="preserve"> </v>
      </c>
      <c r="V18" s="72" t="str">
        <f>IFERROR(VLOOKUP($A18,Hitters!$A1:$R1500,16,FALSE)," ")</f>
        <v xml:space="preserve"> </v>
      </c>
      <c r="W18" s="72" t="str">
        <f>IFERROR(VLOOKUP($A18,Hitters!$A1:$R1500,17,FALSE)," ")</f>
        <v xml:space="preserve"> </v>
      </c>
      <c r="X18" s="67" t="str">
        <f>IFERROR(VLOOKUP($A18,Hitters!$A1:$R1500,18,FALSE)," ")</f>
        <v xml:space="preserve"> </v>
      </c>
      <c r="Y18" s="6"/>
    </row>
    <row r="19" spans="1:25" ht="18.600000000000001" customHeight="1">
      <c r="A19" s="64"/>
      <c r="B19" s="11" t="str">
        <f>IFERROR(VLOOKUP($A19,Rankings!B1:C519,2,FALSE)," ")</f>
        <v xml:space="preserve"> </v>
      </c>
      <c r="C19" s="11" t="str">
        <f>IFERROR(VLOOKUP($A19,Rankings!B1:D519,3,FALSE)," ")</f>
        <v xml:space="preserve"> </v>
      </c>
      <c r="D19" s="83" t="s">
        <v>23</v>
      </c>
      <c r="E19" s="85" t="str">
        <f>IFERROR(VLOOKUP($A19,Rankings!B1:F519,5,FALSE)," ")</f>
        <v xml:space="preserve"> </v>
      </c>
      <c r="F19" s="164" t="str">
        <f>IFERROR(VLOOKUP(A19,Rankings!B:G,6,FALSE)," ")</f>
        <v xml:space="preserve"> </v>
      </c>
      <c r="G19" s="67" t="str">
        <f>IFERROR(VLOOKUP(A19,'Standard Deviations'!A1:D536,4,FALSE)," ")</f>
        <v xml:space="preserve"> </v>
      </c>
      <c r="H19" s="71" t="str">
        <f>IFERROR(VLOOKUP($A19,Rankings!B1:I519,8,FALSE)," ")</f>
        <v xml:space="preserve"> </v>
      </c>
      <c r="I19" s="67"/>
      <c r="J19" s="67" t="str">
        <f>IFERROR(VLOOKUP($A19,Hitters!$A1:$R1500,4,FALSE)," ")</f>
        <v xml:space="preserve"> </v>
      </c>
      <c r="K19" s="67" t="str">
        <f>IFERROR(VLOOKUP($A19,Hitters!$A1:$R1500,5,FALSE)," ")</f>
        <v xml:space="preserve"> </v>
      </c>
      <c r="L19" s="67" t="str">
        <f>IFERROR(VLOOKUP($A19,Hitters!$A1:$R1500,6,FALSE)," ")</f>
        <v xml:space="preserve"> </v>
      </c>
      <c r="M19" s="67" t="str">
        <f>IFERROR(VLOOKUP($A19,Hitters!$A1:$R1500,7,FALSE)," ")</f>
        <v xml:space="preserve"> </v>
      </c>
      <c r="N19" s="67" t="str">
        <f>IFERROR(VLOOKUP($A19,Hitters!$A1:$R1500,8,FALSE)," ")</f>
        <v xml:space="preserve"> </v>
      </c>
      <c r="O19" s="152" t="str">
        <f>IFERROR(VLOOKUP($A19,Hitters!$A$1:$R$1500,14,FALSE)," ")</f>
        <v xml:space="preserve"> </v>
      </c>
      <c r="P19" s="152" t="str">
        <f>IFERROR(VLOOKUP($A19,Hitters!$A$1:$R$1500,15,FALSE)," ")</f>
        <v xml:space="preserve"> </v>
      </c>
      <c r="Q19" s="154" t="str">
        <f>IFERROR(VLOOKUP($A19,Hitters!$A$1:$R$1500,9,FALSE)," ")</f>
        <v xml:space="preserve"> </v>
      </c>
      <c r="R19" s="154" t="str">
        <f>IFERROR(VLOOKUP($A19,Hitters!$A$1:$R$1500,10,FALSE)," ")</f>
        <v xml:space="preserve"> </v>
      </c>
      <c r="S19" s="154" t="str">
        <f>IFERROR(VLOOKUP($A19,Hitters!$A$1:$R$1500,11,FALSE)," ")</f>
        <v xml:space="preserve"> </v>
      </c>
      <c r="T19" s="154" t="str">
        <f>IFERROR(VLOOKUP($A19,Hitters!$A$1:$R$1500,12,FALSE)," ")</f>
        <v xml:space="preserve"> </v>
      </c>
      <c r="U19" s="154" t="str">
        <f>IFERROR(VLOOKUP($A19,Hitters!$A$1:$R$1500,13,FALSE)," ")</f>
        <v xml:space="preserve"> </v>
      </c>
      <c r="V19" s="72" t="str">
        <f>IFERROR(VLOOKUP($A19,Hitters!$A1:$R1500,16,FALSE)," ")</f>
        <v xml:space="preserve"> </v>
      </c>
      <c r="W19" s="72" t="str">
        <f>IFERROR(VLOOKUP($A19,Hitters!$A1:$R1500,17,FALSE)," ")</f>
        <v xml:space="preserve"> </v>
      </c>
      <c r="X19" s="67" t="str">
        <f>IFERROR(VLOOKUP($A19,Hitters!$A1:$R1500,18,FALSE)," ")</f>
        <v xml:space="preserve"> </v>
      </c>
      <c r="Y19" s="6"/>
    </row>
    <row r="20" spans="1:25" ht="18.600000000000001" customHeight="1">
      <c r="A20" s="64"/>
      <c r="B20" s="11" t="str">
        <f>IFERROR(VLOOKUP($A20,Rankings!B1:C519,2,FALSE)," ")</f>
        <v xml:space="preserve"> </v>
      </c>
      <c r="C20" s="11" t="str">
        <f>IFERROR(VLOOKUP($A20,Rankings!B1:D519,3,FALSE)," ")</f>
        <v xml:space="preserve"> </v>
      </c>
      <c r="D20" s="83" t="s">
        <v>23</v>
      </c>
      <c r="E20" s="85" t="str">
        <f>IFERROR(VLOOKUP($A20,Rankings!B1:F519,5,FALSE)," ")</f>
        <v xml:space="preserve"> </v>
      </c>
      <c r="F20" s="164" t="str">
        <f>IFERROR(VLOOKUP(A20,Rankings!B:G,6,FALSE)," ")</f>
        <v xml:space="preserve"> </v>
      </c>
      <c r="G20" s="67" t="str">
        <f>IFERROR(VLOOKUP(A20,'Standard Deviations'!A1:D536,4,FALSE)," ")</f>
        <v xml:space="preserve"> </v>
      </c>
      <c r="H20" s="71" t="str">
        <f>IFERROR(VLOOKUP($A20,Rankings!B1:I519,8,FALSE)," ")</f>
        <v xml:space="preserve"> </v>
      </c>
      <c r="I20" s="67"/>
      <c r="J20" s="67" t="str">
        <f>IFERROR(VLOOKUP($A20,Hitters!$A1:$R1500,4,FALSE)," ")</f>
        <v xml:space="preserve"> </v>
      </c>
      <c r="K20" s="67" t="str">
        <f>IFERROR(VLOOKUP($A20,Hitters!$A1:$R1500,5,FALSE)," ")</f>
        <v xml:space="preserve"> </v>
      </c>
      <c r="L20" s="67" t="str">
        <f>IFERROR(VLOOKUP($A20,Hitters!$A1:$R1500,6,FALSE)," ")</f>
        <v xml:space="preserve"> </v>
      </c>
      <c r="M20" s="67" t="str">
        <f>IFERROR(VLOOKUP($A20,Hitters!$A1:$R1500,7,FALSE)," ")</f>
        <v xml:space="preserve"> </v>
      </c>
      <c r="N20" s="67" t="str">
        <f>IFERROR(VLOOKUP($A20,Hitters!$A1:$R1500,8,FALSE)," ")</f>
        <v xml:space="preserve"> </v>
      </c>
      <c r="O20" s="152" t="str">
        <f>IFERROR(VLOOKUP($A20,Hitters!$A$1:$R$1500,14,FALSE)," ")</f>
        <v xml:space="preserve"> </v>
      </c>
      <c r="P20" s="152" t="str">
        <f>IFERROR(VLOOKUP($A20,Hitters!$A$1:$R$1500,15,FALSE)," ")</f>
        <v xml:space="preserve"> </v>
      </c>
      <c r="Q20" s="154" t="str">
        <f>IFERROR(VLOOKUP($A20,Hitters!$A$1:$R$1500,9,FALSE)," ")</f>
        <v xml:space="preserve"> </v>
      </c>
      <c r="R20" s="154" t="str">
        <f>IFERROR(VLOOKUP($A20,Hitters!$A$1:$R$1500,10,FALSE)," ")</f>
        <v xml:space="preserve"> </v>
      </c>
      <c r="S20" s="154" t="str">
        <f>IFERROR(VLOOKUP($A20,Hitters!$A$1:$R$1500,11,FALSE)," ")</f>
        <v xml:space="preserve"> </v>
      </c>
      <c r="T20" s="154" t="str">
        <f>IFERROR(VLOOKUP($A20,Hitters!$A$1:$R$1500,12,FALSE)," ")</f>
        <v xml:space="preserve"> </v>
      </c>
      <c r="U20" s="154" t="str">
        <f>IFERROR(VLOOKUP($A20,Hitters!$A$1:$R$1500,13,FALSE)," ")</f>
        <v xml:space="preserve"> </v>
      </c>
      <c r="V20" s="72" t="str">
        <f>IFERROR(VLOOKUP($A20,Hitters!$A1:$R1500,16,FALSE)," ")</f>
        <v xml:space="preserve"> </v>
      </c>
      <c r="W20" s="72" t="str">
        <f>IFERROR(VLOOKUP($A20,Hitters!$A1:$R1500,17,FALSE)," ")</f>
        <v xml:space="preserve"> </v>
      </c>
      <c r="X20" s="67" t="str">
        <f>IFERROR(VLOOKUP($A20,Hitters!$A1:$R1500,18,FALSE)," ")</f>
        <v xml:space="preserve"> </v>
      </c>
      <c r="Y20" s="6"/>
    </row>
    <row r="21" spans="1:25" ht="18.600000000000001" customHeight="1">
      <c r="A21" s="64"/>
      <c r="B21" s="11" t="str">
        <f>IFERROR(VLOOKUP($A21,Rankings!B1:C519,2,FALSE)," ")</f>
        <v xml:space="preserve"> </v>
      </c>
      <c r="C21" s="11" t="str">
        <f>IFERROR(VLOOKUP($A21,Rankings!B1:D519,3,FALSE)," ")</f>
        <v xml:space="preserve"> </v>
      </c>
      <c r="D21" s="83" t="s">
        <v>23</v>
      </c>
      <c r="E21" s="85" t="str">
        <f>IFERROR(VLOOKUP($A21,Rankings!B1:F519,5,FALSE)," ")</f>
        <v xml:space="preserve"> </v>
      </c>
      <c r="F21" s="164" t="str">
        <f>IFERROR(VLOOKUP(A21,Rankings!B:G,6,FALSE)," ")</f>
        <v xml:space="preserve"> </v>
      </c>
      <c r="G21" s="67" t="str">
        <f>IFERROR(VLOOKUP(A21,'Standard Deviations'!A1:D536,4,FALSE)," ")</f>
        <v xml:space="preserve"> </v>
      </c>
      <c r="H21" s="71" t="str">
        <f>IFERROR(VLOOKUP($A21,Rankings!B1:I519,8,FALSE)," ")</f>
        <v xml:space="preserve"> </v>
      </c>
      <c r="I21" s="67"/>
      <c r="J21" s="67" t="str">
        <f>IFERROR(VLOOKUP($A21,Hitters!$A1:$R1500,4,FALSE)," ")</f>
        <v xml:space="preserve"> </v>
      </c>
      <c r="K21" s="67" t="str">
        <f>IFERROR(VLOOKUP($A21,Hitters!$A1:$R1500,5,FALSE)," ")</f>
        <v xml:space="preserve"> </v>
      </c>
      <c r="L21" s="67" t="str">
        <f>IFERROR(VLOOKUP($A21,Hitters!$A1:$R1500,6,FALSE)," ")</f>
        <v xml:space="preserve"> </v>
      </c>
      <c r="M21" s="67" t="str">
        <f>IFERROR(VLOOKUP($A21,Hitters!$A1:$R1500,7,FALSE)," ")</f>
        <v xml:space="preserve"> </v>
      </c>
      <c r="N21" s="67" t="str">
        <f>IFERROR(VLOOKUP($A21,Hitters!$A1:$R1500,8,FALSE)," ")</f>
        <v xml:space="preserve"> </v>
      </c>
      <c r="O21" s="152" t="str">
        <f>IFERROR(VLOOKUP($A21,Hitters!$A$1:$R$1500,14,FALSE)," ")</f>
        <v xml:space="preserve"> </v>
      </c>
      <c r="P21" s="152" t="str">
        <f>IFERROR(VLOOKUP($A21,Hitters!$A$1:$R$1500,15,FALSE)," ")</f>
        <v xml:space="preserve"> </v>
      </c>
      <c r="Q21" s="154" t="str">
        <f>IFERROR(VLOOKUP($A21,Hitters!$A$1:$R$1500,9,FALSE)," ")</f>
        <v xml:space="preserve"> </v>
      </c>
      <c r="R21" s="154" t="str">
        <f>IFERROR(VLOOKUP($A21,Hitters!$A$1:$R$1500,10,FALSE)," ")</f>
        <v xml:space="preserve"> </v>
      </c>
      <c r="S21" s="154" t="str">
        <f>IFERROR(VLOOKUP($A21,Hitters!$A$1:$R$1500,11,FALSE)," ")</f>
        <v xml:space="preserve"> </v>
      </c>
      <c r="T21" s="154" t="str">
        <f>IFERROR(VLOOKUP($A21,Hitters!$A$1:$R$1500,12,FALSE)," ")</f>
        <v xml:space="preserve"> </v>
      </c>
      <c r="U21" s="154" t="str">
        <f>IFERROR(VLOOKUP($A21,Hitters!$A$1:$R$1500,13,FALSE)," ")</f>
        <v xml:space="preserve"> </v>
      </c>
      <c r="V21" s="72" t="str">
        <f>IFERROR(VLOOKUP($A21,Hitters!$A1:$R1500,16,FALSE)," ")</f>
        <v xml:space="preserve"> </v>
      </c>
      <c r="W21" s="72" t="str">
        <f>IFERROR(VLOOKUP($A21,Hitters!$A1:$R1500,17,FALSE)," ")</f>
        <v xml:space="preserve"> </v>
      </c>
      <c r="X21" s="67" t="str">
        <f>IFERROR(VLOOKUP($A21,Hitters!$A1:$R1500,18,FALSE)," ")</f>
        <v xml:space="preserve"> </v>
      </c>
      <c r="Y21" s="6"/>
    </row>
    <row r="22" spans="1:25" ht="18.600000000000001" customHeight="1" thickBot="1">
      <c r="A22" s="86"/>
      <c r="B22" s="87" t="str">
        <f>IFERROR(VLOOKUP($A22,Rankings!B1:C519,2,FALSE)," ")</f>
        <v xml:space="preserve"> </v>
      </c>
      <c r="C22" s="87" t="str">
        <f>IFERROR(VLOOKUP($A22,Rankings!B1:D519,3,FALSE)," ")</f>
        <v xml:space="preserve"> </v>
      </c>
      <c r="D22" s="88" t="s">
        <v>23</v>
      </c>
      <c r="E22" s="89" t="str">
        <f>IFERROR(VLOOKUP($A22,Rankings!B1:F519,5,FALSE)," ")</f>
        <v xml:space="preserve"> </v>
      </c>
      <c r="F22" s="165" t="str">
        <f>IFERROR(VLOOKUP(A22,Rankings!B:G,6,FALSE)," ")</f>
        <v xml:space="preserve"> </v>
      </c>
      <c r="G22" s="90" t="str">
        <f>IFERROR(VLOOKUP(A22,'Standard Deviations'!A1:D536,4,FALSE)," ")</f>
        <v xml:space="preserve"> </v>
      </c>
      <c r="H22" s="161" t="str">
        <f>IFERROR(VLOOKUP($A22,Rankings!B1:I519,8,FALSE)," ")</f>
        <v xml:space="preserve"> </v>
      </c>
      <c r="I22" s="90"/>
      <c r="J22" s="90" t="str">
        <f>IFERROR(VLOOKUP($A22,Hitters!$A1:$R1500,4,FALSE)," ")</f>
        <v xml:space="preserve"> </v>
      </c>
      <c r="K22" s="90" t="str">
        <f>IFERROR(VLOOKUP($A22,Hitters!$A1:$R1500,5,FALSE)," ")</f>
        <v xml:space="preserve"> </v>
      </c>
      <c r="L22" s="90" t="str">
        <f>IFERROR(VLOOKUP($A22,Hitters!$A1:$R1500,6,FALSE)," ")</f>
        <v xml:space="preserve"> </v>
      </c>
      <c r="M22" s="90" t="str">
        <f>IFERROR(VLOOKUP($A22,Hitters!$A1:$R1500,7,FALSE)," ")</f>
        <v xml:space="preserve"> </v>
      </c>
      <c r="N22" s="90" t="str">
        <f>IFERROR(VLOOKUP($A22,Hitters!$A1:$R1500,8,FALSE)," ")</f>
        <v xml:space="preserve"> </v>
      </c>
      <c r="O22" s="159" t="str">
        <f>IFERROR(VLOOKUP($A22,Hitters!$A$1:$R$1500,14,FALSE)," ")</f>
        <v xml:space="preserve"> </v>
      </c>
      <c r="P22" s="159" t="str">
        <f>IFERROR(VLOOKUP($A22,Hitters!$A$1:$R$1500,15,FALSE)," ")</f>
        <v xml:space="preserve"> </v>
      </c>
      <c r="Q22" s="160" t="str">
        <f>IFERROR(VLOOKUP($A22,Hitters!$A$1:$R$1500,9,FALSE)," ")</f>
        <v xml:space="preserve"> </v>
      </c>
      <c r="R22" s="160" t="str">
        <f>IFERROR(VLOOKUP($A22,Hitters!$A$1:$R$1500,10,FALSE)," ")</f>
        <v xml:space="preserve"> </v>
      </c>
      <c r="S22" s="160" t="str">
        <f>IFERROR(VLOOKUP($A22,Hitters!$A$1:$R$1500,11,FALSE)," ")</f>
        <v xml:space="preserve"> </v>
      </c>
      <c r="T22" s="160" t="str">
        <f>IFERROR(VLOOKUP($A22,Hitters!$A$1:$R$1500,12,FALSE)," ")</f>
        <v xml:space="preserve"> </v>
      </c>
      <c r="U22" s="160" t="str">
        <f>IFERROR(VLOOKUP($A22,Hitters!$A$1:$R$1500,13,FALSE)," ")</f>
        <v xml:space="preserve"> </v>
      </c>
      <c r="V22" s="162" t="str">
        <f>IFERROR(VLOOKUP($A22,Hitters!$A1:$R1500,16,FALSE)," ")</f>
        <v xml:space="preserve"> </v>
      </c>
      <c r="W22" s="162" t="str">
        <f>IFERROR(VLOOKUP($A22,Hitters!$A1:$R1500,17,FALSE)," ")</f>
        <v xml:space="preserve"> </v>
      </c>
      <c r="X22" s="90" t="str">
        <f>IFERROR(VLOOKUP($A22,Hitters!$A1:$R1500,18,FALSE)," ")</f>
        <v xml:space="preserve"> </v>
      </c>
      <c r="Y22" s="91"/>
    </row>
    <row r="23" spans="1:25" ht="18.600000000000001" customHeight="1">
      <c r="A23" s="56" t="s">
        <v>736</v>
      </c>
      <c r="B23" s="57" t="str">
        <f>IFERROR(VLOOKUP($A23,Rankings!B1:C519,2,FALSE)," ")</f>
        <v xml:space="preserve"> </v>
      </c>
      <c r="C23" s="92"/>
      <c r="D23" s="93"/>
      <c r="E23" s="94" t="str">
        <f>IFERROR(VLOOKUP($A23,Rankings!B1:F519,5,FALSE)," ")</f>
        <v xml:space="preserve"> </v>
      </c>
      <c r="F23" s="60">
        <f>SUM(F2:F22)</f>
        <v>2879.778888888889</v>
      </c>
      <c r="G23" s="61">
        <f>SUM(G2:G22)</f>
        <v>46.211291810801868</v>
      </c>
      <c r="H23" s="62">
        <f ca="1">SUM(H2:H22)</f>
        <v>46.691703942324963</v>
      </c>
      <c r="I23" s="61"/>
      <c r="J23" s="61">
        <f>SUM(J2:J22)</f>
        <v>3161.6999999999994</v>
      </c>
      <c r="K23" s="61">
        <f>SUM(K2:K22)</f>
        <v>526.46722222222218</v>
      </c>
      <c r="L23" s="61">
        <f>SUM(L2:L22)</f>
        <v>176.36500000000001</v>
      </c>
      <c r="M23" s="61">
        <f>SUM(M2:M22)</f>
        <v>536.28777777777782</v>
      </c>
      <c r="N23" s="61">
        <f>SUM(N2:N22)</f>
        <v>81.432222222222222</v>
      </c>
      <c r="O23" s="63">
        <f>Q23/J23</f>
        <v>0.27319409740891865</v>
      </c>
      <c r="P23" s="63">
        <f>(Q23+T23+(J23*0.025))/(J23+T23+(J23*0.025)+(J23*0.02))</f>
        <v>0.35957833509936676</v>
      </c>
      <c r="Q23" s="61">
        <f>SUM(Q2:Q22)</f>
        <v>863.75777777777785</v>
      </c>
      <c r="R23" s="61">
        <f>SUM(R2:R22)</f>
        <v>176.11444444444444</v>
      </c>
      <c r="S23" s="61">
        <f>SUM(S2:S22)</f>
        <v>13.373333333333333</v>
      </c>
      <c r="T23" s="61">
        <f>SUM(T2:T22)</f>
        <v>382.93222222222221</v>
      </c>
      <c r="U23" s="61">
        <f>SUM(U2:U22)</f>
        <v>648.97333333333336</v>
      </c>
      <c r="V23" s="63">
        <f>((Q23-R23-S23-L23)+(R23*2)+(S23*3)+(L23*4))/J23</f>
        <v>0.50470123316218785</v>
      </c>
      <c r="W23" s="63">
        <f>V23+P23</f>
        <v>0.86427956826155461</v>
      </c>
      <c r="X23" s="61">
        <f>SUM(X2:X22)</f>
        <v>0</v>
      </c>
      <c r="Y23" s="61"/>
    </row>
    <row r="24" spans="1:25" ht="18.600000000000001" customHeight="1">
      <c r="A24" s="95"/>
      <c r="B24" s="96" t="str">
        <f>IFERROR(VLOOKUP($A24,Rankings!B1:C519,2,FALSE)," ")</f>
        <v xml:space="preserve"> </v>
      </c>
      <c r="C24" s="97"/>
      <c r="D24" s="98"/>
      <c r="E24" s="98"/>
      <c r="F24" s="99" t="str">
        <f>IFERROR((J24*Settings!$B$2)+(K24*Settings!$B$3)+(L24*Settings!$B$4)+(M24*Settings!$B$5)+(N24*Settings!$B$6)+(Q24*Settings!$B$9)+(R24*Settings!$B$10)+(S24*Settings!$B$11)+(T24*Settings!$B$12)+(U24*Settings!$B$13)+(X24*Settings!$B$16)," ")</f>
        <v xml:space="preserve"> </v>
      </c>
      <c r="G24" s="96" t="str">
        <f>IFERROR(VLOOKUP(A24,'Standard Deviations'!A1:D536,4,FALSE)," ")</f>
        <v xml:space="preserve"> </v>
      </c>
      <c r="H24" s="100" t="str">
        <f>IFERROR(VLOOKUP($A24,Rankings!B1:I519,8,FALSE)," ")</f>
        <v xml:space="preserve"> </v>
      </c>
      <c r="I24" s="101"/>
      <c r="J24" s="96" t="str">
        <f>IFERROR(VLOOKUP($A24,Hitters!$A1:$R308,4,FALSE)," ")</f>
        <v xml:space="preserve"> </v>
      </c>
      <c r="K24" s="96" t="str">
        <f>IFERROR(VLOOKUP($A24,Hitters!$A1:$R308,5,FALSE)," ")</f>
        <v xml:space="preserve"> </v>
      </c>
      <c r="L24" s="96" t="str">
        <f>IFERROR(VLOOKUP($A24,Hitters!$A1:$R308,6,FALSE)," ")</f>
        <v xml:space="preserve"> </v>
      </c>
      <c r="M24" s="96" t="str">
        <f>IFERROR(VLOOKUP($A24,Hitters!$A1:$R308,7,FALSE)," ")</f>
        <v xml:space="preserve"> </v>
      </c>
      <c r="N24" s="96" t="str">
        <f>IFERROR(VLOOKUP($A24,Hitters!$A1:$R308,8,FALSE)," ")</f>
        <v xml:space="preserve"> </v>
      </c>
      <c r="O24" s="96" t="str">
        <f>IFERROR(VLOOKUP($A24,Hitters!$A1:$R308,9,FALSE)," ")</f>
        <v xml:space="preserve"> </v>
      </c>
      <c r="P24" s="96" t="str">
        <f>IFERROR(VLOOKUP($A24,Hitters!$A1:$R308,10,FALSE)," ")</f>
        <v xml:space="preserve"> </v>
      </c>
      <c r="Q24" s="96" t="str">
        <f>IFERROR(VLOOKUP($A24,Hitters!$A1:$R308,11,FALSE)," ")</f>
        <v xml:space="preserve"> </v>
      </c>
      <c r="R24" s="96" t="str">
        <f>IFERROR(VLOOKUP($A24,Hitters!$A1:$R308,12,FALSE)," ")</f>
        <v xml:space="preserve"> </v>
      </c>
      <c r="S24" s="96" t="str">
        <f>IFERROR(VLOOKUP($A24,Hitters!$A1:$R308,13,FALSE)," ")</f>
        <v xml:space="preserve"> </v>
      </c>
      <c r="T24" s="96" t="str">
        <f>IFERROR(VLOOKUP($A24,Hitters!$A1:$R308,14,FALSE)," ")</f>
        <v xml:space="preserve"> </v>
      </c>
      <c r="U24" s="96" t="str">
        <f>IFERROR(VLOOKUP($A24,Hitters!$A1:$R308,15,FALSE)," ")</f>
        <v xml:space="preserve"> </v>
      </c>
      <c r="V24" s="96" t="str">
        <f>IFERROR(VLOOKUP($A24,Hitters!$A1:$R308,16,FALSE)," ")</f>
        <v xml:space="preserve"> </v>
      </c>
      <c r="W24" s="96" t="str">
        <f>IFERROR(VLOOKUP($A24,Hitters!$A1:$R308,17,FALSE)," ")</f>
        <v xml:space="preserve"> </v>
      </c>
      <c r="X24" s="96" t="str">
        <f>IFERROR(VLOOKUP($A24,Hitters!$A1:$R308,18,FALSE)," ")</f>
        <v xml:space="preserve"> </v>
      </c>
      <c r="Y24" s="97"/>
    </row>
    <row r="25" spans="1:25" ht="18.600000000000001" customHeight="1" thickBot="1">
      <c r="A25" s="51" t="s">
        <v>737</v>
      </c>
      <c r="B25" s="52" t="s">
        <v>59</v>
      </c>
      <c r="C25" s="53" t="s">
        <v>60</v>
      </c>
      <c r="D25" s="175" t="s">
        <v>61</v>
      </c>
      <c r="E25" s="176"/>
      <c r="F25" s="54" t="s">
        <v>62</v>
      </c>
      <c r="G25" s="52" t="s">
        <v>63</v>
      </c>
      <c r="H25" s="52" t="s">
        <v>64</v>
      </c>
      <c r="I25" s="55"/>
      <c r="J25" s="52" t="s">
        <v>6</v>
      </c>
      <c r="K25" s="52" t="s">
        <v>10</v>
      </c>
      <c r="L25" s="52" t="s">
        <v>14</v>
      </c>
      <c r="M25" s="52" t="s">
        <v>18</v>
      </c>
      <c r="N25" s="52" t="s">
        <v>22</v>
      </c>
      <c r="O25" s="52" t="s">
        <v>26</v>
      </c>
      <c r="P25" s="52" t="s">
        <v>30</v>
      </c>
      <c r="Q25" s="52" t="s">
        <v>33</v>
      </c>
      <c r="R25" s="52" t="s">
        <v>36</v>
      </c>
      <c r="S25" s="52" t="s">
        <v>13</v>
      </c>
      <c r="T25" s="52" t="s">
        <v>39</v>
      </c>
      <c r="U25" s="52" t="s">
        <v>41</v>
      </c>
      <c r="V25" s="52" t="s">
        <v>46</v>
      </c>
      <c r="W25" s="52" t="s">
        <v>48</v>
      </c>
      <c r="X25" s="52" t="s">
        <v>52</v>
      </c>
      <c r="Y25" s="52" t="s">
        <v>55</v>
      </c>
    </row>
    <row r="26" spans="1:25" ht="18.600000000000001" customHeight="1">
      <c r="A26" s="56" t="s">
        <v>92</v>
      </c>
      <c r="B26" s="57" t="str">
        <f>IFERROR(VLOOKUP($A26,Rankings!B1:C519,2,FALSE)," ")</f>
        <v>NYY</v>
      </c>
      <c r="C26" s="57" t="str">
        <f>IFERROR(VLOOKUP($A26,Rankings!B1:D519,3,FALSE)," ")</f>
        <v>AL</v>
      </c>
      <c r="D26" s="102" t="s">
        <v>31</v>
      </c>
      <c r="E26" s="103">
        <f ca="1">IFERROR(VLOOKUP($A26,Rankings!B1:F519,5,FALSE)," ")</f>
        <v>2</v>
      </c>
      <c r="F26" s="163">
        <f>IFERROR(VLOOKUP(A26,Rankings!B:G,6,FALSE)," ")</f>
        <v>575.17527777777764</v>
      </c>
      <c r="G26" s="61">
        <f>IFERROR(VLOOKUP(A26,'Standard Deviations'!A1:D536,4,FALSE)," ")</f>
        <v>8.0775543428779102</v>
      </c>
      <c r="H26" s="62">
        <f ca="1">IFERROR(VLOOKUP($A26,Rankings!B1:I519,8,FALSE)," ")</f>
        <v>8.9451314619543751</v>
      </c>
      <c r="I26" s="61"/>
      <c r="J26" s="61">
        <f>IFERROR(VLOOKUP($A26,Pitchers!$A1:$S1000,4,FALSE)," ")</f>
        <v>196.01333333333332</v>
      </c>
      <c r="K26" s="116">
        <f>IFERROR(VLOOKUP($A26,Pitchers!$A1:$S1000,5,FALSE)," ")</f>
        <v>3.1207060744167063</v>
      </c>
      <c r="L26" s="116">
        <f>IFERROR(VLOOKUP($A26,Pitchers!$A1:$S1000,6,FALSE)," ")</f>
        <v>1.0353547377729406</v>
      </c>
      <c r="M26" s="61">
        <f>IFERROR(VLOOKUP($A26,Pitchers!$A1:$S1000,7,FALSE)," ")</f>
        <v>241.12833333333333</v>
      </c>
      <c r="N26" s="61">
        <f>IFERROR(VLOOKUP($A26,Pitchers!$A1:$S1000,8,FALSE)," ")</f>
        <v>14.804444444444444</v>
      </c>
      <c r="O26" s="61">
        <f>IFERROR(VLOOKUP($A26,Pitchers!$A1:$S1000,9,FALSE)," ")</f>
        <v>0</v>
      </c>
      <c r="P26" s="61">
        <f>IFERROR(VLOOKUP($A26,Pitchers!$A1:$S1000,10,FALSE)," ")</f>
        <v>67.966666666666654</v>
      </c>
      <c r="Q26" s="61">
        <f>IFERROR(VLOOKUP($A26,Pitchers!$A1:$S1000,11,FALSE)," ")</f>
        <v>154.36666666666665</v>
      </c>
      <c r="R26" s="61">
        <f>IFERROR(VLOOKUP($A26,Pitchers!$A1:$S1000,12,FALSE)," ")</f>
        <v>48.576666666666675</v>
      </c>
      <c r="S26" s="61">
        <f>IFERROR(VLOOKUP($A26,Pitchers!$A1:$S1000,13,FALSE)," ")</f>
        <v>26.2</v>
      </c>
      <c r="T26" s="61">
        <f>IFERROR(VLOOKUP($A26,Pitchers!$A1:$S1000,14,FALSE)," ")</f>
        <v>31.03</v>
      </c>
      <c r="U26" s="61">
        <f>IFERROR(VLOOKUP($A26,Pitchers!$A1:$S1000,15,FALSE)," ")</f>
        <v>31.03</v>
      </c>
      <c r="V26" s="61">
        <f>IFERROR(VLOOKUP($A26,Pitchers!$A1:$S1000,16,FALSE)," ")</f>
        <v>7.9899999999999993</v>
      </c>
      <c r="W26" s="61">
        <f>IFERROR(VLOOKUP($A26,Pitchers!$A1:$S1000,17,FALSE)," ")</f>
        <v>24.6</v>
      </c>
      <c r="X26" s="61">
        <f>IFERROR(VLOOKUP($A26,Pitchers!$A1:$S1000,18,FALSE)," ")</f>
        <v>0</v>
      </c>
      <c r="Y26" s="61">
        <f>IFERROR(VLOOKUP($A26,Pitchers!$A1:$S1000,19,FALSE)," ")</f>
        <v>0</v>
      </c>
    </row>
    <row r="27" spans="1:25" ht="18.600000000000001" customHeight="1">
      <c r="A27" s="64"/>
      <c r="B27" s="11" t="str">
        <f>IFERROR(VLOOKUP($A27,Rankings!B1:C519,2,FALSE)," ")</f>
        <v xml:space="preserve"> </v>
      </c>
      <c r="C27" s="11" t="str">
        <f>IFERROR(VLOOKUP($A27,Rankings!B1:D519,3,FALSE)," ")</f>
        <v xml:space="preserve"> </v>
      </c>
      <c r="D27" s="104" t="s">
        <v>31</v>
      </c>
      <c r="E27" s="105" t="str">
        <f>IFERROR(VLOOKUP($A27,Rankings!B1:F519,5,FALSE)," ")</f>
        <v xml:space="preserve"> </v>
      </c>
      <c r="F27" s="164" t="str">
        <f>IFERROR(VLOOKUP(A27,Rankings!B:G,6,FALSE)," ")</f>
        <v xml:space="preserve"> </v>
      </c>
      <c r="G27" s="67" t="str">
        <f>IFERROR(VLOOKUP(A27,'Standard Deviations'!A1:D536,4,FALSE)," ")</f>
        <v xml:space="preserve"> </v>
      </c>
      <c r="H27" s="71" t="str">
        <f>IFERROR(VLOOKUP($A27,Rankings!B1:I519,8,FALSE)," ")</f>
        <v xml:space="preserve"> </v>
      </c>
      <c r="I27" s="67"/>
      <c r="J27" s="67" t="str">
        <f>IFERROR(VLOOKUP($A27,Pitchers!$A1:$S1000,4,FALSE)," ")</f>
        <v xml:space="preserve"> </v>
      </c>
      <c r="K27" s="118" t="str">
        <f>IFERROR(VLOOKUP($A27,Pitchers!$A1:$S1000,5,FALSE)," ")</f>
        <v xml:space="preserve"> </v>
      </c>
      <c r="L27" s="118" t="str">
        <f>IFERROR(VLOOKUP($A27,Pitchers!$A1:$S1000,6,FALSE)," ")</f>
        <v xml:space="preserve"> </v>
      </c>
      <c r="M27" s="67" t="str">
        <f>IFERROR(VLOOKUP($A27,Pitchers!$A1:$S1000,7,FALSE)," ")</f>
        <v xml:space="preserve"> </v>
      </c>
      <c r="N27" s="67" t="str">
        <f>IFERROR(VLOOKUP($A27,Pitchers!$A1:$S1000,8,FALSE)," ")</f>
        <v xml:space="preserve"> </v>
      </c>
      <c r="O27" s="67" t="str">
        <f>IFERROR(VLOOKUP($A27,Pitchers!$A1:$S1000,9,FALSE)," ")</f>
        <v xml:space="preserve"> </v>
      </c>
      <c r="P27" s="67" t="str">
        <f>IFERROR(VLOOKUP($A27,Pitchers!$A1:$S1000,10,FALSE)," ")</f>
        <v xml:space="preserve"> </v>
      </c>
      <c r="Q27" s="67" t="str">
        <f>IFERROR(VLOOKUP($A27,Pitchers!$A1:$S1000,11,FALSE)," ")</f>
        <v xml:space="preserve"> </v>
      </c>
      <c r="R27" s="67" t="str">
        <f>IFERROR(VLOOKUP($A27,Pitchers!$A1:$S1000,12,FALSE)," ")</f>
        <v xml:space="preserve"> </v>
      </c>
      <c r="S27" s="67" t="str">
        <f>IFERROR(VLOOKUP($A27,Pitchers!$A1:$S1000,13,FALSE)," ")</f>
        <v xml:space="preserve"> </v>
      </c>
      <c r="T27" s="67" t="str">
        <f>IFERROR(VLOOKUP($A27,Pitchers!$A1:$S1000,14,FALSE)," ")</f>
        <v xml:space="preserve"> </v>
      </c>
      <c r="U27" s="67" t="str">
        <f>IFERROR(VLOOKUP($A27,Pitchers!$A1:$S1000,15,FALSE)," ")</f>
        <v xml:space="preserve"> </v>
      </c>
      <c r="V27" s="67" t="str">
        <f>IFERROR(VLOOKUP($A27,Pitchers!$A1:$S1000,16,FALSE)," ")</f>
        <v xml:space="preserve"> </v>
      </c>
      <c r="W27" s="67" t="str">
        <f>IFERROR(VLOOKUP($A27,Pitchers!$A1:$S1000,17,FALSE)," ")</f>
        <v xml:space="preserve"> </v>
      </c>
      <c r="X27" s="67" t="str">
        <f>IFERROR(VLOOKUP($A27,Pitchers!$A1:$S1000,18,FALSE)," ")</f>
        <v xml:space="preserve"> </v>
      </c>
      <c r="Y27" s="67" t="str">
        <f>IFERROR(VLOOKUP($A27,Pitchers!$A1:$S1000,19,FALSE)," ")</f>
        <v xml:space="preserve"> </v>
      </c>
    </row>
    <row r="28" spans="1:25" ht="18.600000000000001" customHeight="1">
      <c r="A28" s="64"/>
      <c r="B28" s="11" t="str">
        <f>IFERROR(VLOOKUP($A28,Rankings!B1:C519,2,FALSE)," ")</f>
        <v xml:space="preserve"> </v>
      </c>
      <c r="C28" s="11" t="str">
        <f>IFERROR(VLOOKUP($A28,Rankings!B1:D519,3,FALSE)," ")</f>
        <v xml:space="preserve"> </v>
      </c>
      <c r="D28" s="104" t="s">
        <v>31</v>
      </c>
      <c r="E28" s="105" t="str">
        <f>IFERROR(VLOOKUP($A28,Rankings!B1:F519,5,FALSE)," ")</f>
        <v xml:space="preserve"> </v>
      </c>
      <c r="F28" s="164" t="str">
        <f>IFERROR(VLOOKUP(A28,Rankings!B:G,6,FALSE)," ")</f>
        <v xml:space="preserve"> </v>
      </c>
      <c r="G28" s="67" t="str">
        <f>IFERROR(VLOOKUP(A28,'Standard Deviations'!A1:D536,4,FALSE)," ")</f>
        <v xml:space="preserve"> </v>
      </c>
      <c r="H28" s="71" t="str">
        <f>IFERROR(VLOOKUP($A28,Rankings!B1:I519,8,FALSE)," ")</f>
        <v xml:space="preserve"> </v>
      </c>
      <c r="I28" s="67"/>
      <c r="J28" s="67" t="str">
        <f>IFERROR(VLOOKUP($A28,Pitchers!$A1:$S1000,4,FALSE)," ")</f>
        <v xml:space="preserve"> </v>
      </c>
      <c r="K28" s="118" t="str">
        <f>IFERROR(VLOOKUP($A28,Pitchers!$A1:$S1000,5,FALSE)," ")</f>
        <v xml:space="preserve"> </v>
      </c>
      <c r="L28" s="118" t="str">
        <f>IFERROR(VLOOKUP($A28,Pitchers!$A1:$S1000,6,FALSE)," ")</f>
        <v xml:space="preserve"> </v>
      </c>
      <c r="M28" s="67" t="str">
        <f>IFERROR(VLOOKUP($A28,Pitchers!$A1:$S1000,7,FALSE)," ")</f>
        <v xml:space="preserve"> </v>
      </c>
      <c r="N28" s="67" t="str">
        <f>IFERROR(VLOOKUP($A28,Pitchers!$A1:$S1000,8,FALSE)," ")</f>
        <v xml:space="preserve"> </v>
      </c>
      <c r="O28" s="67" t="str">
        <f>IFERROR(VLOOKUP($A28,Pitchers!$A1:$S1000,9,FALSE)," ")</f>
        <v xml:space="preserve"> </v>
      </c>
      <c r="P28" s="67" t="str">
        <f>IFERROR(VLOOKUP($A28,Pitchers!$A1:$S1000,10,FALSE)," ")</f>
        <v xml:space="preserve"> </v>
      </c>
      <c r="Q28" s="67" t="str">
        <f>IFERROR(VLOOKUP($A28,Pitchers!$A1:$S1000,11,FALSE)," ")</f>
        <v xml:space="preserve"> </v>
      </c>
      <c r="R28" s="67" t="str">
        <f>IFERROR(VLOOKUP($A28,Pitchers!$A1:$S1000,12,FALSE)," ")</f>
        <v xml:space="preserve"> </v>
      </c>
      <c r="S28" s="67" t="str">
        <f>IFERROR(VLOOKUP($A28,Pitchers!$A1:$S1000,13,FALSE)," ")</f>
        <v xml:space="preserve"> </v>
      </c>
      <c r="T28" s="67" t="str">
        <f>IFERROR(VLOOKUP($A28,Pitchers!$A1:$S1000,14,FALSE)," ")</f>
        <v xml:space="preserve"> </v>
      </c>
      <c r="U28" s="67" t="str">
        <f>IFERROR(VLOOKUP($A28,Pitchers!$A1:$S1000,15,FALSE)," ")</f>
        <v xml:space="preserve"> </v>
      </c>
      <c r="V28" s="67" t="str">
        <f>IFERROR(VLOOKUP($A28,Pitchers!$A1:$S1000,16,FALSE)," ")</f>
        <v xml:space="preserve"> </v>
      </c>
      <c r="W28" s="67" t="str">
        <f>IFERROR(VLOOKUP($A28,Pitchers!$A1:$S1000,17,FALSE)," ")</f>
        <v xml:space="preserve"> </v>
      </c>
      <c r="X28" s="67" t="str">
        <f>IFERROR(VLOOKUP($A28,Pitchers!$A1:$S1000,18,FALSE)," ")</f>
        <v xml:space="preserve"> </v>
      </c>
      <c r="Y28" s="67" t="str">
        <f>IFERROR(VLOOKUP($A28,Pitchers!$A1:$S1000,19,FALSE)," ")</f>
        <v xml:space="preserve"> </v>
      </c>
    </row>
    <row r="29" spans="1:25" ht="18.600000000000001" customHeight="1">
      <c r="A29" s="64"/>
      <c r="B29" s="11" t="str">
        <f>IFERROR(VLOOKUP($A29,Rankings!B1:C519,2,FALSE)," ")</f>
        <v xml:space="preserve"> </v>
      </c>
      <c r="C29" s="11" t="str">
        <f>IFERROR(VLOOKUP($A29,Rankings!B1:D519,3,FALSE)," ")</f>
        <v xml:space="preserve"> </v>
      </c>
      <c r="D29" s="104" t="s">
        <v>31</v>
      </c>
      <c r="E29" s="105" t="str">
        <f>IFERROR(VLOOKUP($A29,Rankings!B1:F519,5,FALSE)," ")</f>
        <v xml:space="preserve"> </v>
      </c>
      <c r="F29" s="164" t="str">
        <f>IFERROR(VLOOKUP(A29,Rankings!B:G,6,FALSE)," ")</f>
        <v xml:space="preserve"> </v>
      </c>
      <c r="G29" s="67" t="str">
        <f>IFERROR(VLOOKUP(A29,'Standard Deviations'!A1:D536,4,FALSE)," ")</f>
        <v xml:space="preserve"> </v>
      </c>
      <c r="H29" s="71" t="str">
        <f>IFERROR(VLOOKUP($A29,Rankings!B1:I519,8,FALSE)," ")</f>
        <v xml:space="preserve"> </v>
      </c>
      <c r="I29" s="67"/>
      <c r="J29" s="67" t="str">
        <f>IFERROR(VLOOKUP($A29,Pitchers!$A1:$S1000,4,FALSE)," ")</f>
        <v xml:space="preserve"> </v>
      </c>
      <c r="K29" s="118" t="str">
        <f>IFERROR(VLOOKUP($A29,Pitchers!$A1:$S1000,5,FALSE)," ")</f>
        <v xml:space="preserve"> </v>
      </c>
      <c r="L29" s="118" t="str">
        <f>IFERROR(VLOOKUP($A29,Pitchers!$A1:$S1000,6,FALSE)," ")</f>
        <v xml:space="preserve"> </v>
      </c>
      <c r="M29" s="67" t="str">
        <f>IFERROR(VLOOKUP($A29,Pitchers!$A1:$S1000,7,FALSE)," ")</f>
        <v xml:space="preserve"> </v>
      </c>
      <c r="N29" s="67" t="str">
        <f>IFERROR(VLOOKUP($A29,Pitchers!$A1:$S1000,8,FALSE)," ")</f>
        <v xml:space="preserve"> </v>
      </c>
      <c r="O29" s="67" t="str">
        <f>IFERROR(VLOOKUP($A29,Pitchers!$A1:$S1000,9,FALSE)," ")</f>
        <v xml:space="preserve"> </v>
      </c>
      <c r="P29" s="67" t="str">
        <f>IFERROR(VLOOKUP($A29,Pitchers!$A1:$S1000,10,FALSE)," ")</f>
        <v xml:space="preserve"> </v>
      </c>
      <c r="Q29" s="67" t="str">
        <f>IFERROR(VLOOKUP($A29,Pitchers!$A1:$S1000,11,FALSE)," ")</f>
        <v xml:space="preserve"> </v>
      </c>
      <c r="R29" s="67" t="str">
        <f>IFERROR(VLOOKUP($A29,Pitchers!$A1:$S1000,12,FALSE)," ")</f>
        <v xml:space="preserve"> </v>
      </c>
      <c r="S29" s="67" t="str">
        <f>IFERROR(VLOOKUP($A29,Pitchers!$A1:$S1000,13,FALSE)," ")</f>
        <v xml:space="preserve"> </v>
      </c>
      <c r="T29" s="67" t="str">
        <f>IFERROR(VLOOKUP($A29,Pitchers!$A1:$S1000,14,FALSE)," ")</f>
        <v xml:space="preserve"> </v>
      </c>
      <c r="U29" s="67" t="str">
        <f>IFERROR(VLOOKUP($A29,Pitchers!$A1:$S1000,15,FALSE)," ")</f>
        <v xml:space="preserve"> </v>
      </c>
      <c r="V29" s="67" t="str">
        <f>IFERROR(VLOOKUP($A29,Pitchers!$A1:$S1000,16,FALSE)," ")</f>
        <v xml:space="preserve"> </v>
      </c>
      <c r="W29" s="67" t="str">
        <f>IFERROR(VLOOKUP($A29,Pitchers!$A1:$S1000,17,FALSE)," ")</f>
        <v xml:space="preserve"> </v>
      </c>
      <c r="X29" s="67" t="str">
        <f>IFERROR(VLOOKUP($A29,Pitchers!$A1:$S1000,18,FALSE)," ")</f>
        <v xml:space="preserve"> </v>
      </c>
      <c r="Y29" s="67" t="str">
        <f>IFERROR(VLOOKUP($A29,Pitchers!$A1:$S1000,19,FALSE)," ")</f>
        <v xml:space="preserve"> </v>
      </c>
    </row>
    <row r="30" spans="1:25" ht="18.600000000000001" customHeight="1">
      <c r="A30" s="64"/>
      <c r="B30" s="11" t="str">
        <f>IFERROR(VLOOKUP($A30,Rankings!B1:C519,2,FALSE)," ")</f>
        <v xml:space="preserve"> </v>
      </c>
      <c r="C30" s="11" t="str">
        <f>IFERROR(VLOOKUP($A30,Rankings!B1:D519,3,FALSE)," ")</f>
        <v xml:space="preserve"> </v>
      </c>
      <c r="D30" s="104" t="s">
        <v>31</v>
      </c>
      <c r="E30" s="105" t="str">
        <f>IFERROR(VLOOKUP($A30,Rankings!B1:F519,5,FALSE)," ")</f>
        <v xml:space="preserve"> </v>
      </c>
      <c r="F30" s="164" t="str">
        <f>IFERROR(VLOOKUP(A30,Rankings!B:G,6,FALSE)," ")</f>
        <v xml:space="preserve"> </v>
      </c>
      <c r="G30" s="67" t="str">
        <f>IFERROR(VLOOKUP(A30,'Standard Deviations'!A1:D536,4,FALSE)," ")</f>
        <v xml:space="preserve"> </v>
      </c>
      <c r="H30" s="71" t="str">
        <f>IFERROR(VLOOKUP($A30,Rankings!B1:I519,8,FALSE)," ")</f>
        <v xml:space="preserve"> </v>
      </c>
      <c r="I30" s="67"/>
      <c r="J30" s="67" t="str">
        <f>IFERROR(VLOOKUP($A30,Pitchers!$A1:$S1000,4,FALSE)," ")</f>
        <v xml:space="preserve"> </v>
      </c>
      <c r="K30" s="118" t="str">
        <f>IFERROR(VLOOKUP($A30,Pitchers!$A1:$S1000,5,FALSE)," ")</f>
        <v xml:space="preserve"> </v>
      </c>
      <c r="L30" s="118" t="str">
        <f>IFERROR(VLOOKUP($A30,Pitchers!$A1:$S1000,6,FALSE)," ")</f>
        <v xml:space="preserve"> </v>
      </c>
      <c r="M30" s="67" t="str">
        <f>IFERROR(VLOOKUP($A30,Pitchers!$A1:$S1000,7,FALSE)," ")</f>
        <v xml:space="preserve"> </v>
      </c>
      <c r="N30" s="67" t="str">
        <f>IFERROR(VLOOKUP($A30,Pitchers!$A1:$S1000,8,FALSE)," ")</f>
        <v xml:space="preserve"> </v>
      </c>
      <c r="O30" s="67" t="str">
        <f>IFERROR(VLOOKUP($A30,Pitchers!$A1:$S1000,9,FALSE)," ")</f>
        <v xml:space="preserve"> </v>
      </c>
      <c r="P30" s="67" t="str">
        <f>IFERROR(VLOOKUP($A30,Pitchers!$A1:$S1000,10,FALSE)," ")</f>
        <v xml:space="preserve"> </v>
      </c>
      <c r="Q30" s="67" t="str">
        <f>IFERROR(VLOOKUP($A30,Pitchers!$A1:$S1000,11,FALSE)," ")</f>
        <v xml:space="preserve"> </v>
      </c>
      <c r="R30" s="67" t="str">
        <f>IFERROR(VLOOKUP($A30,Pitchers!$A1:$S1000,12,FALSE)," ")</f>
        <v xml:space="preserve"> </v>
      </c>
      <c r="S30" s="67" t="str">
        <f>IFERROR(VLOOKUP($A30,Pitchers!$A1:$S1000,13,FALSE)," ")</f>
        <v xml:space="preserve"> </v>
      </c>
      <c r="T30" s="67" t="str">
        <f>IFERROR(VLOOKUP($A30,Pitchers!$A1:$S1000,14,FALSE)," ")</f>
        <v xml:space="preserve"> </v>
      </c>
      <c r="U30" s="67" t="str">
        <f>IFERROR(VLOOKUP($A30,Pitchers!$A1:$S1000,15,FALSE)," ")</f>
        <v xml:space="preserve"> </v>
      </c>
      <c r="V30" s="67" t="str">
        <f>IFERROR(VLOOKUP($A30,Pitchers!$A1:$S1000,16,FALSE)," ")</f>
        <v xml:space="preserve"> </v>
      </c>
      <c r="W30" s="67" t="str">
        <f>IFERROR(VLOOKUP($A30,Pitchers!$A1:$S1000,17,FALSE)," ")</f>
        <v xml:space="preserve"> </v>
      </c>
      <c r="X30" s="67" t="str">
        <f>IFERROR(VLOOKUP($A30,Pitchers!$A1:$S1000,18,FALSE)," ")</f>
        <v xml:space="preserve"> </v>
      </c>
      <c r="Y30" s="67" t="str">
        <f>IFERROR(VLOOKUP($A30,Pitchers!$A1:$S1000,19,FALSE)," ")</f>
        <v xml:space="preserve"> </v>
      </c>
    </row>
    <row r="31" spans="1:25" ht="18.600000000000001" customHeight="1">
      <c r="A31" s="64"/>
      <c r="B31" s="11" t="str">
        <f>IFERROR(VLOOKUP($A31,Rankings!B1:C519,2,FALSE)," ")</f>
        <v xml:space="preserve"> </v>
      </c>
      <c r="C31" s="11" t="str">
        <f>IFERROR(VLOOKUP($A31,Rankings!B1:D519,3,FALSE)," ")</f>
        <v xml:space="preserve"> </v>
      </c>
      <c r="D31" s="104" t="s">
        <v>31</v>
      </c>
      <c r="E31" s="105" t="str">
        <f>IFERROR(VLOOKUP($A31,Rankings!B1:F519,5,FALSE)," ")</f>
        <v xml:space="preserve"> </v>
      </c>
      <c r="F31" s="164" t="str">
        <f>IFERROR(VLOOKUP(A31,Rankings!B:G,6,FALSE)," ")</f>
        <v xml:space="preserve"> </v>
      </c>
      <c r="G31" s="67" t="str">
        <f>IFERROR(VLOOKUP(A31,'Standard Deviations'!A1:D536,4,FALSE)," ")</f>
        <v xml:space="preserve"> </v>
      </c>
      <c r="H31" s="71" t="str">
        <f>IFERROR(VLOOKUP($A31,Rankings!B1:I519,8,FALSE)," ")</f>
        <v xml:space="preserve"> </v>
      </c>
      <c r="I31" s="67"/>
      <c r="J31" s="67" t="str">
        <f>IFERROR(VLOOKUP($A31,Pitchers!$A1:$S1000,4,FALSE)," ")</f>
        <v xml:space="preserve"> </v>
      </c>
      <c r="K31" s="118" t="str">
        <f>IFERROR(VLOOKUP($A31,Pitchers!$A1:$S1000,5,FALSE)," ")</f>
        <v xml:space="preserve"> </v>
      </c>
      <c r="L31" s="118" t="str">
        <f>IFERROR(VLOOKUP($A31,Pitchers!$A1:$S1000,6,FALSE)," ")</f>
        <v xml:space="preserve"> </v>
      </c>
      <c r="M31" s="67" t="str">
        <f>IFERROR(VLOOKUP($A31,Pitchers!$A1:$S1000,7,FALSE)," ")</f>
        <v xml:space="preserve"> </v>
      </c>
      <c r="N31" s="67" t="str">
        <f>IFERROR(VLOOKUP($A31,Pitchers!$A1:$S1000,8,FALSE)," ")</f>
        <v xml:space="preserve"> </v>
      </c>
      <c r="O31" s="67" t="str">
        <f>IFERROR(VLOOKUP($A31,Pitchers!$A1:$S1000,9,FALSE)," ")</f>
        <v xml:space="preserve"> </v>
      </c>
      <c r="P31" s="67" t="str">
        <f>IFERROR(VLOOKUP($A31,Pitchers!$A1:$S1000,10,FALSE)," ")</f>
        <v xml:space="preserve"> </v>
      </c>
      <c r="Q31" s="67" t="str">
        <f>IFERROR(VLOOKUP($A31,Pitchers!$A1:$S1000,11,FALSE)," ")</f>
        <v xml:space="preserve"> </v>
      </c>
      <c r="R31" s="67" t="str">
        <f>IFERROR(VLOOKUP($A31,Pitchers!$A1:$S1000,12,FALSE)," ")</f>
        <v xml:space="preserve"> </v>
      </c>
      <c r="S31" s="67" t="str">
        <f>IFERROR(VLOOKUP($A31,Pitchers!$A1:$S1000,13,FALSE)," ")</f>
        <v xml:space="preserve"> </v>
      </c>
      <c r="T31" s="67" t="str">
        <f>IFERROR(VLOOKUP($A31,Pitchers!$A1:$S1000,14,FALSE)," ")</f>
        <v xml:space="preserve"> </v>
      </c>
      <c r="U31" s="67" t="str">
        <f>IFERROR(VLOOKUP($A31,Pitchers!$A1:$S1000,15,FALSE)," ")</f>
        <v xml:space="preserve"> </v>
      </c>
      <c r="V31" s="67" t="str">
        <f>IFERROR(VLOOKUP($A31,Pitchers!$A1:$S1000,16,FALSE)," ")</f>
        <v xml:space="preserve"> </v>
      </c>
      <c r="W31" s="67" t="str">
        <f>IFERROR(VLOOKUP($A31,Pitchers!$A1:$S1000,17,FALSE)," ")</f>
        <v xml:space="preserve"> </v>
      </c>
      <c r="X31" s="67" t="str">
        <f>IFERROR(VLOOKUP($A31,Pitchers!$A1:$S1000,18,FALSE)," ")</f>
        <v xml:space="preserve"> </v>
      </c>
      <c r="Y31" s="67" t="str">
        <f>IFERROR(VLOOKUP($A31,Pitchers!$A1:$S1000,19,FALSE)," ")</f>
        <v xml:space="preserve"> </v>
      </c>
    </row>
    <row r="32" spans="1:25" ht="18.600000000000001" customHeight="1">
      <c r="A32" s="64"/>
      <c r="B32" s="11" t="str">
        <f>IFERROR(VLOOKUP($A32,Rankings!B1:C519,2,FALSE)," ")</f>
        <v xml:space="preserve"> </v>
      </c>
      <c r="C32" s="11" t="str">
        <f>IFERROR(VLOOKUP($A32,Rankings!B1:D519,3,FALSE)," ")</f>
        <v xml:space="preserve"> </v>
      </c>
      <c r="D32" s="104" t="s">
        <v>31</v>
      </c>
      <c r="E32" s="105" t="str">
        <f>IFERROR(VLOOKUP($A32,Rankings!B1:F519,5,FALSE)," ")</f>
        <v xml:space="preserve"> </v>
      </c>
      <c r="F32" s="164" t="str">
        <f>IFERROR(VLOOKUP(A32,Rankings!B:G,6,FALSE)," ")</f>
        <v xml:space="preserve"> </v>
      </c>
      <c r="G32" s="67" t="str">
        <f>IFERROR(VLOOKUP(A32,'Standard Deviations'!A1:D536,4,FALSE)," ")</f>
        <v xml:space="preserve"> </v>
      </c>
      <c r="H32" s="71" t="str">
        <f>IFERROR(VLOOKUP($A32,Rankings!B1:I519,8,FALSE)," ")</f>
        <v xml:space="preserve"> </v>
      </c>
      <c r="I32" s="67"/>
      <c r="J32" s="67" t="str">
        <f>IFERROR(VLOOKUP($A32,Pitchers!$A1:$S1000,4,FALSE)," ")</f>
        <v xml:space="preserve"> </v>
      </c>
      <c r="K32" s="118" t="str">
        <f>IFERROR(VLOOKUP($A32,Pitchers!$A1:$S1000,5,FALSE)," ")</f>
        <v xml:space="preserve"> </v>
      </c>
      <c r="L32" s="118" t="str">
        <f>IFERROR(VLOOKUP($A32,Pitchers!$A1:$S1000,6,FALSE)," ")</f>
        <v xml:space="preserve"> </v>
      </c>
      <c r="M32" s="67" t="str">
        <f>IFERROR(VLOOKUP($A32,Pitchers!$A1:$S1000,7,FALSE)," ")</f>
        <v xml:space="preserve"> </v>
      </c>
      <c r="N32" s="67" t="str">
        <f>IFERROR(VLOOKUP($A32,Pitchers!$A1:$S1000,8,FALSE)," ")</f>
        <v xml:space="preserve"> </v>
      </c>
      <c r="O32" s="67" t="str">
        <f>IFERROR(VLOOKUP($A32,Pitchers!$A1:$S1000,9,FALSE)," ")</f>
        <v xml:space="preserve"> </v>
      </c>
      <c r="P32" s="67" t="str">
        <f>IFERROR(VLOOKUP($A32,Pitchers!$A1:$S1000,10,FALSE)," ")</f>
        <v xml:space="preserve"> </v>
      </c>
      <c r="Q32" s="67" t="str">
        <f>IFERROR(VLOOKUP($A32,Pitchers!$A1:$S1000,11,FALSE)," ")</f>
        <v xml:space="preserve"> </v>
      </c>
      <c r="R32" s="67" t="str">
        <f>IFERROR(VLOOKUP($A32,Pitchers!$A1:$S1000,12,FALSE)," ")</f>
        <v xml:space="preserve"> </v>
      </c>
      <c r="S32" s="67" t="str">
        <f>IFERROR(VLOOKUP($A32,Pitchers!$A1:$S1000,13,FALSE)," ")</f>
        <v xml:space="preserve"> </v>
      </c>
      <c r="T32" s="67" t="str">
        <f>IFERROR(VLOOKUP($A32,Pitchers!$A1:$S1000,14,FALSE)," ")</f>
        <v xml:space="preserve"> </v>
      </c>
      <c r="U32" s="67" t="str">
        <f>IFERROR(VLOOKUP($A32,Pitchers!$A1:$S1000,15,FALSE)," ")</f>
        <v xml:space="preserve"> </v>
      </c>
      <c r="V32" s="67" t="str">
        <f>IFERROR(VLOOKUP($A32,Pitchers!$A1:$S1000,16,FALSE)," ")</f>
        <v xml:space="preserve"> </v>
      </c>
      <c r="W32" s="67" t="str">
        <f>IFERROR(VLOOKUP($A32,Pitchers!$A1:$S1000,17,FALSE)," ")</f>
        <v xml:space="preserve"> </v>
      </c>
      <c r="X32" s="67" t="str">
        <f>IFERROR(VLOOKUP($A32,Pitchers!$A1:$S1000,18,FALSE)," ")</f>
        <v xml:space="preserve"> </v>
      </c>
      <c r="Y32" s="67" t="str">
        <f>IFERROR(VLOOKUP($A32,Pitchers!$A1:$S1000,19,FALSE)," ")</f>
        <v xml:space="preserve"> </v>
      </c>
    </row>
    <row r="33" spans="1:25" ht="18.600000000000001" customHeight="1">
      <c r="A33" s="64"/>
      <c r="B33" s="11" t="str">
        <f>IFERROR(VLOOKUP($A33,Rankings!B1:C519,2,FALSE)," ")</f>
        <v xml:space="preserve"> </v>
      </c>
      <c r="C33" s="11" t="str">
        <f>IFERROR(VLOOKUP($A33,Rankings!B1:D519,3,FALSE)," ")</f>
        <v xml:space="preserve"> </v>
      </c>
      <c r="D33" s="104" t="s">
        <v>31</v>
      </c>
      <c r="E33" s="105" t="str">
        <f>IFERROR(VLOOKUP($A33,Rankings!B1:F519,5,FALSE)," ")</f>
        <v xml:space="preserve"> </v>
      </c>
      <c r="F33" s="164" t="str">
        <f>IFERROR(VLOOKUP(A33,Rankings!B:G,6,FALSE)," ")</f>
        <v xml:space="preserve"> </v>
      </c>
      <c r="G33" s="67" t="str">
        <f>IFERROR(VLOOKUP(A33,'Standard Deviations'!A1:D536,4,FALSE)," ")</f>
        <v xml:space="preserve"> </v>
      </c>
      <c r="H33" s="71" t="str">
        <f>IFERROR(VLOOKUP($A33,Rankings!B1:I519,8,FALSE)," ")</f>
        <v xml:space="preserve"> </v>
      </c>
      <c r="I33" s="67"/>
      <c r="J33" s="67" t="str">
        <f>IFERROR(VLOOKUP($A33,Pitchers!$A1:$S1000,4,FALSE)," ")</f>
        <v xml:space="preserve"> </v>
      </c>
      <c r="K33" s="118" t="str">
        <f>IFERROR(VLOOKUP($A33,Pitchers!$A1:$S1000,5,FALSE)," ")</f>
        <v xml:space="preserve"> </v>
      </c>
      <c r="L33" s="118" t="str">
        <f>IFERROR(VLOOKUP($A33,Pitchers!$A1:$S1000,6,FALSE)," ")</f>
        <v xml:space="preserve"> </v>
      </c>
      <c r="M33" s="67" t="str">
        <f>IFERROR(VLOOKUP($A33,Pitchers!$A1:$S1000,7,FALSE)," ")</f>
        <v xml:space="preserve"> </v>
      </c>
      <c r="N33" s="67" t="str">
        <f>IFERROR(VLOOKUP($A33,Pitchers!$A1:$S1000,8,FALSE)," ")</f>
        <v xml:space="preserve"> </v>
      </c>
      <c r="O33" s="67" t="str">
        <f>IFERROR(VLOOKUP($A33,Pitchers!$A1:$S1000,9,FALSE)," ")</f>
        <v xml:space="preserve"> </v>
      </c>
      <c r="P33" s="67" t="str">
        <f>IFERROR(VLOOKUP($A33,Pitchers!$A1:$S1000,10,FALSE)," ")</f>
        <v xml:space="preserve"> </v>
      </c>
      <c r="Q33" s="67" t="str">
        <f>IFERROR(VLOOKUP($A33,Pitchers!$A1:$S1000,11,FALSE)," ")</f>
        <v xml:space="preserve"> </v>
      </c>
      <c r="R33" s="67" t="str">
        <f>IFERROR(VLOOKUP($A33,Pitchers!$A1:$S1000,12,FALSE)," ")</f>
        <v xml:space="preserve"> </v>
      </c>
      <c r="S33" s="67" t="str">
        <f>IFERROR(VLOOKUP($A33,Pitchers!$A1:$S1000,13,FALSE)," ")</f>
        <v xml:space="preserve"> </v>
      </c>
      <c r="T33" s="67" t="str">
        <f>IFERROR(VLOOKUP($A33,Pitchers!$A1:$S1000,14,FALSE)," ")</f>
        <v xml:space="preserve"> </v>
      </c>
      <c r="U33" s="67" t="str">
        <f>IFERROR(VLOOKUP($A33,Pitchers!$A1:$S1000,15,FALSE)," ")</f>
        <v xml:space="preserve"> </v>
      </c>
      <c r="V33" s="67" t="str">
        <f>IFERROR(VLOOKUP($A33,Pitchers!$A1:$S1000,16,FALSE)," ")</f>
        <v xml:space="preserve"> </v>
      </c>
      <c r="W33" s="67" t="str">
        <f>IFERROR(VLOOKUP($A33,Pitchers!$A1:$S1000,17,FALSE)," ")</f>
        <v xml:space="preserve"> </v>
      </c>
      <c r="X33" s="67" t="str">
        <f>IFERROR(VLOOKUP($A33,Pitchers!$A1:$S1000,18,FALSE)," ")</f>
        <v xml:space="preserve"> </v>
      </c>
      <c r="Y33" s="67" t="str">
        <f>IFERROR(VLOOKUP($A33,Pitchers!$A1:$S1000,19,FALSE)," ")</f>
        <v xml:space="preserve"> </v>
      </c>
    </row>
    <row r="34" spans="1:25" ht="18.600000000000001" customHeight="1">
      <c r="A34" s="68" t="s">
        <v>241</v>
      </c>
      <c r="B34" s="11" t="str">
        <f>IFERROR(VLOOKUP($A34,Rankings!B1:C519,2,FALSE)," ")</f>
        <v>CWS</v>
      </c>
      <c r="C34" s="11" t="str">
        <f>IFERROR(VLOOKUP($A34,Rankings!B1:D519,3,FALSE)," ")</f>
        <v>AL</v>
      </c>
      <c r="D34" s="106" t="s">
        <v>34</v>
      </c>
      <c r="E34" s="107">
        <f ca="1">IFERROR(VLOOKUP($A34,Rankings!B1:F519,5,FALSE)," ")</f>
        <v>16</v>
      </c>
      <c r="F34" s="164">
        <f>IFERROR(VLOOKUP(A34,Rankings!B:G,6,FALSE)," ")</f>
        <v>133.76055555555556</v>
      </c>
      <c r="G34" s="67" t="str">
        <f>IFERROR(VLOOKUP(A34,'Standard Deviations'!A1:D536,4,FALSE)," ")</f>
        <v xml:space="preserve"> </v>
      </c>
      <c r="H34" s="71">
        <f ca="1">IFERROR(VLOOKUP($A34,Rankings!B1:I519,8,FALSE)," ")</f>
        <v>2.8603181922512686</v>
      </c>
      <c r="I34" s="67"/>
      <c r="J34" s="67">
        <f>IFERROR(VLOOKUP($A34,Pitchers!$A1:$S1000,4,FALSE)," ")</f>
        <v>25.902222222222221</v>
      </c>
      <c r="K34" s="118">
        <f>IFERROR(VLOOKUP($A34,Pitchers!$A1:$S1000,5,FALSE)," ")</f>
        <v>2.9267759094028829</v>
      </c>
      <c r="L34" s="118">
        <f>IFERROR(VLOOKUP($A34,Pitchers!$A1:$S1000,6,FALSE)," ")</f>
        <v>1.0072494852436513</v>
      </c>
      <c r="M34" s="67">
        <f>IFERROR(VLOOKUP($A34,Pitchers!$A1:$S1000,7,FALSE)," ")</f>
        <v>36.147777777777776</v>
      </c>
      <c r="N34" s="67">
        <f>IFERROR(VLOOKUP($A34,Pitchers!$A1:$S1000,8,FALSE)," ")</f>
        <v>1.9966666666666668</v>
      </c>
      <c r="O34" s="67">
        <f>IFERROR(VLOOKUP($A34,Pitchers!$A1:$S1000,9,FALSE)," ")</f>
        <v>9.1333333333333329</v>
      </c>
      <c r="P34" s="67">
        <f>IFERROR(VLOOKUP($A34,Pitchers!$A1:$S1000,10,FALSE)," ")</f>
        <v>8.4233333333333338</v>
      </c>
      <c r="Q34" s="67">
        <f>IFERROR(VLOOKUP($A34,Pitchers!$A1:$S1000,11,FALSE)," ")</f>
        <v>19.943333333333332</v>
      </c>
      <c r="R34" s="67">
        <f>IFERROR(VLOOKUP($A34,Pitchers!$A1:$S1000,12,FALSE)," ")</f>
        <v>6.1466666666666674</v>
      </c>
      <c r="S34" s="67">
        <f>IFERROR(VLOOKUP($A34,Pitchers!$A1:$S1000,13,FALSE)," ")</f>
        <v>3.4666666666666668</v>
      </c>
      <c r="T34" s="67">
        <f>IFERROR(VLOOKUP($A34,Pitchers!$A1:$S1000,14,FALSE)," ")</f>
        <v>26.351111111111109</v>
      </c>
      <c r="U34" s="67">
        <f>IFERROR(VLOOKUP($A34,Pitchers!$A1:$S1000,15,FALSE)," ")</f>
        <v>0</v>
      </c>
      <c r="V34" s="67">
        <f>IFERROR(VLOOKUP($A34,Pitchers!$A1:$S1000,16,FALSE)," ")</f>
        <v>1.0833333333333333</v>
      </c>
      <c r="W34" s="67">
        <f>IFERROR(VLOOKUP($A34,Pitchers!$A1:$S1000,17,FALSE)," ")</f>
        <v>0</v>
      </c>
      <c r="X34" s="67">
        <f>IFERROR(VLOOKUP($A34,Pitchers!$A1:$S1000,18,FALSE)," ")</f>
        <v>0</v>
      </c>
      <c r="Y34" s="67">
        <f>IFERROR(VLOOKUP($A34,Pitchers!$A1:$S1000,19,FALSE)," ")</f>
        <v>3</v>
      </c>
    </row>
    <row r="35" spans="1:25" ht="18.600000000000001" customHeight="1">
      <c r="A35" s="64"/>
      <c r="B35" s="11" t="str">
        <f>IFERROR(VLOOKUP($A35,Rankings!B1:C519,2,FALSE)," ")</f>
        <v xml:space="preserve"> </v>
      </c>
      <c r="C35" s="11" t="str">
        <f>IFERROR(VLOOKUP($A35,Rankings!B1:D519,3,FALSE)," ")</f>
        <v xml:space="preserve"> </v>
      </c>
      <c r="D35" s="106" t="s">
        <v>34</v>
      </c>
      <c r="E35" s="108" t="str">
        <f>IFERROR(VLOOKUP($A35,Rankings!B1:F519,5,FALSE)," ")</f>
        <v xml:space="preserve"> </v>
      </c>
      <c r="F35" s="164" t="str">
        <f>IFERROR(VLOOKUP(A35,Rankings!B:G,6,FALSE)," ")</f>
        <v xml:space="preserve"> </v>
      </c>
      <c r="G35" s="67" t="str">
        <f>IFERROR(VLOOKUP(A35,'Standard Deviations'!A1:D536,4,FALSE)," ")</f>
        <v xml:space="preserve"> </v>
      </c>
      <c r="H35" s="71" t="str">
        <f>IFERROR(VLOOKUP($A35,Rankings!B1:I519,8,FALSE)," ")</f>
        <v xml:space="preserve"> </v>
      </c>
      <c r="I35" s="67"/>
      <c r="J35" s="67" t="str">
        <f>IFERROR(VLOOKUP($A35,Pitchers!$A1:$S1000,4,FALSE)," ")</f>
        <v xml:space="preserve"> </v>
      </c>
      <c r="K35" s="118" t="str">
        <f>IFERROR(VLOOKUP($A35,Pitchers!$A1:$S1000,5,FALSE)," ")</f>
        <v xml:space="preserve"> </v>
      </c>
      <c r="L35" s="118" t="str">
        <f>IFERROR(VLOOKUP($A35,Pitchers!$A1:$S1000,6,FALSE)," ")</f>
        <v xml:space="preserve"> </v>
      </c>
      <c r="M35" s="67" t="str">
        <f>IFERROR(VLOOKUP($A35,Pitchers!$A1:$S1000,7,FALSE)," ")</f>
        <v xml:space="preserve"> </v>
      </c>
      <c r="N35" s="67" t="str">
        <f>IFERROR(VLOOKUP($A35,Pitchers!$A1:$S1000,8,FALSE)," ")</f>
        <v xml:space="preserve"> </v>
      </c>
      <c r="O35" s="67" t="str">
        <f>IFERROR(VLOOKUP($A35,Pitchers!$A1:$S1000,9,FALSE)," ")</f>
        <v xml:space="preserve"> </v>
      </c>
      <c r="P35" s="67" t="str">
        <f>IFERROR(VLOOKUP($A35,Pitchers!$A1:$S1000,10,FALSE)," ")</f>
        <v xml:space="preserve"> </v>
      </c>
      <c r="Q35" s="67" t="str">
        <f>IFERROR(VLOOKUP($A35,Pitchers!$A1:$S1000,11,FALSE)," ")</f>
        <v xml:space="preserve"> </v>
      </c>
      <c r="R35" s="67" t="str">
        <f>IFERROR(VLOOKUP($A35,Pitchers!$A1:$S1000,12,FALSE)," ")</f>
        <v xml:space="preserve"> </v>
      </c>
      <c r="S35" s="67" t="str">
        <f>IFERROR(VLOOKUP($A35,Pitchers!$A1:$S1000,13,FALSE)," ")</f>
        <v xml:space="preserve"> </v>
      </c>
      <c r="T35" s="67" t="str">
        <f>IFERROR(VLOOKUP($A35,Pitchers!$A1:$S1000,14,FALSE)," ")</f>
        <v xml:space="preserve"> </v>
      </c>
      <c r="U35" s="67" t="str">
        <f>IFERROR(VLOOKUP($A35,Pitchers!$A1:$S1000,15,FALSE)," ")</f>
        <v xml:space="preserve"> </v>
      </c>
      <c r="V35" s="67" t="str">
        <f>IFERROR(VLOOKUP($A35,Pitchers!$A1:$S1000,16,FALSE)," ")</f>
        <v xml:space="preserve"> </v>
      </c>
      <c r="W35" s="67" t="str">
        <f>IFERROR(VLOOKUP($A35,Pitchers!$A1:$S1000,17,FALSE)," ")</f>
        <v xml:space="preserve"> </v>
      </c>
      <c r="X35" s="67" t="str">
        <f>IFERROR(VLOOKUP($A35,Pitchers!$A1:$S1000,18,FALSE)," ")</f>
        <v xml:space="preserve"> </v>
      </c>
      <c r="Y35" s="67" t="str">
        <f>IFERROR(VLOOKUP($A35,Pitchers!$A1:$S1000,19,FALSE)," ")</f>
        <v xml:space="preserve"> </v>
      </c>
    </row>
    <row r="36" spans="1:25" ht="18.600000000000001" customHeight="1">
      <c r="A36" s="64"/>
      <c r="B36" s="11" t="str">
        <f>IFERROR(VLOOKUP($A36,Rankings!B1:C519,2,FALSE)," ")</f>
        <v xml:space="preserve"> </v>
      </c>
      <c r="C36" s="11" t="str">
        <f>IFERROR(VLOOKUP($A36,Rankings!B1:D519,3,FALSE)," ")</f>
        <v xml:space="preserve"> </v>
      </c>
      <c r="D36" s="106" t="s">
        <v>34</v>
      </c>
      <c r="E36" s="108" t="str">
        <f>IFERROR(VLOOKUP($A36,Rankings!B1:F519,5,FALSE)," ")</f>
        <v xml:space="preserve"> </v>
      </c>
      <c r="F36" s="164" t="str">
        <f>IFERROR(VLOOKUP(A36,Rankings!B:G,6,FALSE)," ")</f>
        <v xml:space="preserve"> </v>
      </c>
      <c r="G36" s="67" t="str">
        <f>IFERROR(VLOOKUP(A36,'Standard Deviations'!A1:D536,4,FALSE)," ")</f>
        <v xml:space="preserve"> </v>
      </c>
      <c r="H36" s="71" t="str">
        <f>IFERROR(VLOOKUP($A36,Rankings!B1:I519,8,FALSE)," ")</f>
        <v xml:space="preserve"> </v>
      </c>
      <c r="I36" s="67"/>
      <c r="J36" s="67" t="str">
        <f>IFERROR(VLOOKUP($A36,Pitchers!$A1:$S1000,4,FALSE)," ")</f>
        <v xml:space="preserve"> </v>
      </c>
      <c r="K36" s="118" t="str">
        <f>IFERROR(VLOOKUP($A36,Pitchers!$A1:$S1000,5,FALSE)," ")</f>
        <v xml:space="preserve"> </v>
      </c>
      <c r="L36" s="118" t="str">
        <f>IFERROR(VLOOKUP($A36,Pitchers!$A1:$S1000,6,FALSE)," ")</f>
        <v xml:space="preserve"> </v>
      </c>
      <c r="M36" s="67" t="str">
        <f>IFERROR(VLOOKUP($A36,Pitchers!$A1:$S1000,7,FALSE)," ")</f>
        <v xml:space="preserve"> </v>
      </c>
      <c r="N36" s="67" t="str">
        <f>IFERROR(VLOOKUP($A36,Pitchers!$A1:$S1000,8,FALSE)," ")</f>
        <v xml:space="preserve"> </v>
      </c>
      <c r="O36" s="67" t="str">
        <f>IFERROR(VLOOKUP($A36,Pitchers!$A1:$S1000,9,FALSE)," ")</f>
        <v xml:space="preserve"> </v>
      </c>
      <c r="P36" s="67" t="str">
        <f>IFERROR(VLOOKUP($A36,Pitchers!$A1:$S1000,10,FALSE)," ")</f>
        <v xml:space="preserve"> </v>
      </c>
      <c r="Q36" s="67" t="str">
        <f>IFERROR(VLOOKUP($A36,Pitchers!$A1:$S1000,11,FALSE)," ")</f>
        <v xml:space="preserve"> </v>
      </c>
      <c r="R36" s="67" t="str">
        <f>IFERROR(VLOOKUP($A36,Pitchers!$A1:$S1000,12,FALSE)," ")</f>
        <v xml:space="preserve"> </v>
      </c>
      <c r="S36" s="67" t="str">
        <f>IFERROR(VLOOKUP($A36,Pitchers!$A1:$S1000,13,FALSE)," ")</f>
        <v xml:space="preserve"> </v>
      </c>
      <c r="T36" s="67" t="str">
        <f>IFERROR(VLOOKUP($A36,Pitchers!$A1:$S1000,14,FALSE)," ")</f>
        <v xml:space="preserve"> </v>
      </c>
      <c r="U36" s="67" t="str">
        <f>IFERROR(VLOOKUP($A36,Pitchers!$A1:$S1000,15,FALSE)," ")</f>
        <v xml:space="preserve"> </v>
      </c>
      <c r="V36" s="67" t="str">
        <f>IFERROR(VLOOKUP($A36,Pitchers!$A1:$S1000,16,FALSE)," ")</f>
        <v xml:space="preserve"> </v>
      </c>
      <c r="W36" s="67" t="str">
        <f>IFERROR(VLOOKUP($A36,Pitchers!$A1:$S1000,17,FALSE)," ")</f>
        <v xml:space="preserve"> </v>
      </c>
      <c r="X36" s="67" t="str">
        <f>IFERROR(VLOOKUP($A36,Pitchers!$A1:$S1000,18,FALSE)," ")</f>
        <v xml:space="preserve"> </v>
      </c>
      <c r="Y36" s="67" t="str">
        <f>IFERROR(VLOOKUP($A36,Pitchers!$A1:$S1000,19,FALSE)," ")</f>
        <v xml:space="preserve"> </v>
      </c>
    </row>
    <row r="37" spans="1:25" ht="18.600000000000001" customHeight="1">
      <c r="A37" s="64"/>
      <c r="B37" s="11" t="str">
        <f>IFERROR(VLOOKUP($A37,Rankings!B1:C519,2,FALSE)," ")</f>
        <v xml:space="preserve"> </v>
      </c>
      <c r="C37" s="11" t="str">
        <f>IFERROR(VLOOKUP($A37,Rankings!B1:D519,3,FALSE)," ")</f>
        <v xml:space="preserve"> </v>
      </c>
      <c r="D37" s="106" t="s">
        <v>34</v>
      </c>
      <c r="E37" s="108" t="str">
        <f>IFERROR(VLOOKUP($A37,Rankings!B1:F519,5,FALSE)," ")</f>
        <v xml:space="preserve"> </v>
      </c>
      <c r="F37" s="164" t="str">
        <f>IFERROR(VLOOKUP(A37,Rankings!B:G,6,FALSE)," ")</f>
        <v xml:space="preserve"> </v>
      </c>
      <c r="G37" s="67" t="str">
        <f>IFERROR(VLOOKUP(A37,'Standard Deviations'!A1:D536,4,FALSE)," ")</f>
        <v xml:space="preserve"> </v>
      </c>
      <c r="H37" s="71" t="str">
        <f>IFERROR(VLOOKUP($A37,Rankings!B1:I519,8,FALSE)," ")</f>
        <v xml:space="preserve"> </v>
      </c>
      <c r="I37" s="67"/>
      <c r="J37" s="67" t="str">
        <f>IFERROR(VLOOKUP($A37,Pitchers!$A1:$S1000,4,FALSE)," ")</f>
        <v xml:space="preserve"> </v>
      </c>
      <c r="K37" s="118" t="str">
        <f>IFERROR(VLOOKUP($A37,Pitchers!$A1:$S1000,5,FALSE)," ")</f>
        <v xml:space="preserve"> </v>
      </c>
      <c r="L37" s="118" t="str">
        <f>IFERROR(VLOOKUP($A37,Pitchers!$A1:$S1000,6,FALSE)," ")</f>
        <v xml:space="preserve"> </v>
      </c>
      <c r="M37" s="67" t="str">
        <f>IFERROR(VLOOKUP($A37,Pitchers!$A1:$S1000,7,FALSE)," ")</f>
        <v xml:space="preserve"> </v>
      </c>
      <c r="N37" s="67" t="str">
        <f>IFERROR(VLOOKUP($A37,Pitchers!$A1:$S1000,8,FALSE)," ")</f>
        <v xml:space="preserve"> </v>
      </c>
      <c r="O37" s="67" t="str">
        <f>IFERROR(VLOOKUP($A37,Pitchers!$A1:$S1000,9,FALSE)," ")</f>
        <v xml:space="preserve"> </v>
      </c>
      <c r="P37" s="67" t="str">
        <f>IFERROR(VLOOKUP($A37,Pitchers!$A1:$S1000,10,FALSE)," ")</f>
        <v xml:space="preserve"> </v>
      </c>
      <c r="Q37" s="67" t="str">
        <f>IFERROR(VLOOKUP($A37,Pitchers!$A1:$S1000,11,FALSE)," ")</f>
        <v xml:space="preserve"> </v>
      </c>
      <c r="R37" s="67" t="str">
        <f>IFERROR(VLOOKUP($A37,Pitchers!$A1:$S1000,12,FALSE)," ")</f>
        <v xml:space="preserve"> </v>
      </c>
      <c r="S37" s="67" t="str">
        <f>IFERROR(VLOOKUP($A37,Pitchers!$A1:$S1000,13,FALSE)," ")</f>
        <v xml:space="preserve"> </v>
      </c>
      <c r="T37" s="67" t="str">
        <f>IFERROR(VLOOKUP($A37,Pitchers!$A1:$S1000,14,FALSE)," ")</f>
        <v xml:space="preserve"> </v>
      </c>
      <c r="U37" s="67" t="str">
        <f>IFERROR(VLOOKUP($A37,Pitchers!$A1:$S1000,15,FALSE)," ")</f>
        <v xml:space="preserve"> </v>
      </c>
      <c r="V37" s="67" t="str">
        <f>IFERROR(VLOOKUP($A37,Pitchers!$A1:$S1000,16,FALSE)," ")</f>
        <v xml:space="preserve"> </v>
      </c>
      <c r="W37" s="67" t="str">
        <f>IFERROR(VLOOKUP($A37,Pitchers!$A1:$S1000,17,FALSE)," ")</f>
        <v xml:space="preserve"> </v>
      </c>
      <c r="X37" s="67" t="str">
        <f>IFERROR(VLOOKUP($A37,Pitchers!$A1:$S1000,18,FALSE)," ")</f>
        <v xml:space="preserve"> </v>
      </c>
      <c r="Y37" s="67" t="str">
        <f>IFERROR(VLOOKUP($A37,Pitchers!$A1:$S1000,19,FALSE)," ")</f>
        <v xml:space="preserve"> </v>
      </c>
    </row>
    <row r="38" spans="1:25" ht="18.600000000000001" customHeight="1">
      <c r="A38" s="64"/>
      <c r="B38" s="11" t="str">
        <f>IFERROR(VLOOKUP($A38,Rankings!B1:C519,2,FALSE)," ")</f>
        <v xml:space="preserve"> </v>
      </c>
      <c r="C38" s="11" t="str">
        <f>IFERROR(VLOOKUP($A38,Rankings!B1:D519,3,FALSE)," ")</f>
        <v xml:space="preserve"> </v>
      </c>
      <c r="D38" s="106" t="s">
        <v>34</v>
      </c>
      <c r="E38" s="108" t="str">
        <f>IFERROR(VLOOKUP($A38,Rankings!B1:F519,5,FALSE)," ")</f>
        <v xml:space="preserve"> </v>
      </c>
      <c r="F38" s="164" t="str">
        <f>IFERROR(VLOOKUP(A38,Rankings!B:G,6,FALSE)," ")</f>
        <v xml:space="preserve"> </v>
      </c>
      <c r="G38" s="67" t="str">
        <f>IFERROR(VLOOKUP(A38,'Standard Deviations'!A1:D536,4,FALSE)," ")</f>
        <v xml:space="preserve"> </v>
      </c>
      <c r="H38" s="71" t="str">
        <f>IFERROR(VLOOKUP($A38,Rankings!B1:I519,8,FALSE)," ")</f>
        <v xml:space="preserve"> </v>
      </c>
      <c r="I38" s="67"/>
      <c r="J38" s="67" t="str">
        <f>IFERROR(VLOOKUP($A38,Pitchers!$A1:$S1000,4,FALSE)," ")</f>
        <v xml:space="preserve"> </v>
      </c>
      <c r="K38" s="118" t="str">
        <f>IFERROR(VLOOKUP($A38,Pitchers!$A1:$S1000,5,FALSE)," ")</f>
        <v xml:space="preserve"> </v>
      </c>
      <c r="L38" s="118" t="str">
        <f>IFERROR(VLOOKUP($A38,Pitchers!$A1:$S1000,6,FALSE)," ")</f>
        <v xml:space="preserve"> </v>
      </c>
      <c r="M38" s="67" t="str">
        <f>IFERROR(VLOOKUP($A38,Pitchers!$A1:$S1000,7,FALSE)," ")</f>
        <v xml:space="preserve"> </v>
      </c>
      <c r="N38" s="67" t="str">
        <f>IFERROR(VLOOKUP($A38,Pitchers!$A1:$S1000,8,FALSE)," ")</f>
        <v xml:space="preserve"> </v>
      </c>
      <c r="O38" s="67" t="str">
        <f>IFERROR(VLOOKUP($A38,Pitchers!$A1:$S1000,9,FALSE)," ")</f>
        <v xml:space="preserve"> </v>
      </c>
      <c r="P38" s="67" t="str">
        <f>IFERROR(VLOOKUP($A38,Pitchers!$A1:$S1000,10,FALSE)," ")</f>
        <v xml:space="preserve"> </v>
      </c>
      <c r="Q38" s="67" t="str">
        <f>IFERROR(VLOOKUP($A38,Pitchers!$A1:$S1000,11,FALSE)," ")</f>
        <v xml:space="preserve"> </v>
      </c>
      <c r="R38" s="67" t="str">
        <f>IFERROR(VLOOKUP($A38,Pitchers!$A1:$S1000,12,FALSE)," ")</f>
        <v xml:space="preserve"> </v>
      </c>
      <c r="S38" s="67" t="str">
        <f>IFERROR(VLOOKUP($A38,Pitchers!$A1:$S1000,13,FALSE)," ")</f>
        <v xml:space="preserve"> </v>
      </c>
      <c r="T38" s="67" t="str">
        <f>IFERROR(VLOOKUP($A38,Pitchers!$A1:$S1000,14,FALSE)," ")</f>
        <v xml:space="preserve"> </v>
      </c>
      <c r="U38" s="67" t="str">
        <f>IFERROR(VLOOKUP($A38,Pitchers!$A1:$S1000,15,FALSE)," ")</f>
        <v xml:space="preserve"> </v>
      </c>
      <c r="V38" s="67" t="str">
        <f>IFERROR(VLOOKUP($A38,Pitchers!$A1:$S1000,16,FALSE)," ")</f>
        <v xml:space="preserve"> </v>
      </c>
      <c r="W38" s="67" t="str">
        <f>IFERROR(VLOOKUP($A38,Pitchers!$A1:$S1000,17,FALSE)," ")</f>
        <v xml:space="preserve"> </v>
      </c>
      <c r="X38" s="67" t="str">
        <f>IFERROR(VLOOKUP($A38,Pitchers!$A1:$S1000,18,FALSE)," ")</f>
        <v xml:space="preserve"> </v>
      </c>
      <c r="Y38" s="67" t="str">
        <f>IFERROR(VLOOKUP($A38,Pitchers!$A1:$S1000,19,FALSE)," ")</f>
        <v xml:space="preserve"> </v>
      </c>
    </row>
    <row r="39" spans="1:25" ht="18.600000000000001" customHeight="1">
      <c r="A39" s="64"/>
      <c r="B39" s="11" t="str">
        <f>IFERROR(VLOOKUP($A39,Rankings!B1:C519,2,FALSE)," ")</f>
        <v xml:space="preserve"> </v>
      </c>
      <c r="C39" s="11" t="str">
        <f>IFERROR(VLOOKUP($A39,Rankings!B1:D519,3,FALSE)," ")</f>
        <v xml:space="preserve"> </v>
      </c>
      <c r="D39" s="106" t="s">
        <v>34</v>
      </c>
      <c r="E39" s="108" t="str">
        <f>IFERROR(VLOOKUP($A39,Rankings!B1:F519,5,FALSE)," ")</f>
        <v xml:space="preserve"> </v>
      </c>
      <c r="F39" s="164" t="str">
        <f>IFERROR(VLOOKUP(A39,Rankings!B:G,6,FALSE)," ")</f>
        <v xml:space="preserve"> </v>
      </c>
      <c r="G39" s="67" t="str">
        <f>IFERROR(VLOOKUP(A39,'Standard Deviations'!A1:D536,4,FALSE)," ")</f>
        <v xml:space="preserve"> </v>
      </c>
      <c r="H39" s="71" t="str">
        <f>IFERROR(VLOOKUP($A39,Rankings!B1:I519,8,FALSE)," ")</f>
        <v xml:space="preserve"> </v>
      </c>
      <c r="I39" s="67"/>
      <c r="J39" s="67" t="str">
        <f>IFERROR(VLOOKUP($A39,Pitchers!$A1:$S1000,4,FALSE)," ")</f>
        <v xml:space="preserve"> </v>
      </c>
      <c r="K39" s="118" t="str">
        <f>IFERROR(VLOOKUP($A39,Pitchers!$A1:$S1000,5,FALSE)," ")</f>
        <v xml:space="preserve"> </v>
      </c>
      <c r="L39" s="118" t="str">
        <f>IFERROR(VLOOKUP($A39,Pitchers!$A1:$S1000,6,FALSE)," ")</f>
        <v xml:space="preserve"> </v>
      </c>
      <c r="M39" s="67" t="str">
        <f>IFERROR(VLOOKUP($A39,Pitchers!$A1:$S1000,7,FALSE)," ")</f>
        <v xml:space="preserve"> </v>
      </c>
      <c r="N39" s="67" t="str">
        <f>IFERROR(VLOOKUP($A39,Pitchers!$A1:$S1000,8,FALSE)," ")</f>
        <v xml:space="preserve"> </v>
      </c>
      <c r="O39" s="67" t="str">
        <f>IFERROR(VLOOKUP($A39,Pitchers!$A1:$S1000,9,FALSE)," ")</f>
        <v xml:space="preserve"> </v>
      </c>
      <c r="P39" s="67" t="str">
        <f>IFERROR(VLOOKUP($A39,Pitchers!$A1:$S1000,10,FALSE)," ")</f>
        <v xml:space="preserve"> </v>
      </c>
      <c r="Q39" s="67" t="str">
        <f>IFERROR(VLOOKUP($A39,Pitchers!$A1:$S1000,11,FALSE)," ")</f>
        <v xml:space="preserve"> </v>
      </c>
      <c r="R39" s="67" t="str">
        <f>IFERROR(VLOOKUP($A39,Pitchers!$A1:$S1000,12,FALSE)," ")</f>
        <v xml:space="preserve"> </v>
      </c>
      <c r="S39" s="67" t="str">
        <f>IFERROR(VLOOKUP($A39,Pitchers!$A1:$S1000,13,FALSE)," ")</f>
        <v xml:space="preserve"> </v>
      </c>
      <c r="T39" s="67" t="str">
        <f>IFERROR(VLOOKUP($A39,Pitchers!$A1:$S1000,14,FALSE)," ")</f>
        <v xml:space="preserve"> </v>
      </c>
      <c r="U39" s="67" t="str">
        <f>IFERROR(VLOOKUP($A39,Pitchers!$A1:$S1000,15,FALSE)," ")</f>
        <v xml:space="preserve"> </v>
      </c>
      <c r="V39" s="67" t="str">
        <f>IFERROR(VLOOKUP($A39,Pitchers!$A1:$S1000,16,FALSE)," ")</f>
        <v xml:space="preserve"> </v>
      </c>
      <c r="W39" s="67" t="str">
        <f>IFERROR(VLOOKUP($A39,Pitchers!$A1:$S1000,17,FALSE)," ")</f>
        <v xml:space="preserve"> </v>
      </c>
      <c r="X39" s="67" t="str">
        <f>IFERROR(VLOOKUP($A39,Pitchers!$A1:$S1000,18,FALSE)," ")</f>
        <v xml:space="preserve"> </v>
      </c>
      <c r="Y39" s="67" t="str">
        <f>IFERROR(VLOOKUP($A39,Pitchers!$A1:$S1000,19,FALSE)," ")</f>
        <v xml:space="preserve"> </v>
      </c>
    </row>
    <row r="40" spans="1:25" ht="18.600000000000001" customHeight="1">
      <c r="A40" s="64"/>
      <c r="B40" s="11" t="str">
        <f>IFERROR(VLOOKUP($A40,Rankings!B1:C519,2,FALSE)," ")</f>
        <v xml:space="preserve"> </v>
      </c>
      <c r="C40" s="11" t="str">
        <f>IFERROR(VLOOKUP($A40,Rankings!B1:D519,3,FALSE)," ")</f>
        <v xml:space="preserve"> </v>
      </c>
      <c r="D40" s="106" t="s">
        <v>34</v>
      </c>
      <c r="E40" s="108" t="str">
        <f>IFERROR(VLOOKUP($A40,Rankings!B1:F519,5,FALSE)," ")</f>
        <v xml:space="preserve"> </v>
      </c>
      <c r="F40" s="164" t="str">
        <f>IFERROR(VLOOKUP(A40,Rankings!B:G,6,FALSE)," ")</f>
        <v xml:space="preserve"> </v>
      </c>
      <c r="G40" s="67" t="str">
        <f>IFERROR(VLOOKUP(A40,'Standard Deviations'!A1:D536,4,FALSE)," ")</f>
        <v xml:space="preserve"> </v>
      </c>
      <c r="H40" s="71" t="str">
        <f>IFERROR(VLOOKUP($A40,Rankings!B1:I519,8,FALSE)," ")</f>
        <v xml:space="preserve"> </v>
      </c>
      <c r="I40" s="67"/>
      <c r="J40" s="67" t="str">
        <f>IFERROR(VLOOKUP($A40,Pitchers!$A1:$S1000,4,FALSE)," ")</f>
        <v xml:space="preserve"> </v>
      </c>
      <c r="K40" s="118" t="str">
        <f>IFERROR(VLOOKUP($A40,Pitchers!$A1:$S1000,5,FALSE)," ")</f>
        <v xml:space="preserve"> </v>
      </c>
      <c r="L40" s="118" t="str">
        <f>IFERROR(VLOOKUP($A40,Pitchers!$A1:$S1000,6,FALSE)," ")</f>
        <v xml:space="preserve"> </v>
      </c>
      <c r="M40" s="67" t="str">
        <f>IFERROR(VLOOKUP($A40,Pitchers!$A1:$S1000,7,FALSE)," ")</f>
        <v xml:space="preserve"> </v>
      </c>
      <c r="N40" s="67" t="str">
        <f>IFERROR(VLOOKUP($A40,Pitchers!$A1:$S1000,8,FALSE)," ")</f>
        <v xml:space="preserve"> </v>
      </c>
      <c r="O40" s="67" t="str">
        <f>IFERROR(VLOOKUP($A40,Pitchers!$A1:$S1000,9,FALSE)," ")</f>
        <v xml:space="preserve"> </v>
      </c>
      <c r="P40" s="67" t="str">
        <f>IFERROR(VLOOKUP($A40,Pitchers!$A1:$S1000,10,FALSE)," ")</f>
        <v xml:space="preserve"> </v>
      </c>
      <c r="Q40" s="67" t="str">
        <f>IFERROR(VLOOKUP($A40,Pitchers!$A1:$S1000,11,FALSE)," ")</f>
        <v xml:space="preserve"> </v>
      </c>
      <c r="R40" s="67" t="str">
        <f>IFERROR(VLOOKUP($A40,Pitchers!$A1:$S1000,12,FALSE)," ")</f>
        <v xml:space="preserve"> </v>
      </c>
      <c r="S40" s="67" t="str">
        <f>IFERROR(VLOOKUP($A40,Pitchers!$A1:$S1000,13,FALSE)," ")</f>
        <v xml:space="preserve"> </v>
      </c>
      <c r="T40" s="67" t="str">
        <f>IFERROR(VLOOKUP($A40,Pitchers!$A1:$S1000,14,FALSE)," ")</f>
        <v xml:space="preserve"> </v>
      </c>
      <c r="U40" s="67" t="str">
        <f>IFERROR(VLOOKUP($A40,Pitchers!$A1:$S1000,15,FALSE)," ")</f>
        <v xml:space="preserve"> </v>
      </c>
      <c r="V40" s="67" t="str">
        <f>IFERROR(VLOOKUP($A40,Pitchers!$A1:$S1000,16,FALSE)," ")</f>
        <v xml:space="preserve"> </v>
      </c>
      <c r="W40" s="67" t="str">
        <f>IFERROR(VLOOKUP($A40,Pitchers!$A1:$S1000,17,FALSE)," ")</f>
        <v xml:space="preserve"> </v>
      </c>
      <c r="X40" s="67" t="str">
        <f>IFERROR(VLOOKUP($A40,Pitchers!$A1:$S1000,18,FALSE)," ")</f>
        <v xml:space="preserve"> </v>
      </c>
      <c r="Y40" s="67" t="str">
        <f>IFERROR(VLOOKUP($A40,Pitchers!$A1:$S1000,19,FALSE)," ")</f>
        <v xml:space="preserve"> </v>
      </c>
    </row>
    <row r="41" spans="1:25" ht="18.600000000000001" customHeight="1" thickBot="1">
      <c r="A41" s="86"/>
      <c r="B41" s="87" t="str">
        <f>IFERROR(VLOOKUP($A41,Rankings!B1:C519,2,FALSE)," ")</f>
        <v xml:space="preserve"> </v>
      </c>
      <c r="C41" s="87" t="str">
        <f>IFERROR(VLOOKUP($A41,Rankings!B1:D519,3,FALSE)," ")</f>
        <v xml:space="preserve"> </v>
      </c>
      <c r="D41" s="109" t="s">
        <v>34</v>
      </c>
      <c r="E41" s="110" t="str">
        <f>IFERROR(VLOOKUP($A41,Rankings!B1:F519,5,FALSE)," ")</f>
        <v xml:space="preserve"> </v>
      </c>
      <c r="F41" s="165" t="str">
        <f>IFERROR(VLOOKUP(A41,Rankings!B:G,6,FALSE)," ")</f>
        <v xml:space="preserve"> </v>
      </c>
      <c r="G41" s="90" t="str">
        <f>IFERROR(VLOOKUP(A41,'Standard Deviations'!A1:D536,4,FALSE)," ")</f>
        <v xml:space="preserve"> </v>
      </c>
      <c r="H41" s="161" t="str">
        <f>IFERROR(VLOOKUP($A41,Rankings!B1:I519,8,FALSE)," ")</f>
        <v xml:space="preserve"> </v>
      </c>
      <c r="I41" s="90"/>
      <c r="J41" s="90" t="str">
        <f>IFERROR(VLOOKUP($A41,Pitchers!$A1:$S1000,4,FALSE)," ")</f>
        <v xml:space="preserve"> </v>
      </c>
      <c r="K41" s="147" t="str">
        <f>IFERROR(VLOOKUP($A41,Pitchers!$A1:$S1000,5,FALSE)," ")</f>
        <v xml:space="preserve"> </v>
      </c>
      <c r="L41" s="147" t="str">
        <f>IFERROR(VLOOKUP($A41,Pitchers!$A1:$S1000,6,FALSE)," ")</f>
        <v xml:space="preserve"> </v>
      </c>
      <c r="M41" s="90" t="str">
        <f>IFERROR(VLOOKUP($A41,Pitchers!$A1:$S1000,7,FALSE)," ")</f>
        <v xml:space="preserve"> </v>
      </c>
      <c r="N41" s="90" t="str">
        <f>IFERROR(VLOOKUP($A41,Pitchers!$A1:$S1000,8,FALSE)," ")</f>
        <v xml:space="preserve"> </v>
      </c>
      <c r="O41" s="90" t="str">
        <f>IFERROR(VLOOKUP($A41,Pitchers!$A1:$S1000,9,FALSE)," ")</f>
        <v xml:space="preserve"> </v>
      </c>
      <c r="P41" s="90" t="str">
        <f>IFERROR(VLOOKUP($A41,Pitchers!$A1:$S1000,10,FALSE)," ")</f>
        <v xml:space="preserve"> </v>
      </c>
      <c r="Q41" s="90" t="str">
        <f>IFERROR(VLOOKUP($A41,Pitchers!$A1:$S1000,11,FALSE)," ")</f>
        <v xml:space="preserve"> </v>
      </c>
      <c r="R41" s="90" t="str">
        <f>IFERROR(VLOOKUP($A41,Pitchers!$A1:$S1000,12,FALSE)," ")</f>
        <v xml:space="preserve"> </v>
      </c>
      <c r="S41" s="90" t="str">
        <f>IFERROR(VLOOKUP($A41,Pitchers!$A1:$S1000,13,FALSE)," ")</f>
        <v xml:space="preserve"> </v>
      </c>
      <c r="T41" s="90" t="str">
        <f>IFERROR(VLOOKUP($A41,Pitchers!$A1:$S1000,14,FALSE)," ")</f>
        <v xml:space="preserve"> </v>
      </c>
      <c r="U41" s="90" t="str">
        <f>IFERROR(VLOOKUP($A41,Pitchers!$A1:$S1000,15,FALSE)," ")</f>
        <v xml:space="preserve"> </v>
      </c>
      <c r="V41" s="90" t="str">
        <f>IFERROR(VLOOKUP($A41,Pitchers!$A1:$S1000,16,FALSE)," ")</f>
        <v xml:space="preserve"> </v>
      </c>
      <c r="W41" s="90" t="str">
        <f>IFERROR(VLOOKUP($A41,Pitchers!$A1:$S1000,17,FALSE)," ")</f>
        <v xml:space="preserve"> </v>
      </c>
      <c r="X41" s="90" t="str">
        <f>IFERROR(VLOOKUP($A41,Pitchers!$A1:$S1000,18,FALSE)," ")</f>
        <v xml:space="preserve"> </v>
      </c>
      <c r="Y41" s="90" t="str">
        <f>IFERROR(VLOOKUP($A41,Pitchers!$A1:$S1000,19,FALSE)," ")</f>
        <v xml:space="preserve"> </v>
      </c>
    </row>
    <row r="42" spans="1:25" ht="18.600000000000001" customHeight="1">
      <c r="A42" s="56" t="s">
        <v>736</v>
      </c>
      <c r="B42" s="57" t="str">
        <f>IFERROR(VLOOKUP($A42,Rankings!B1:C519,2,FALSE)," ")</f>
        <v xml:space="preserve"> </v>
      </c>
      <c r="C42" s="92"/>
      <c r="D42" s="93"/>
      <c r="E42" s="94" t="str">
        <f>IFERROR(VLOOKUP($A42,Rankings!B1:F519,5,FALSE)," ")</f>
        <v xml:space="preserve"> </v>
      </c>
      <c r="F42" s="60">
        <f>SUM(F26:F41)</f>
        <v>708.93583333333322</v>
      </c>
      <c r="G42" s="61">
        <f>SUM(G26:G41)</f>
        <v>8.0775543428779102</v>
      </c>
      <c r="H42" s="62">
        <f ca="1">SUM(H26:H41)</f>
        <v>11.805449654205644</v>
      </c>
      <c r="I42" s="61"/>
      <c r="J42" s="61">
        <f>SUM(J26:J41)</f>
        <v>221.91555555555556</v>
      </c>
      <c r="K42" s="116">
        <f>(P42*9)/J42</f>
        <v>3.0980703370651494</v>
      </c>
      <c r="L42" s="116">
        <f>(Q42+R42)/J42</f>
        <v>1.0320742624822252</v>
      </c>
      <c r="M42" s="61">
        <f t="shared" ref="M42:Y42" si="0">SUM(M26:M41)</f>
        <v>277.27611111111111</v>
      </c>
      <c r="N42" s="61">
        <f t="shared" si="0"/>
        <v>16.801111111111112</v>
      </c>
      <c r="O42" s="61">
        <f t="shared" si="0"/>
        <v>9.1333333333333329</v>
      </c>
      <c r="P42" s="61">
        <f t="shared" si="0"/>
        <v>76.389999999999986</v>
      </c>
      <c r="Q42" s="61">
        <f t="shared" si="0"/>
        <v>174.30999999999997</v>
      </c>
      <c r="R42" s="61">
        <f t="shared" si="0"/>
        <v>54.723333333333343</v>
      </c>
      <c r="S42" s="61">
        <f t="shared" si="0"/>
        <v>29.666666666666664</v>
      </c>
      <c r="T42" s="61">
        <f t="shared" si="0"/>
        <v>57.38111111111111</v>
      </c>
      <c r="U42" s="61">
        <f t="shared" si="0"/>
        <v>31.03</v>
      </c>
      <c r="V42" s="61">
        <f t="shared" si="0"/>
        <v>9.0733333333333324</v>
      </c>
      <c r="W42" s="61">
        <f t="shared" si="0"/>
        <v>24.6</v>
      </c>
      <c r="X42" s="61">
        <f t="shared" si="0"/>
        <v>0</v>
      </c>
      <c r="Y42" s="61">
        <f t="shared" si="0"/>
        <v>3</v>
      </c>
    </row>
    <row r="43" spans="1:25" ht="20.100000000000001" customHeight="1">
      <c r="K43" s="148"/>
      <c r="L43" s="148"/>
    </row>
    <row r="44" spans="1:25" ht="20.100000000000001" customHeight="1">
      <c r="K44" s="148"/>
      <c r="L44" s="148"/>
    </row>
    <row r="45" spans="1:25" ht="20.100000000000001" customHeight="1">
      <c r="K45" s="148"/>
      <c r="L45" s="148"/>
    </row>
  </sheetData>
  <mergeCells count="2">
    <mergeCell ref="D1:E1"/>
    <mergeCell ref="D25:E25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651"/>
  <sheetViews>
    <sheetView showGridLines="0" workbookViewId="0">
      <pane ySplit="1" topLeftCell="A2" activePane="bottomLeft" state="frozen"/>
      <selection pane="bottomLeft" activeCell="C11" sqref="C11"/>
    </sheetView>
  </sheetViews>
  <sheetFormatPr defaultColWidth="16.28515625" defaultRowHeight="20.100000000000001" customHeight="1"/>
  <cols>
    <col min="1" max="1" width="23.7109375" style="1" customWidth="1"/>
    <col min="2" max="2" width="7.140625" style="1" customWidth="1"/>
    <col min="3" max="3" width="8" style="1" customWidth="1"/>
    <col min="4" max="4" width="7.140625" style="1" customWidth="1"/>
    <col min="5" max="5" width="2.28515625" style="1" customWidth="1"/>
    <col min="6" max="20" width="7.140625" style="1" customWidth="1"/>
    <col min="21" max="21" width="2.28515625" style="1" customWidth="1"/>
    <col min="22" max="37" width="7.140625" style="1" customWidth="1"/>
    <col min="38" max="38" width="16.28515625" style="1" customWidth="1"/>
    <col min="39" max="16384" width="16.28515625" style="1"/>
  </cols>
  <sheetData>
    <row r="1" spans="1:37" ht="18.600000000000001" customHeight="1" thickBot="1">
      <c r="A1" s="111" t="s">
        <v>58</v>
      </c>
      <c r="B1" s="112" t="s">
        <v>59</v>
      </c>
      <c r="C1" s="112" t="s">
        <v>61</v>
      </c>
      <c r="D1" s="113" t="s">
        <v>63</v>
      </c>
      <c r="E1" s="114"/>
      <c r="F1" s="113" t="s">
        <v>5</v>
      </c>
      <c r="G1" s="113" t="s">
        <v>9</v>
      </c>
      <c r="H1" s="113" t="s">
        <v>13</v>
      </c>
      <c r="I1" s="113" t="s">
        <v>17</v>
      </c>
      <c r="J1" s="113" t="s">
        <v>21</v>
      </c>
      <c r="K1" s="113" t="s">
        <v>25</v>
      </c>
      <c r="L1" s="113" t="s">
        <v>29</v>
      </c>
      <c r="M1" s="113" t="s">
        <v>33</v>
      </c>
      <c r="N1" s="113" t="s">
        <v>11</v>
      </c>
      <c r="O1" s="113" t="s">
        <v>15</v>
      </c>
      <c r="P1" s="113" t="s">
        <v>36</v>
      </c>
      <c r="Q1" s="113" t="s">
        <v>40</v>
      </c>
      <c r="R1" s="113" t="s">
        <v>45</v>
      </c>
      <c r="S1" s="113" t="s">
        <v>47</v>
      </c>
      <c r="T1" s="113" t="s">
        <v>51</v>
      </c>
      <c r="U1" s="114"/>
      <c r="V1" s="113" t="s">
        <v>6</v>
      </c>
      <c r="W1" s="113" t="s">
        <v>10</v>
      </c>
      <c r="X1" s="113" t="s">
        <v>14</v>
      </c>
      <c r="Y1" s="113" t="s">
        <v>18</v>
      </c>
      <c r="Z1" s="113" t="s">
        <v>22</v>
      </c>
      <c r="AA1" s="113" t="s">
        <v>26</v>
      </c>
      <c r="AB1" s="113" t="s">
        <v>30</v>
      </c>
      <c r="AC1" s="113" t="s">
        <v>33</v>
      </c>
      <c r="AD1" s="113" t="s">
        <v>36</v>
      </c>
      <c r="AE1" s="113" t="s">
        <v>13</v>
      </c>
      <c r="AF1" s="113" t="s">
        <v>39</v>
      </c>
      <c r="AG1" s="113" t="s">
        <v>41</v>
      </c>
      <c r="AH1" s="113" t="s">
        <v>46</v>
      </c>
      <c r="AI1" s="113" t="s">
        <v>48</v>
      </c>
      <c r="AJ1" s="113" t="s">
        <v>52</v>
      </c>
      <c r="AK1" s="113" t="s">
        <v>55</v>
      </c>
    </row>
    <row r="2" spans="1:37" ht="18.600000000000001" customHeight="1">
      <c r="A2" s="18" t="s">
        <v>93</v>
      </c>
      <c r="B2" s="19" t="s">
        <v>94</v>
      </c>
      <c r="C2" s="115" t="s">
        <v>7</v>
      </c>
      <c r="D2" s="61">
        <f>(F2*Settings!$C$2)+(G2*Settings!$C$3)+(H2*Settings!$C$4)+(I2*Settings!$C$5)+(J2*Settings!$C$6)+(M2*Settings!$C$9)+(N2*Settings!$C$10)+(O2*Settings!$C$11)+(P2*Settings!$C$12)+(Q2*Settings!$C$13)+(T2*Settings!$C$16)+(K2*Settings!$C$7)+(L2*Settings!$C$8)+(R2*Settings!$C$14)+(S2*Settings!$C$15)</f>
        <v>9.6358241194264433</v>
      </c>
      <c r="E2" s="61"/>
      <c r="F2" s="116">
        <f>(VLOOKUP($A2,Hitters!$A1:$R401,4,FALSE)-AVERAGE(Rankings!M2:M651))/STDEV(Rankings!M2:M651)</f>
        <v>1.4554794285413608</v>
      </c>
      <c r="G2" s="116">
        <f>(VLOOKUP($A2,Hitters!$A1:$R401,5,FALSE)-AVERAGE(Rankings!N2:N651))/STDEV(Rankings!N2:N651)</f>
        <v>2.0898208145720756</v>
      </c>
      <c r="H2" s="116">
        <f>(VLOOKUP($A2,Hitters!$A1:$R401,6,FALSE)-AVERAGE(Rankings!O2:O651))/STDEV(Rankings!O2:O651)</f>
        <v>2.7284137821184329</v>
      </c>
      <c r="I2" s="116">
        <f>(VLOOKUP($A2,Hitters!$A1:$R401,7,FALSE)-AVERAGE(Rankings!P2:P651))/STDEV(Rankings!P2:P651)</f>
        <v>2.4844287003801413</v>
      </c>
      <c r="J2" s="116">
        <f>(VLOOKUP($A2,Hitters!$A1:$R401,8,FALSE)-AVERAGE(Rankings!Q2:Q651))/STDEV(Rankings!Q2:Q651)</f>
        <v>1.0218919023791986E-2</v>
      </c>
      <c r="K2" s="156">
        <f>(VLOOKUP($A2,Hitters!$A$1:$R$401,14,FALSE)-AVERAGE(Rankings!R$2:R$651))/STDEV(Rankings!R$2:R$651)</f>
        <v>2.3229419033320009</v>
      </c>
      <c r="L2" s="156">
        <f>(VLOOKUP($A2,Hitters!$A$1:$R$401,15,FALSE)-AVERAGE(Rankings!S$2:S$651))/STDEV(Rankings!S$2:S$651)</f>
        <v>2.3032725360191639</v>
      </c>
      <c r="M2" s="156">
        <f>(VLOOKUP($A2,Hitters!$A$1:$R$401,9,FALSE)-AVERAGE(Rankings!T$2:T$651))/STDEV(Rankings!T$2:T$651)</f>
        <v>1.9297113115637443</v>
      </c>
      <c r="N2" s="156">
        <f>(VLOOKUP($A2,Hitters!$A$1:$R$401,10,FALSE)-AVERAGE(Rankings!U$2:U$651))/STDEV(Rankings!U$2:U$651)</f>
        <v>1.7104889656581748</v>
      </c>
      <c r="O2" s="156">
        <f>(VLOOKUP($A2,Hitters!$A$1:$R$401,11,FALSE)-AVERAGE(Rankings!V$2:V$651))/STDEV(Rankings!V$2:V$651)</f>
        <v>-0.55308857595010485</v>
      </c>
      <c r="P2" s="156">
        <f>(VLOOKUP($A2,Hitters!$A$1:$R$401,12,FALSE)-AVERAGE(Rankings!W$2:W$651))/STDEV(Rankings!W$2:W$651)</f>
        <v>1.6377737297086683</v>
      </c>
      <c r="Q2" s="156">
        <f>(VLOOKUP($A2,Hitters!$A$1:$R$401,13,FALSE)-AVERAGE(Rankings!X$2:X$651))/STDEV(Rankings!X$2:X$651)</f>
        <v>0.23319612915771967</v>
      </c>
      <c r="R2" s="116">
        <f>(VLOOKUP($A2,Hitters!$A1:$R401,16,FALSE)-AVERAGE(Rankings!Y2:Y651))/STDEV(Rankings!Y2:Y651)</f>
        <v>2.9913614586445672</v>
      </c>
      <c r="S2" s="116">
        <f>(VLOOKUP($A2,Hitters!$A1:$R401,17,FALSE)-AVERAGE(Rankings!Z2:Z651))/STDEV(Rankings!Z2:Z651)</f>
        <v>3.0539795982470479</v>
      </c>
      <c r="T2" s="116">
        <f>IFERROR((VLOOKUP($A2,Hitters!$A1:$R401,18,FALSE)-AVERAGE(Rankings!AA2:AA651))/STDEV(Rankings!AA2:AA651),0)</f>
        <v>0</v>
      </c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18.600000000000001" customHeight="1">
      <c r="A3" s="26" t="s">
        <v>105</v>
      </c>
      <c r="B3" s="27" t="s">
        <v>81</v>
      </c>
      <c r="C3" s="117" t="s">
        <v>7</v>
      </c>
      <c r="D3" s="67">
        <f>(F3*Settings!$C$2)+(G3*Settings!$C$3)+(H3*Settings!$C$4)+(I3*Settings!$C$5)+(J3*Settings!$C$6)+(M3*Settings!$C$9)+(N3*Settings!$C$10)+(O3*Settings!$C$11)+(P3*Settings!$C$12)+(Q3*Settings!$C$13)+(T3*Settings!$C$16)+(K3*Settings!$C$7)+(L3*Settings!$C$8)+(R3*Settings!$C$14)+(S3*Settings!$C$15)</f>
        <v>8.8648032719824705</v>
      </c>
      <c r="E3" s="67"/>
      <c r="F3" s="118">
        <f>(VLOOKUP($A3,Hitters!$A1:$R401,4,FALSE)-AVERAGE(Rankings!M2:M651))/STDEV(Rankings!M2:M651)</f>
        <v>1.4784185580217277</v>
      </c>
      <c r="G3" s="118">
        <f>(VLOOKUP($A3,Hitters!$A1:$R401,5,FALSE)-AVERAGE(Rankings!N2:N651))/STDEV(Rankings!N2:N651)</f>
        <v>2.3024270889049836</v>
      </c>
      <c r="H3" s="118">
        <f>(VLOOKUP($A3,Hitters!$A1:$R401,6,FALSE)-AVERAGE(Rankings!O2:O651))/STDEV(Rankings!O2:O651)</f>
        <v>1.3874884192853796</v>
      </c>
      <c r="I3" s="118">
        <f>(VLOOKUP($A3,Hitters!$A1:$R401,7,FALSE)-AVERAGE(Rankings!P2:P651))/STDEV(Rankings!P2:P651)</f>
        <v>1.8944502716168008</v>
      </c>
      <c r="J3" s="118">
        <f>(VLOOKUP($A3,Hitters!$A1:$R401,8,FALSE)-AVERAGE(Rankings!Q2:Q651))/STDEV(Rankings!Q2:Q651)</f>
        <v>0.4521256251465029</v>
      </c>
      <c r="K3" s="157">
        <f>(VLOOKUP($A3,Hitters!$A$1:$R$401,14,FALSE)-AVERAGE(Rankings!R$2:R$651))/STDEV(Rankings!R$2:R$651)</f>
        <v>2.8283118670288041</v>
      </c>
      <c r="L3" s="157">
        <f>(VLOOKUP($A3,Hitters!$A$1:$R$401,15,FALSE)-AVERAGE(Rankings!S$2:S$651))/STDEV(Rankings!S$2:S$651)</f>
        <v>3.1962619057753385</v>
      </c>
      <c r="M3" s="157">
        <f>(VLOOKUP($A3,Hitters!$A$1:$R$401,9,FALSE)-AVERAGE(Rankings!T$2:T$651))/STDEV(Rankings!T$2:T$651)</f>
        <v>2.1043768069720055</v>
      </c>
      <c r="N3" s="157">
        <f>(VLOOKUP($A3,Hitters!$A$1:$R$401,10,FALSE)-AVERAGE(Rankings!U$2:U$651))/STDEV(Rankings!U$2:U$651)</f>
        <v>2.2082043623239085</v>
      </c>
      <c r="O3" s="157">
        <f>(VLOOKUP($A3,Hitters!$A$1:$R$401,11,FALSE)-AVERAGE(Rankings!V$2:V$651))/STDEV(Rankings!V$2:V$651)</f>
        <v>0.30340925325146528</v>
      </c>
      <c r="P3" s="157">
        <f>(VLOOKUP($A3,Hitters!$A$1:$R$401,12,FALSE)-AVERAGE(Rankings!W$2:W$651))/STDEV(Rankings!W$2:W$651)</f>
        <v>2.3612255533926088</v>
      </c>
      <c r="Q3" s="157">
        <f>(VLOOKUP($A3,Hitters!$A$1:$R$401,13,FALSE)-AVERAGE(Rankings!X$2:X$651))/STDEV(Rankings!X$2:X$651)</f>
        <v>0.21335896991611639</v>
      </c>
      <c r="R3" s="118">
        <f>(VLOOKUP($A3,Hitters!$A1:$R401,16,FALSE)-AVERAGE(Rankings!Y2:Y651))/STDEV(Rankings!Y2:Y651)</f>
        <v>2.1322239921695116</v>
      </c>
      <c r="S3" s="118">
        <f>(VLOOKUP($A3,Hitters!$A1:$R401,17,FALSE)-AVERAGE(Rankings!Z2:Z651))/STDEV(Rankings!Z2:Z651)</f>
        <v>2.7620058924100501</v>
      </c>
      <c r="T3" s="118">
        <f>IFERROR((VLOOKUP($A3,Hitters!$A1:$R401,18,FALSE)-AVERAGE(Rankings!AA2:AA651))/STDEV(Rankings!AA2:AA651),0)</f>
        <v>0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</row>
    <row r="4" spans="1:37" ht="18.600000000000001" customHeight="1">
      <c r="A4" s="26" t="s">
        <v>127</v>
      </c>
      <c r="B4" s="27" t="s">
        <v>95</v>
      </c>
      <c r="C4" s="117" t="s">
        <v>7</v>
      </c>
      <c r="D4" s="67">
        <f>(F4*Settings!$C$2)+(G4*Settings!$C$3)+(H4*Settings!$C$4)+(I4*Settings!$C$5)+(J4*Settings!$C$6)+(M4*Settings!$C$9)+(N4*Settings!$C$10)+(O4*Settings!$C$11)+(P4*Settings!$C$12)+(Q4*Settings!$C$13)+(T4*Settings!$C$16)+(K4*Settings!$C$7)+(L4*Settings!$C$8)+(R4*Settings!$C$14)+(S4*Settings!$C$15)</f>
        <v>7.579447219945239</v>
      </c>
      <c r="E4" s="67"/>
      <c r="F4" s="118">
        <f>(VLOOKUP($A4,Hitters!$A1:$R401,4,FALSE)-AVERAGE(Rankings!M2:M651))/STDEV(Rankings!M2:M651)</f>
        <v>1.4032221483070806</v>
      </c>
      <c r="G4" s="118">
        <f>(VLOOKUP($A4,Hitters!$A1:$R401,5,FALSE)-AVERAGE(Rankings!N2:N651))/STDEV(Rankings!N2:N651)</f>
        <v>1.6539589355282251</v>
      </c>
      <c r="H4" s="118">
        <f>(VLOOKUP($A4,Hitters!$A1:$R401,6,FALSE)-AVERAGE(Rankings!O2:O651))/STDEV(Rankings!O2:O651)</f>
        <v>2.9105009976221008</v>
      </c>
      <c r="I4" s="118">
        <f>(VLOOKUP($A4,Hitters!$A1:$R401,7,FALSE)-AVERAGE(Rankings!P2:P651))/STDEV(Rankings!P2:P651)</f>
        <v>2.668090665089212</v>
      </c>
      <c r="J4" s="118">
        <f>(VLOOKUP($A4,Hitters!$A1:$R401,8,FALSE)-AVERAGE(Rankings!Q2:Q651))/STDEV(Rankings!Q2:Q651)</f>
        <v>-0.39985149751803534</v>
      </c>
      <c r="K4" s="157">
        <f>(VLOOKUP($A4,Hitters!$A$1:$R$401,14,FALSE)-AVERAGE(Rankings!R$2:R$651))/STDEV(Rankings!R$2:R$651)</f>
        <v>0.74674811922373685</v>
      </c>
      <c r="L4" s="157">
        <f>(VLOOKUP($A4,Hitters!$A$1:$R$401,15,FALSE)-AVERAGE(Rankings!S$2:S$651))/STDEV(Rankings!S$2:S$651)</f>
        <v>1.1469656321370481</v>
      </c>
      <c r="M4" s="157">
        <f>(VLOOKUP($A4,Hitters!$A$1:$R$401,9,FALSE)-AVERAGE(Rankings!T$2:T$651))/STDEV(Rankings!T$2:T$651)</f>
        <v>1.412933893147811</v>
      </c>
      <c r="N4" s="157">
        <f>(VLOOKUP($A4,Hitters!$A$1:$R$401,10,FALSE)-AVERAGE(Rankings!U$2:U$651))/STDEV(Rankings!U$2:U$651)</f>
        <v>0.84472235635720383</v>
      </c>
      <c r="O4" s="157">
        <f>(VLOOKUP($A4,Hitters!$A$1:$R$401,11,FALSE)-AVERAGE(Rankings!V$2:V$651))/STDEV(Rankings!V$2:V$651)</f>
        <v>-0.54975033274052176</v>
      </c>
      <c r="P4" s="157">
        <f>(VLOOKUP($A4,Hitters!$A$1:$R$401,12,FALSE)-AVERAGE(Rankings!W$2:W$651))/STDEV(Rankings!W$2:W$651)</f>
        <v>1.6189884280662152</v>
      </c>
      <c r="Q4" s="157">
        <f>(VLOOKUP($A4,Hitters!$A$1:$R$401,13,FALSE)-AVERAGE(Rankings!X$2:X$651))/STDEV(Rankings!X$2:X$651)</f>
        <v>1.0068453395802577</v>
      </c>
      <c r="R4" s="118">
        <f>(VLOOKUP($A4,Hitters!$A1:$R401,16,FALSE)-AVERAGE(Rankings!Y2:Y651))/STDEV(Rankings!Y2:Y651)</f>
        <v>2.2625892100533274</v>
      </c>
      <c r="S4" s="118">
        <f>(VLOOKUP($A4,Hitters!$A1:$R401,17,FALSE)-AVERAGE(Rankings!Z2:Z651))/STDEV(Rankings!Z2:Z651)</f>
        <v>2.0859214332980431</v>
      </c>
      <c r="T4" s="118">
        <f>IFERROR((VLOOKUP($A4,Hitters!$A1:$R401,18,FALSE)-AVERAGE(Rankings!AA2:AA651))/STDEV(Rankings!AA2:AA651),0)</f>
        <v>0</v>
      </c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37" ht="18.600000000000001" customHeight="1">
      <c r="A5" s="26" t="s">
        <v>132</v>
      </c>
      <c r="B5" s="27" t="s">
        <v>123</v>
      </c>
      <c r="C5" s="117" t="s">
        <v>7</v>
      </c>
      <c r="D5" s="67">
        <f>(F5*Settings!$C$2)+(G5*Settings!$C$3)+(H5*Settings!$C$4)+(I5*Settings!$C$5)+(J5*Settings!$C$6)+(M5*Settings!$C$9)+(N5*Settings!$C$10)+(O5*Settings!$C$11)+(P5*Settings!$C$12)+(Q5*Settings!$C$13)+(T5*Settings!$C$16)+(K5*Settings!$C$7)+(L5*Settings!$C$8)+(R5*Settings!$C$14)+(S5*Settings!$C$15)</f>
        <v>7.4552435028087096</v>
      </c>
      <c r="E5" s="67"/>
      <c r="F5" s="118">
        <f>(VLOOKUP($A5,Hitters!$A1:$R401,4,FALSE)-AVERAGE(Rankings!M2:M651))/STDEV(Rankings!M2:M651)</f>
        <v>1.4120936348464497</v>
      </c>
      <c r="G5" s="118">
        <f>(VLOOKUP($A5,Hitters!$A1:$R401,5,FALSE)-AVERAGE(Rankings!N2:N651))/STDEV(Rankings!N2:N651)</f>
        <v>1.8822349388459556</v>
      </c>
      <c r="H5" s="118">
        <f>(VLOOKUP($A5,Hitters!$A1:$R401,6,FALSE)-AVERAGE(Rankings!O2:O651))/STDEV(Rankings!O2:O651)</f>
        <v>1.9255303674683664</v>
      </c>
      <c r="I5" s="118">
        <f>(VLOOKUP($A5,Hitters!$A1:$R401,7,FALSE)-AVERAGE(Rankings!P2:P651))/STDEV(Rankings!P2:P651)</f>
        <v>2.0536782720630242</v>
      </c>
      <c r="J5" s="118">
        <f>(VLOOKUP($A5,Hitters!$A1:$R401,8,FALSE)-AVERAGE(Rankings!Q2:Q651))/STDEV(Rankings!Q2:Q651)</f>
        <v>7.3891498185558999E-2</v>
      </c>
      <c r="K5" s="157">
        <f>(VLOOKUP($A5,Hitters!$A$1:$R$401,14,FALSE)-AVERAGE(Rankings!R$2:R$651))/STDEV(Rankings!R$2:R$651)</f>
        <v>1.5199084262458045</v>
      </c>
      <c r="L5" s="157">
        <f>(VLOOKUP($A5,Hitters!$A$1:$R$401,15,FALSE)-AVERAGE(Rankings!S$2:S$651))/STDEV(Rankings!S$2:S$651)</f>
        <v>2.0596592011283152</v>
      </c>
      <c r="M5" s="157">
        <f>(VLOOKUP($A5,Hitters!$A$1:$R$401,9,FALSE)-AVERAGE(Rankings!T$2:T$651))/STDEV(Rankings!T$2:T$651)</f>
        <v>1.6486169865918507</v>
      </c>
      <c r="N5" s="157">
        <f>(VLOOKUP($A5,Hitters!$A$1:$R$401,10,FALSE)-AVERAGE(Rankings!U$2:U$651))/STDEV(Rankings!U$2:U$651)</f>
        <v>1.5248855871897427</v>
      </c>
      <c r="O5" s="157">
        <f>(VLOOKUP($A5,Hitters!$A$1:$R$401,11,FALSE)-AVERAGE(Rankings!V$2:V$651))/STDEV(Rankings!V$2:V$651)</f>
        <v>-0.55308857595010485</v>
      </c>
      <c r="P5" s="157">
        <f>(VLOOKUP($A5,Hitters!$A$1:$R$401,12,FALSE)-AVERAGE(Rankings!W$2:W$651))/STDEV(Rankings!W$2:W$651)</f>
        <v>2.0606918286061453</v>
      </c>
      <c r="Q5" s="157">
        <f>(VLOOKUP($A5,Hitters!$A$1:$R$401,13,FALSE)-AVERAGE(Rankings!X$2:X$651))/STDEV(Rankings!X$2:X$651)</f>
        <v>1.3299031274845858</v>
      </c>
      <c r="R5" s="118">
        <f>(VLOOKUP($A5,Hitters!$A1:$R401,16,FALSE)-AVERAGE(Rankings!Y2:Y651))/STDEV(Rankings!Y2:Y651)</f>
        <v>1.8482119574796301</v>
      </c>
      <c r="S5" s="118">
        <f>(VLOOKUP($A5,Hitters!$A1:$R401,17,FALSE)-AVERAGE(Rankings!Z2:Z651))/STDEV(Rankings!Z2:Z651)</f>
        <v>2.1265270970534345</v>
      </c>
      <c r="T5" s="118">
        <f>IFERROR((VLOOKUP($A5,Hitters!$A1:$R401,18,FALSE)-AVERAGE(Rankings!AA2:AA651))/STDEV(Rankings!AA2:AA651),0)</f>
        <v>0</v>
      </c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</row>
    <row r="6" spans="1:37" ht="18.600000000000001" customHeight="1">
      <c r="A6" s="26" t="s">
        <v>180</v>
      </c>
      <c r="B6" s="27" t="s">
        <v>73</v>
      </c>
      <c r="C6" s="117" t="s">
        <v>7</v>
      </c>
      <c r="D6" s="67">
        <f>(F6*Settings!$C$2)+(G6*Settings!$C$3)+(H6*Settings!$C$4)+(I6*Settings!$C$5)+(J6*Settings!$C$6)+(M6*Settings!$C$9)+(N6*Settings!$C$10)+(O6*Settings!$C$11)+(P6*Settings!$C$12)+(Q6*Settings!$C$13)+(T6*Settings!$C$16)+(K6*Settings!$C$7)+(L6*Settings!$C$8)+(R6*Settings!$C$14)+(S6*Settings!$C$15)</f>
        <v>6.329245279906508</v>
      </c>
      <c r="E6" s="67"/>
      <c r="F6" s="118">
        <f>(VLOOKUP($A6,Hitters!$A1:$R401,4,FALSE)-AVERAGE(Rankings!M2:M651))/STDEV(Rankings!M2:M651)</f>
        <v>1.4171630557260886</v>
      </c>
      <c r="G6" s="118">
        <f>(VLOOKUP($A6,Hitters!$A1:$R401,5,FALSE)-AVERAGE(Rankings!N2:N651))/STDEV(Rankings!N2:N651)</f>
        <v>1.8223958443408084</v>
      </c>
      <c r="H6" s="118">
        <f>(VLOOKUP($A6,Hitters!$A1:$R401,6,FALSE)-AVERAGE(Rankings!O2:O651))/STDEV(Rankings!O2:O651)</f>
        <v>2.5578898710423128</v>
      </c>
      <c r="I6" s="118">
        <f>(VLOOKUP($A6,Hitters!$A1:$R401,7,FALSE)-AVERAGE(Rankings!P2:P651))/STDEV(Rankings!P2:P651)</f>
        <v>2.2363476069739168</v>
      </c>
      <c r="J6" s="118">
        <f>(VLOOKUP($A6,Hitters!$A1:$R401,8,FALSE)-AVERAGE(Rankings!Q2:Q651))/STDEV(Rankings!Q2:Q651)</f>
        <v>-0.68447742974115766</v>
      </c>
      <c r="K6" s="157">
        <f>(VLOOKUP($A6,Hitters!$A$1:$R$401,14,FALSE)-AVERAGE(Rankings!R$2:R$651))/STDEV(Rankings!R$2:R$651)</f>
        <v>0.39708938729062704</v>
      </c>
      <c r="L6" s="157">
        <f>(VLOOKUP($A6,Hitters!$A$1:$R$401,15,FALSE)-AVERAGE(Rankings!S$2:S$651))/STDEV(Rankings!S$2:S$651)</f>
        <v>1.2970451491615893</v>
      </c>
      <c r="M6" s="157">
        <f>(VLOOKUP($A6,Hitters!$A$1:$R$401,9,FALSE)-AVERAGE(Rankings!T$2:T$651))/STDEV(Rankings!T$2:T$651)</f>
        <v>1.3228602960473759</v>
      </c>
      <c r="N6" s="157">
        <f>(VLOOKUP($A6,Hitters!$A$1:$R$401,10,FALSE)-AVERAGE(Rankings!U$2:U$651))/STDEV(Rankings!U$2:U$651)</f>
        <v>1.6086509450147535</v>
      </c>
      <c r="O6" s="157">
        <f>(VLOOKUP($A6,Hitters!$A$1:$R$401,11,FALSE)-AVERAGE(Rankings!V$2:V$651))/STDEV(Rankings!V$2:V$651)</f>
        <v>-0.56548776501427001</v>
      </c>
      <c r="P6" s="157">
        <f>(VLOOKUP($A6,Hitters!$A$1:$R$401,12,FALSE)-AVERAGE(Rankings!W$2:W$651))/STDEV(Rankings!W$2:W$651)</f>
        <v>2.1484913427396641</v>
      </c>
      <c r="Q6" s="157">
        <f>(VLOOKUP($A6,Hitters!$A$1:$R$401,13,FALSE)-AVERAGE(Rankings!X$2:X$651))/STDEV(Rankings!X$2:X$651)</f>
        <v>1.4529441359225379</v>
      </c>
      <c r="R6" s="118">
        <f>(VLOOKUP($A6,Hitters!$A1:$R401,16,FALSE)-AVERAGE(Rankings!Y2:Y651))/STDEV(Rankings!Y2:Y651)</f>
        <v>1.9844217232412873</v>
      </c>
      <c r="S6" s="118">
        <f>(VLOOKUP($A6,Hitters!$A1:$R401,17,FALSE)-AVERAGE(Rankings!Z2:Z651))/STDEV(Rankings!Z2:Z651)</f>
        <v>1.9390471171467711</v>
      </c>
      <c r="T6" s="118">
        <f>IFERROR((VLOOKUP($A6,Hitters!$A1:$R401,18,FALSE)-AVERAGE(Rankings!AA2:AA651))/STDEV(Rankings!AA2:AA651),0)</f>
        <v>0</v>
      </c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</row>
    <row r="7" spans="1:37" ht="18.600000000000001" customHeight="1">
      <c r="A7" s="26" t="s">
        <v>221</v>
      </c>
      <c r="B7" s="27" t="s">
        <v>78</v>
      </c>
      <c r="C7" s="117" t="s">
        <v>7</v>
      </c>
      <c r="D7" s="67">
        <f>(F7*Settings!$C$2)+(G7*Settings!$C$3)+(H7*Settings!$C$4)+(I7*Settings!$C$5)+(J7*Settings!$C$6)+(M7*Settings!$C$9)+(N7*Settings!$C$10)+(O7*Settings!$C$11)+(P7*Settings!$C$12)+(Q7*Settings!$C$13)+(T7*Settings!$C$16)+(K7*Settings!$C$7)+(L7*Settings!$C$8)+(R7*Settings!$C$14)+(S7*Settings!$C$15)</f>
        <v>3.9581385387386536</v>
      </c>
      <c r="E7" s="67"/>
      <c r="F7" s="118">
        <f>(VLOOKUP($A7,Hitters!$A1:$R401,4,FALSE)-AVERAGE(Rankings!M2:M651))/STDEV(Rankings!M2:M651)</f>
        <v>1.3187318003130957</v>
      </c>
      <c r="G7" s="118">
        <f>(VLOOKUP($A7,Hitters!$A1:$R401,5,FALSE)-AVERAGE(Rankings!N2:N651))/STDEV(Rankings!N2:N651)</f>
        <v>1.1860729987047134</v>
      </c>
      <c r="H7" s="118">
        <f>(VLOOKUP($A7,Hitters!$A1:$R401,6,FALSE)-AVERAGE(Rankings!O2:O651))/STDEV(Rankings!O2:O651)</f>
        <v>0.84540628039879118</v>
      </c>
      <c r="I7" s="118">
        <f>(VLOOKUP($A7,Hitters!$A1:$R401,7,FALSE)-AVERAGE(Rankings!P2:P651))/STDEV(Rankings!P2:P651)</f>
        <v>1.4975001605299563</v>
      </c>
      <c r="J7" s="118">
        <f>(VLOOKUP($A7,Hitters!$A1:$R401,8,FALSE)-AVERAGE(Rankings!Q2:Q651))/STDEV(Rankings!Q2:Q651)</f>
        <v>-0.8284534856069441</v>
      </c>
      <c r="K7" s="157">
        <f>(VLOOKUP($A7,Hitters!$A$1:$R$401,14,FALSE)-AVERAGE(Rankings!R$2:R$651))/STDEV(Rankings!R$2:R$651)</f>
        <v>1.2576125847121367</v>
      </c>
      <c r="L7" s="157">
        <f>(VLOOKUP($A7,Hitters!$A$1:$R$401,15,FALSE)-AVERAGE(Rankings!S$2:S$651))/STDEV(Rankings!S$2:S$651)</f>
        <v>0.98457269199344521</v>
      </c>
      <c r="M7" s="157">
        <f>(VLOOKUP($A7,Hitters!$A$1:$R$401,9,FALSE)-AVERAGE(Rankings!T$2:T$651))/STDEV(Rankings!T$2:T$651)</f>
        <v>1.4817097424802361</v>
      </c>
      <c r="N7" s="157">
        <f>(VLOOKUP($A7,Hitters!$A$1:$R$401,10,FALSE)-AVERAGE(Rankings!U$2:U$651))/STDEV(Rankings!U$2:U$651)</f>
        <v>1.5168532926037828</v>
      </c>
      <c r="O7" s="157">
        <f>(VLOOKUP($A7,Hitters!$A$1:$R$401,11,FALSE)-AVERAGE(Rankings!V$2:V$651))/STDEV(Rankings!V$2:V$651)</f>
        <v>-0.5521347921759383</v>
      </c>
      <c r="P7" s="157">
        <f>(VLOOKUP($A7,Hitters!$A$1:$R$401,12,FALSE)-AVERAGE(Rankings!W$2:W$651))/STDEV(Rankings!W$2:W$651)</f>
        <v>0.88542861922698168</v>
      </c>
      <c r="Q7" s="157">
        <f>(VLOOKUP($A7,Hitters!$A$1:$R$401,13,FALSE)-AVERAGE(Rankings!X$2:X$651))/STDEV(Rankings!X$2:X$651)</f>
        <v>0.78123324619608736</v>
      </c>
      <c r="R7" s="118">
        <f>(VLOOKUP($A7,Hitters!$A1:$R401,16,FALSE)-AVERAGE(Rankings!Y2:Y651))/STDEV(Rankings!Y2:Y651)</f>
        <v>0.75937936428112962</v>
      </c>
      <c r="S7" s="118">
        <f>(VLOOKUP($A7,Hitters!$A1:$R401,17,FALSE)-AVERAGE(Rankings!Z2:Z651))/STDEV(Rankings!Z2:Z651)</f>
        <v>0.92580321182062497</v>
      </c>
      <c r="T7" s="118">
        <f>IFERROR((VLOOKUP($A7,Hitters!$A1:$R401,18,FALSE)-AVERAGE(Rankings!AA2:AA651))/STDEV(Rankings!AA2:AA651),0)</f>
        <v>0</v>
      </c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</row>
    <row r="8" spans="1:37" ht="18.600000000000001" customHeight="1">
      <c r="A8" s="26" t="s">
        <v>227</v>
      </c>
      <c r="B8" s="27" t="s">
        <v>176</v>
      </c>
      <c r="C8" s="117" t="s">
        <v>7</v>
      </c>
      <c r="D8" s="67">
        <f>(F8*Settings!$C$2)+(G8*Settings!$C$3)+(H8*Settings!$C$4)+(I8*Settings!$C$5)+(J8*Settings!$C$6)+(M8*Settings!$C$9)+(N8*Settings!$C$10)+(O8*Settings!$C$11)+(P8*Settings!$C$12)+(Q8*Settings!$C$13)+(T8*Settings!$C$16)+(K8*Settings!$C$7)+(L8*Settings!$C$8)+(R8*Settings!$C$14)+(S8*Settings!$C$15)</f>
        <v>3.9528188714133803</v>
      </c>
      <c r="E8" s="67"/>
      <c r="F8" s="118">
        <f>(VLOOKUP($A8,Hitters!$A1:$R401,4,FALSE)-AVERAGE(Rankings!M2:M651))/STDEV(Rankings!M2:M651)</f>
        <v>1.042321626850774</v>
      </c>
      <c r="G8" s="118">
        <f>(VLOOKUP($A8,Hitters!$A1:$R401,5,FALSE)-AVERAGE(Rankings!N2:N651))/STDEV(Rankings!N2:N651)</f>
        <v>0.96730532608165742</v>
      </c>
      <c r="H8" s="118">
        <f>(VLOOKUP($A8,Hitters!$A1:$R401,6,FALSE)-AVERAGE(Rankings!O2:O651))/STDEV(Rankings!O2:O651)</f>
        <v>1.6670278208983162</v>
      </c>
      <c r="I8" s="118">
        <f>(VLOOKUP($A8,Hitters!$A1:$R401,7,FALSE)-AVERAGE(Rankings!P2:P651))/STDEV(Rankings!P2:P651)</f>
        <v>1.6960515722116996</v>
      </c>
      <c r="J8" s="118">
        <f>(VLOOKUP($A8,Hitters!$A1:$R401,8,FALSE)-AVERAGE(Rankings!Q2:Q651))/STDEV(Rankings!Q2:Q651)</f>
        <v>-0.90748984630774443</v>
      </c>
      <c r="K8" s="157">
        <f>(VLOOKUP($A8,Hitters!$A$1:$R$401,14,FALSE)-AVERAGE(Rankings!R$2:R$651))/STDEV(Rankings!R$2:R$651)</f>
        <v>0.52992399852945082</v>
      </c>
      <c r="L8" s="157">
        <f>(VLOOKUP($A8,Hitters!$A$1:$R$401,15,FALSE)-AVERAGE(Rankings!S$2:S$651))/STDEV(Rankings!S$2:S$651)</f>
        <v>0.37660590788490422</v>
      </c>
      <c r="M8" s="157">
        <f>(VLOOKUP($A8,Hitters!$A$1:$R$401,9,FALSE)-AVERAGE(Rankings!T$2:T$651))/STDEV(Rankings!T$2:T$651)</f>
        <v>1.020213608882677</v>
      </c>
      <c r="N8" s="157">
        <f>(VLOOKUP($A8,Hitters!$A$1:$R$401,10,FALSE)-AVERAGE(Rankings!U$2:U$651))/STDEV(Rankings!U$2:U$651)</f>
        <v>0.90152215378649192</v>
      </c>
      <c r="O8" s="157">
        <f>(VLOOKUP($A8,Hitters!$A$1:$R$401,11,FALSE)-AVERAGE(Rankings!V$2:V$651))/STDEV(Rankings!V$2:V$651)</f>
        <v>0.31151641533188096</v>
      </c>
      <c r="P8" s="157">
        <f>(VLOOKUP($A8,Hitters!$A$1:$R$401,12,FALSE)-AVERAGE(Rankings!W$2:W$651))/STDEV(Rankings!W$2:W$651)</f>
        <v>0.63462618140456228</v>
      </c>
      <c r="Q8" s="157">
        <f>(VLOOKUP($A8,Hitters!$A$1:$R$401,13,FALSE)-AVERAGE(Rankings!X$2:X$651))/STDEV(Rankings!X$2:X$651)</f>
        <v>1.3578396691278651</v>
      </c>
      <c r="R8" s="118">
        <f>(VLOOKUP($A8,Hitters!$A1:$R401,16,FALSE)-AVERAGE(Rankings!Y2:Y651))/STDEV(Rankings!Y2:Y651)</f>
        <v>1.4651934394726192</v>
      </c>
      <c r="S8" s="118">
        <f>(VLOOKUP($A8,Hitters!$A1:$R401,17,FALSE)-AVERAGE(Rankings!Z2:Z651))/STDEV(Rankings!Z2:Z651)</f>
        <v>1.2129707251199708</v>
      </c>
      <c r="T8" s="118">
        <f>IFERROR((VLOOKUP($A8,Hitters!$A1:$R401,18,FALSE)-AVERAGE(Rankings!AA2:AA651))/STDEV(Rankings!AA2:AA651),0)</f>
        <v>0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</row>
    <row r="9" spans="1:37" ht="18.600000000000001" customHeight="1">
      <c r="A9" s="26" t="s">
        <v>233</v>
      </c>
      <c r="B9" s="27" t="s">
        <v>86</v>
      </c>
      <c r="C9" s="117" t="s">
        <v>7</v>
      </c>
      <c r="D9" s="67">
        <f>(F9*Settings!$C$2)+(G9*Settings!$C$3)+(H9*Settings!$C$4)+(I9*Settings!$C$5)+(J9*Settings!$C$6)+(M9*Settings!$C$9)+(N9*Settings!$C$10)+(O9*Settings!$C$11)+(P9*Settings!$C$12)+(Q9*Settings!$C$13)+(T9*Settings!$C$16)+(K9*Settings!$C$7)+(L9*Settings!$C$8)+(R9*Settings!$C$14)+(S9*Settings!$C$15)</f>
        <v>4.5802604819525099</v>
      </c>
      <c r="E9" s="67"/>
      <c r="F9" s="118">
        <f>(VLOOKUP($A9,Hitters!$A1:$R401,4,FALSE)-AVERAGE(Rankings!M2:M651))/STDEV(Rankings!M2:M651)</f>
        <v>1.2630526609850588</v>
      </c>
      <c r="G9" s="118">
        <f>(VLOOKUP($A9,Hitters!$A1:$R401,5,FALSE)-AVERAGE(Rankings!N2:N651))/STDEV(Rankings!N2:N651)</f>
        <v>1.1120855081258914</v>
      </c>
      <c r="H9" s="118">
        <f>(VLOOKUP($A9,Hitters!$A1:$R401,6,FALSE)-AVERAGE(Rankings!O2:O651))/STDEV(Rankings!O2:O651)</f>
        <v>1.1608894475816951</v>
      </c>
      <c r="I9" s="118">
        <f>(VLOOKUP($A9,Hitters!$A1:$R401,7,FALSE)-AVERAGE(Rankings!P2:P651))/STDEV(Rankings!P2:P651)</f>
        <v>1.2764745921356138</v>
      </c>
      <c r="J9" s="118">
        <f>(VLOOKUP($A9,Hitters!$A1:$R401,8,FALSE)-AVERAGE(Rankings!Q2:Q651))/STDEV(Rankings!Q2:Q651)</f>
        <v>-0.32746749583413615</v>
      </c>
      <c r="K9" s="157">
        <f>(VLOOKUP($A9,Hitters!$A$1:$R$401,14,FALSE)-AVERAGE(Rankings!R$2:R$651))/STDEV(Rankings!R$2:R$651)</f>
        <v>1.3582784299434456</v>
      </c>
      <c r="L9" s="157">
        <f>(VLOOKUP($A9,Hitters!$A$1:$R$401,15,FALSE)-AVERAGE(Rankings!S$2:S$651))/STDEV(Rankings!S$2:S$651)</f>
        <v>1.5059985026778788</v>
      </c>
      <c r="M9" s="157">
        <f>(VLOOKUP($A9,Hitters!$A$1:$R$401,9,FALSE)-AVERAGE(Rankings!T$2:T$651))/STDEV(Rankings!T$2:T$651)</f>
        <v>1.4567874834886956</v>
      </c>
      <c r="N9" s="157">
        <f>(VLOOKUP($A9,Hitters!$A$1:$R$401,10,FALSE)-AVERAGE(Rankings!U$2:U$651))/STDEV(Rankings!U$2:U$651)</f>
        <v>0.84099307672800749</v>
      </c>
      <c r="O9" s="157">
        <f>(VLOOKUP($A9,Hitters!$A$1:$R$401,11,FALSE)-AVERAGE(Rankings!V$2:V$651))/STDEV(Rankings!V$2:V$651)</f>
        <v>0.32868452326687903</v>
      </c>
      <c r="P9" s="157">
        <f>(VLOOKUP($A9,Hitters!$A$1:$R$401,12,FALSE)-AVERAGE(Rankings!W$2:W$651))/STDEV(Rankings!W$2:W$651)</f>
        <v>1.381715139605497</v>
      </c>
      <c r="Q9" s="157">
        <f>(VLOOKUP($A9,Hitters!$A$1:$R$401,13,FALSE)-AVERAGE(Rankings!X$2:X$651))/STDEV(Rankings!X$2:X$651)</f>
        <v>1.3866937189338335</v>
      </c>
      <c r="R9" s="118">
        <f>(VLOOKUP($A9,Hitters!$A1:$R401,16,FALSE)-AVERAGE(Rankings!Y2:Y651))/STDEV(Rankings!Y2:Y651)</f>
        <v>1.0412978461417066</v>
      </c>
      <c r="S9" s="118">
        <f>(VLOOKUP($A9,Hitters!$A1:$R401,17,FALSE)-AVERAGE(Rankings!Z2:Z651))/STDEV(Rankings!Z2:Z651)</f>
        <v>1.3281871867065476</v>
      </c>
      <c r="T9" s="118">
        <f>IFERROR((VLOOKUP($A9,Hitters!$A1:$R401,18,FALSE)-AVERAGE(Rankings!AA2:AA651))/STDEV(Rankings!AA2:AA651),0)</f>
        <v>0</v>
      </c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</row>
    <row r="10" spans="1:37" ht="18.600000000000001" customHeight="1">
      <c r="A10" s="26" t="s">
        <v>263</v>
      </c>
      <c r="B10" s="27" t="s">
        <v>120</v>
      </c>
      <c r="C10" s="117" t="s">
        <v>7</v>
      </c>
      <c r="D10" s="67">
        <f>(F10*Settings!$C$2)+(G10*Settings!$C$3)+(H10*Settings!$C$4)+(I10*Settings!$C$5)+(J10*Settings!$C$6)+(M10*Settings!$C$9)+(N10*Settings!$C$10)+(O10*Settings!$C$11)+(P10*Settings!$C$12)+(Q10*Settings!$C$13)+(T10*Settings!$C$16)+(K10*Settings!$C$7)+(L10*Settings!$C$8)+(R10*Settings!$C$14)+(S10*Settings!$C$15)</f>
        <v>3.9817564939752019</v>
      </c>
      <c r="E10" s="67"/>
      <c r="F10" s="118">
        <f>(VLOOKUP($A10,Hitters!$A1:$R401,4,FALSE)-AVERAGE(Rankings!M2:M651))/STDEV(Rankings!M2:M651)</f>
        <v>1.2909344758230745</v>
      </c>
      <c r="G10" s="118">
        <f>(VLOOKUP($A10,Hitters!$A1:$R401,5,FALSE)-AVERAGE(Rankings!N2:N651))/STDEV(Rankings!N2:N651)</f>
        <v>1.1693383366820878</v>
      </c>
      <c r="H10" s="118">
        <f>(VLOOKUP($A10,Hitters!$A1:$R401,6,FALSE)-AVERAGE(Rankings!O2:O651))/STDEV(Rankings!O2:O651)</f>
        <v>1.5556439427076645</v>
      </c>
      <c r="I10" s="118">
        <f>(VLOOKUP($A10,Hitters!$A1:$R401,7,FALSE)-AVERAGE(Rankings!P2:P651))/STDEV(Rankings!P2:P651)</f>
        <v>1.6636002134251053</v>
      </c>
      <c r="J10" s="118">
        <f>(VLOOKUP($A10,Hitters!$A1:$R401,8,FALSE)-AVERAGE(Rankings!Q2:Q651))/STDEV(Rankings!Q2:Q651)</f>
        <v>-0.61193503855685594</v>
      </c>
      <c r="K10" s="157">
        <f>(VLOOKUP($A10,Hitters!$A$1:$R$401,14,FALSE)-AVERAGE(Rankings!R$2:R$651))/STDEV(Rankings!R$2:R$651)</f>
        <v>0.20510903971720082</v>
      </c>
      <c r="L10" s="157">
        <f>(VLOOKUP($A10,Hitters!$A$1:$R$401,15,FALSE)-AVERAGE(Rankings!S$2:S$651))/STDEV(Rankings!S$2:S$651)</f>
        <v>0.58151143985435161</v>
      </c>
      <c r="M10" s="157">
        <f>(VLOOKUP($A10,Hitters!$A$1:$R$401,9,FALSE)-AVERAGE(Rankings!T$2:T$651))/STDEV(Rankings!T$2:T$651)</f>
        <v>1.1540060004520474</v>
      </c>
      <c r="N10" s="157">
        <f>(VLOOKUP($A10,Hitters!$A$1:$R$401,10,FALSE)-AVERAGE(Rankings!U$2:U$651))/STDEV(Rankings!U$2:U$651)</f>
        <v>1.0986002388062959</v>
      </c>
      <c r="O10" s="157">
        <f>(VLOOKUP($A10,Hitters!$A$1:$R$401,11,FALSE)-AVERAGE(Rankings!V$2:V$651))/STDEV(Rankings!V$2:V$651)</f>
        <v>0.30722438834813154</v>
      </c>
      <c r="P10" s="157">
        <f>(VLOOKUP($A10,Hitters!$A$1:$R$401,12,FALSE)-AVERAGE(Rankings!W$2:W$651))/STDEV(Rankings!W$2:W$651)</f>
        <v>1.3312374168146006</v>
      </c>
      <c r="Q10" s="157">
        <f>(VLOOKUP($A10,Hitters!$A$1:$R$401,13,FALSE)-AVERAGE(Rankings!X$2:X$651))/STDEV(Rankings!X$2:X$651)</f>
        <v>1.1136559450023522</v>
      </c>
      <c r="R10" s="118">
        <f>(VLOOKUP($A10,Hitters!$A1:$R401,16,FALSE)-AVERAGE(Rankings!Y2:Y651))/STDEV(Rankings!Y2:Y651)</f>
        <v>0.97822497773041683</v>
      </c>
      <c r="S10" s="118">
        <f>(VLOOKUP($A10,Hitters!$A1:$R401,17,FALSE)-AVERAGE(Rankings!Z2:Z651))/STDEV(Rankings!Z2:Z651)</f>
        <v>0.93408043806674657</v>
      </c>
      <c r="T10" s="118">
        <f>IFERROR((VLOOKUP($A10,Hitters!$A1:$R401,18,FALSE)-AVERAGE(Rankings!AA2:AA651))/STDEV(Rankings!AA2:AA651),0)</f>
        <v>0</v>
      </c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</row>
    <row r="11" spans="1:37" ht="18.600000000000001" customHeight="1">
      <c r="A11" s="166" t="s">
        <v>760</v>
      </c>
      <c r="B11" s="167" t="s">
        <v>176</v>
      </c>
      <c r="C11" s="117" t="s">
        <v>7</v>
      </c>
      <c r="D11" s="67">
        <f>(F11*Settings!$C$2)+(G11*Settings!$C$3)+(H11*Settings!$C$4)+(I11*Settings!$C$5)+(J11*Settings!$C$6)+(M11*Settings!$C$9)+(N11*Settings!$C$10)+(O11*Settings!$C$11)+(P11*Settings!$C$12)+(Q11*Settings!$C$13)+(T11*Settings!$C$16)+(K11*Settings!$C$7)+(L11*Settings!$C$8)+(R11*Settings!$C$14)+(S11*Settings!$C$15)</f>
        <v>-2.1413165439428243</v>
      </c>
      <c r="E11" s="67"/>
      <c r="F11" s="118">
        <f>(VLOOKUP($A11,Hitters!$A1:$R401,4,FALSE)-AVERAGE(Rankings!M2:M651))/STDEV(Rankings!M2:M651)</f>
        <v>8.2865029263854625E-3</v>
      </c>
      <c r="G11" s="118">
        <f>(VLOOKUP($A11,Hitters!$A1:$R401,5,FALSE)-AVERAGE(Rankings!N2:N651))/STDEV(Rankings!N2:N651)</f>
        <v>-0.40950095850711954</v>
      </c>
      <c r="H11" s="118">
        <f>(VLOOKUP($A11,Hitters!$A1:$R401,6,FALSE)-AVERAGE(Rankings!O2:O651))/STDEV(Rankings!O2:O651)</f>
        <v>-0.22022884690614677</v>
      </c>
      <c r="I11" s="118">
        <f>(VLOOKUP($A11,Hitters!$A1:$R401,7,FALSE)-AVERAGE(Rankings!P2:P651))/STDEV(Rankings!P2:P651)</f>
        <v>-0.20025312300023707</v>
      </c>
      <c r="J11" s="118">
        <f>(VLOOKUP($A11,Hitters!$A1:$R401,8,FALSE)-AVERAGE(Rankings!Q2:Q651))/STDEV(Rankings!Q2:Q651)</f>
        <v>-0.68368548223914571</v>
      </c>
      <c r="K11" s="157">
        <f>(VLOOKUP($A11,Hitters!$A$1:$R$401,14,FALSE)-AVERAGE(Rankings!R$2:R$651))/STDEV(Rankings!R$2:R$651)</f>
        <v>-0.62764813329017499</v>
      </c>
      <c r="L11" s="157">
        <f>(VLOOKUP($A11,Hitters!$A$1:$R$401,15,FALSE)-AVERAGE(Rankings!S$2:S$651))/STDEV(Rankings!S$2:S$651)</f>
        <v>-0.65267903266711091</v>
      </c>
      <c r="M11" s="157">
        <f>(VLOOKUP($A11,Hitters!$A$1:$R$401,9,FALSE)-AVERAGE(Rankings!T$2:T$651))/STDEV(Rankings!T$2:T$651)</f>
        <v>-0.15210608946158249</v>
      </c>
      <c r="N11" s="157">
        <f>(VLOOKUP($A11,Hitters!$A$1:$R$401,10,FALSE)-AVERAGE(Rankings!U$2:U$651))/STDEV(Rankings!U$2:U$651)</f>
        <v>0.84343145187017432</v>
      </c>
      <c r="O11" s="157">
        <f>(VLOOKUP($A11,Hitters!$A$1:$R$401,11,FALSE)-AVERAGE(Rankings!V$2:V$651))/STDEV(Rankings!V$2:V$651)</f>
        <v>-0.55118100840177164</v>
      </c>
      <c r="P11" s="157">
        <f>(VLOOKUP($A11,Hitters!$A$1:$R$401,12,FALSE)-AVERAGE(Rankings!W$2:W$651))/STDEV(Rankings!W$2:W$651)</f>
        <v>-1.8691776048033851E-2</v>
      </c>
      <c r="Q11" s="157">
        <f>(VLOOKUP($A11,Hitters!$A$1:$R$401,13,FALSE)-AVERAGE(Rankings!X$2:X$651))/STDEV(Rankings!X$2:X$651)</f>
        <v>0.33159097005307397</v>
      </c>
      <c r="R11" s="118">
        <f>(VLOOKUP($A11,Hitters!$A1:$R401,16,FALSE)-AVERAGE(Rankings!Y2:Y651))/STDEV(Rankings!Y2:Y651)</f>
        <v>-0.16502599506062174</v>
      </c>
      <c r="S11" s="118">
        <f>(VLOOKUP($A11,Hitters!$A1:$R401,17,FALSE)-AVERAGE(Rankings!Z2:Z651))/STDEV(Rankings!Z2:Z651)</f>
        <v>-0.37124700434718028</v>
      </c>
      <c r="T11" s="118">
        <f>IFERROR((VLOOKUP($A11,Hitters!$A1:$R401,18,FALSE)-AVERAGE(Rankings!AA2:AA651))/STDEV(Rankings!AA2:AA651),0)</f>
        <v>0</v>
      </c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</row>
    <row r="12" spans="1:37" ht="18.600000000000001" customHeight="1">
      <c r="A12" s="26" t="s">
        <v>260</v>
      </c>
      <c r="B12" s="27" t="s">
        <v>117</v>
      </c>
      <c r="C12" s="117" t="s">
        <v>7</v>
      </c>
      <c r="D12" s="67">
        <f>(F12*Settings!$C$2)+(G12*Settings!$C$3)+(H12*Settings!$C$4)+(I12*Settings!$C$5)+(J12*Settings!$C$6)+(M12*Settings!$C$9)+(N12*Settings!$C$10)+(O12*Settings!$C$11)+(P12*Settings!$C$12)+(Q12*Settings!$C$13)+(T12*Settings!$C$16)+(K12*Settings!$C$7)+(L12*Settings!$C$8)+(R12*Settings!$C$14)+(S12*Settings!$C$15)</f>
        <v>3.6296413186549121</v>
      </c>
      <c r="E12" s="67"/>
      <c r="F12" s="118">
        <f>(VLOOKUP($A12,Hitters!$A1:$R401,4,FALSE)-AVERAGE(Rankings!M2:M651))/STDEV(Rankings!M2:M651)</f>
        <v>0.93142804510866761</v>
      </c>
      <c r="G12" s="118">
        <f>(VLOOKUP($A12,Hitters!$A1:$R401,5,FALSE)-AVERAGE(Rankings!N2:N651))/STDEV(Rankings!N2:N651)</f>
        <v>0.79164208594112229</v>
      </c>
      <c r="H12" s="118">
        <f>(VLOOKUP($A12,Hitters!$A1:$R401,6,FALSE)-AVERAGE(Rankings!O2:O651))/STDEV(Rankings!O2:O651)</f>
        <v>0.79539150582662821</v>
      </c>
      <c r="I12" s="118">
        <f>(VLOOKUP($A12,Hitters!$A1:$R401,7,FALSE)-AVERAGE(Rankings!P2:P651))/STDEV(Rankings!P2:P651)</f>
        <v>1.1595987964116594</v>
      </c>
      <c r="J12" s="118">
        <f>(VLOOKUP($A12,Hitters!$A1:$R401,8,FALSE)-AVERAGE(Rankings!Q2:Q651))/STDEV(Rankings!Q2:Q651)</f>
        <v>-0.61019275405242945</v>
      </c>
      <c r="K12" s="157">
        <f>(VLOOKUP($A12,Hitters!$A$1:$R$401,14,FALSE)-AVERAGE(Rankings!R$2:R$651))/STDEV(Rankings!R$2:R$651)</f>
        <v>1.4932016845279317</v>
      </c>
      <c r="L12" s="157">
        <f>(VLOOKUP($A12,Hitters!$A$1:$R$401,15,FALSE)-AVERAGE(Rankings!S$2:S$651))/STDEV(Rankings!S$2:S$651)</f>
        <v>1.7357648585295331</v>
      </c>
      <c r="M12" s="157">
        <f>(VLOOKUP($A12,Hitters!$A$1:$R$401,9,FALSE)-AVERAGE(Rankings!T$2:T$651))/STDEV(Rankings!T$2:T$651)</f>
        <v>1.1710501895940986</v>
      </c>
      <c r="N12" s="157">
        <f>(VLOOKUP($A12,Hitters!$A$1:$R$401,10,FALSE)-AVERAGE(Rankings!U$2:U$651))/STDEV(Rankings!U$2:U$651)</f>
        <v>1.3214964135666847</v>
      </c>
      <c r="O12" s="157">
        <f>(VLOOKUP($A12,Hitters!$A$1:$R$401,11,FALSE)-AVERAGE(Rankings!V$2:V$651))/STDEV(Rankings!V$2:V$651)</f>
        <v>0.29005628041313325</v>
      </c>
      <c r="P12" s="157">
        <f>(VLOOKUP($A12,Hitters!$A$1:$R$401,12,FALSE)-AVERAGE(Rankings!W$2:W$651))/STDEV(Rankings!W$2:W$651)</f>
        <v>1.2566871386077132</v>
      </c>
      <c r="Q12" s="157">
        <f>(VLOOKUP($A12,Hitters!$A$1:$R$401,13,FALSE)-AVERAGE(Rankings!X$2:X$651))/STDEV(Rankings!X$2:X$651)</f>
        <v>-0.40893303187511187</v>
      </c>
      <c r="R12" s="118">
        <f>(VLOOKUP($A12,Hitters!$A1:$R401,16,FALSE)-AVERAGE(Rankings!Y2:Y651))/STDEV(Rankings!Y2:Y651)</f>
        <v>1.2273142676594273</v>
      </c>
      <c r="S12" s="118">
        <f>(VLOOKUP($A12,Hitters!$A1:$R401,17,FALSE)-AVERAGE(Rankings!Z2:Z651))/STDEV(Rankings!Z2:Z651)</f>
        <v>1.5506714235228516</v>
      </c>
      <c r="T12" s="118">
        <f>IFERROR((VLOOKUP($A12,Hitters!$A1:$R401,18,FALSE)-AVERAGE(Rankings!AA2:AA651))/STDEV(Rankings!AA2:AA651),0)</f>
        <v>0</v>
      </c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37" ht="18.600000000000001" customHeight="1">
      <c r="A13" s="26" t="s">
        <v>271</v>
      </c>
      <c r="B13" s="27" t="s">
        <v>99</v>
      </c>
      <c r="C13" s="117" t="s">
        <v>7</v>
      </c>
      <c r="D13" s="67">
        <f>(F13*Settings!$C$2)+(G13*Settings!$C$3)+(H13*Settings!$C$4)+(I13*Settings!$C$5)+(J13*Settings!$C$6)+(M13*Settings!$C$9)+(N13*Settings!$C$10)+(O13*Settings!$C$11)+(P13*Settings!$C$12)+(Q13*Settings!$C$13)+(T13*Settings!$C$16)+(K13*Settings!$C$7)+(L13*Settings!$C$8)+(R13*Settings!$C$14)+(S13*Settings!$C$15)</f>
        <v>4.0678561500385948</v>
      </c>
      <c r="E13" s="67"/>
      <c r="F13" s="118">
        <f>(VLOOKUP($A13,Hitters!$A1:$R401,4,FALSE)-AVERAGE(Rankings!M2:M651))/STDEV(Rankings!M2:M651)</f>
        <v>1.2252009850837535</v>
      </c>
      <c r="G13" s="118">
        <f>(VLOOKUP($A13,Hitters!$A1:$R401,5,FALSE)-AVERAGE(Rankings!N2:N651))/STDEV(Rankings!N2:N651)</f>
        <v>0.86986395312263998</v>
      </c>
      <c r="H13" s="118">
        <f>(VLOOKUP($A13,Hitters!$A1:$R401,6,FALSE)-AVERAGE(Rankings!O2:O651))/STDEV(Rankings!O2:O651)</f>
        <v>1.4225266248700565</v>
      </c>
      <c r="I13" s="118">
        <f>(VLOOKUP($A13,Hitters!$A1:$R401,7,FALSE)-AVERAGE(Rankings!P2:P651))/STDEV(Rankings!P2:P651)</f>
        <v>1.5019288165525972</v>
      </c>
      <c r="J13" s="118">
        <f>(VLOOKUP($A13,Hitters!$A1:$R401,8,FALSE)-AVERAGE(Rankings!Q2:Q651))/STDEV(Rankings!Q2:Q651)</f>
        <v>-0.32873461183735531</v>
      </c>
      <c r="K13" s="157">
        <f>(VLOOKUP($A13,Hitters!$A$1:$R$401,14,FALSE)-AVERAGE(Rankings!R$2:R$651))/STDEV(Rankings!R$2:R$651)</f>
        <v>0.602271367330656</v>
      </c>
      <c r="L13" s="157">
        <f>(VLOOKUP($A13,Hitters!$A$1:$R$401,15,FALSE)-AVERAGE(Rankings!S$2:S$651))/STDEV(Rankings!S$2:S$651)</f>
        <v>9.8783666022070449E-2</v>
      </c>
      <c r="M13" s="157">
        <f>(VLOOKUP($A13,Hitters!$A$1:$R$401,9,FALSE)-AVERAGE(Rankings!T$2:T$651))/STDEV(Rankings!T$2:T$651)</f>
        <v>1.2073252564676022</v>
      </c>
      <c r="N13" s="157">
        <f>(VLOOKUP($A13,Hitters!$A$1:$R$401,10,FALSE)-AVERAGE(Rankings!U$2:U$651))/STDEV(Rankings!U$2:U$651)</f>
        <v>0.85504959225343835</v>
      </c>
      <c r="O13" s="157">
        <f>(VLOOKUP($A13,Hitters!$A$1:$R$401,11,FALSE)-AVERAGE(Rankings!V$2:V$651))/STDEV(Rankings!V$2:V$651)</f>
        <v>-0.54831965707927199</v>
      </c>
      <c r="P13" s="157">
        <f>(VLOOKUP($A13,Hitters!$A$1:$R$401,12,FALSE)-AVERAGE(Rankings!W$2:W$651))/STDEV(Rankings!W$2:W$651)</f>
        <v>0.38037147788295067</v>
      </c>
      <c r="Q13" s="157">
        <f>(VLOOKUP($A13,Hitters!$A$1:$R$401,13,FALSE)-AVERAGE(Rankings!X$2:X$651))/STDEV(Rankings!X$2:X$651)</f>
        <v>1.5952528157769765</v>
      </c>
      <c r="R13" s="118">
        <f>(VLOOKUP($A13,Hitters!$A1:$R401,16,FALSE)-AVERAGE(Rankings!Y2:Y651))/STDEV(Rankings!Y2:Y651)</f>
        <v>0.92733346078658696</v>
      </c>
      <c r="S13" s="118">
        <f>(VLOOKUP($A13,Hitters!$A1:$R401,17,FALSE)-AVERAGE(Rankings!Z2:Z651))/STDEV(Rankings!Z2:Z651)</f>
        <v>0.7151659867841299</v>
      </c>
      <c r="T13" s="118">
        <f>IFERROR((VLOOKUP($A13,Hitters!$A1:$R401,18,FALSE)-AVERAGE(Rankings!AA2:AA651))/STDEV(Rankings!AA2:AA651),0)</f>
        <v>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</row>
    <row r="14" spans="1:37" ht="18.600000000000001" customHeight="1">
      <c r="A14" s="26" t="s">
        <v>284</v>
      </c>
      <c r="B14" s="27" t="s">
        <v>71</v>
      </c>
      <c r="C14" s="117" t="s">
        <v>7</v>
      </c>
      <c r="D14" s="67">
        <f>(F14*Settings!$C$2)+(G14*Settings!$C$3)+(H14*Settings!$C$4)+(I14*Settings!$C$5)+(J14*Settings!$C$6)+(M14*Settings!$C$9)+(N14*Settings!$C$10)+(O14*Settings!$C$11)+(P14*Settings!$C$12)+(Q14*Settings!$C$13)+(T14*Settings!$C$16)+(K14*Settings!$C$7)+(L14*Settings!$C$8)+(R14*Settings!$C$14)+(S14*Settings!$C$15)</f>
        <v>3.0069350437781788</v>
      </c>
      <c r="E14" s="67"/>
      <c r="F14" s="118">
        <f>(VLOOKUP($A14,Hitters!$A1:$R401,4,FALSE)-AVERAGE(Rankings!M2:M651))/STDEV(Rankings!M2:M651)</f>
        <v>1.2313687804873146</v>
      </c>
      <c r="G14" s="118">
        <f>(VLOOKUP($A14,Hitters!$A1:$R401,5,FALSE)-AVERAGE(Rankings!N2:N651))/STDEV(Rankings!N2:N651)</f>
        <v>0.98693052063546394</v>
      </c>
      <c r="H14" s="118">
        <f>(VLOOKUP($A14,Hitters!$A1:$R401,6,FALSE)-AVERAGE(Rankings!O2:O651))/STDEV(Rankings!O2:O651)</f>
        <v>0.65147712662594848</v>
      </c>
      <c r="I14" s="118">
        <f>(VLOOKUP($A14,Hitters!$A1:$R401,7,FALSE)-AVERAGE(Rankings!P2:P651))/STDEV(Rankings!P2:P651)</f>
        <v>1.1072184855231799</v>
      </c>
      <c r="J14" s="118">
        <f>(VLOOKUP($A14,Hitters!$A1:$R401,8,FALSE)-AVERAGE(Rankings!Q2:Q651))/STDEV(Rankings!Q2:Q651)</f>
        <v>-0.96712349320924995</v>
      </c>
      <c r="K14" s="157">
        <f>(VLOOKUP($A14,Hitters!$A$1:$R$401,14,FALSE)-AVERAGE(Rankings!R$2:R$651))/STDEV(Rankings!R$2:R$651)</f>
        <v>1.2284324042028361</v>
      </c>
      <c r="L14" s="157">
        <f>(VLOOKUP($A14,Hitters!$A$1:$R$401,15,FALSE)-AVERAGE(Rankings!S$2:S$651))/STDEV(Rankings!S$2:S$651)</f>
        <v>0.42631912654086412</v>
      </c>
      <c r="M14" s="157">
        <f>(VLOOKUP($A14,Hitters!$A$1:$R$401,9,FALSE)-AVERAGE(Rankings!T$2:T$651))/STDEV(Rankings!T$2:T$651)</f>
        <v>1.3895093660668203</v>
      </c>
      <c r="N14" s="157">
        <f>(VLOOKUP($A14,Hitters!$A$1:$R$401,10,FALSE)-AVERAGE(Rankings!U$2:U$651))/STDEV(Rankings!U$2:U$651)</f>
        <v>1.2266866506859784</v>
      </c>
      <c r="O14" s="157">
        <f>(VLOOKUP($A14,Hitters!$A$1:$R$401,11,FALSE)-AVERAGE(Rankings!V$2:V$651))/STDEV(Rankings!V$2:V$651)</f>
        <v>-0.54688898141802222</v>
      </c>
      <c r="P14" s="157">
        <f>(VLOOKUP($A14,Hitters!$A$1:$R$401,12,FALSE)-AVERAGE(Rankings!W$2:W$651))/STDEV(Rankings!W$2:W$651)</f>
        <v>0.208784542185247</v>
      </c>
      <c r="Q14" s="157">
        <f>(VLOOKUP($A14,Hitters!$A$1:$R$401,13,FALSE)-AVERAGE(Rankings!X$2:X$651))/STDEV(Rankings!X$2:X$651)</f>
        <v>0.17434905389554661</v>
      </c>
      <c r="R14" s="118">
        <f>(VLOOKUP($A14,Hitters!$A1:$R401,16,FALSE)-AVERAGE(Rankings!Y2:Y651))/STDEV(Rankings!Y2:Y651)</f>
        <v>0.53671050211715243</v>
      </c>
      <c r="S14" s="118">
        <f>(VLOOKUP($A14,Hitters!$A1:$R401,17,FALSE)-AVERAGE(Rankings!Z2:Z651))/STDEV(Rankings!Z2:Z651)</f>
        <v>0.55287372225712483</v>
      </c>
      <c r="T14" s="118">
        <f>IFERROR((VLOOKUP($A14,Hitters!$A1:$R401,18,FALSE)-AVERAGE(Rankings!AA2:AA651))/STDEV(Rankings!AA2:AA651),0)</f>
        <v>0</v>
      </c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</row>
    <row r="15" spans="1:37" ht="18.600000000000001" customHeight="1">
      <c r="A15" s="26" t="s">
        <v>283</v>
      </c>
      <c r="B15" s="27" t="s">
        <v>68</v>
      </c>
      <c r="C15" s="117" t="s">
        <v>7</v>
      </c>
      <c r="D15" s="67">
        <f>(F15*Settings!$C$2)+(G15*Settings!$C$3)+(H15*Settings!$C$4)+(I15*Settings!$C$5)+(J15*Settings!$C$6)+(M15*Settings!$C$9)+(N15*Settings!$C$10)+(O15*Settings!$C$11)+(P15*Settings!$C$12)+(Q15*Settings!$C$13)+(T15*Settings!$C$16)+(K15*Settings!$C$7)+(L15*Settings!$C$8)+(R15*Settings!$C$14)+(S15*Settings!$C$15)</f>
        <v>3.477282080995117</v>
      </c>
      <c r="E15" s="67"/>
      <c r="F15" s="118">
        <f>(VLOOKUP($A15,Hitters!$A1:$R401,4,FALSE)-AVERAGE(Rankings!M2:M651))/STDEV(Rankings!M2:M651)</f>
        <v>0.77959888976347613</v>
      </c>
      <c r="G15" s="118">
        <f>(VLOOKUP($A15,Hitters!$A1:$R401,5,FALSE)-AVERAGE(Rankings!N2:N651))/STDEV(Rankings!N2:N651)</f>
        <v>1.0083052480370909</v>
      </c>
      <c r="H15" s="118">
        <f>(VLOOKUP($A15,Hitters!$A1:$R401,6,FALSE)-AVERAGE(Rankings!O2:O651))/STDEV(Rankings!O2:O651)</f>
        <v>1.4628588734456585</v>
      </c>
      <c r="I15" s="118">
        <f>(VLOOKUP($A15,Hitters!$A1:$R401,7,FALSE)-AVERAGE(Rankings!P2:P651))/STDEV(Rankings!P2:P651)</f>
        <v>1.1221588365880673</v>
      </c>
      <c r="J15" s="118">
        <f>(VLOOKUP($A15,Hitters!$A1:$R401,8,FALSE)-AVERAGE(Rankings!Q2:Q651))/STDEV(Rankings!Q2:Q651)</f>
        <v>9.8441870747931856E-2</v>
      </c>
      <c r="K15" s="157">
        <f>(VLOOKUP($A15,Hitters!$A$1:$R$401,14,FALSE)-AVERAGE(Rankings!R$2:R$651))/STDEV(Rankings!R$2:R$651)</f>
        <v>-0.21448274782363091</v>
      </c>
      <c r="L15" s="157">
        <f>(VLOOKUP($A15,Hitters!$A$1:$R$401,15,FALSE)-AVERAGE(Rankings!S$2:S$651))/STDEV(Rankings!S$2:S$651)</f>
        <v>0.46517515937687731</v>
      </c>
      <c r="M15" s="157">
        <f>(VLOOKUP($A15,Hitters!$A$1:$R$401,9,FALSE)-AVERAGE(Rankings!T$2:T$651))/STDEV(Rankings!T$2:T$651)</f>
        <v>0.59364458343912907</v>
      </c>
      <c r="N15" s="157">
        <f>(VLOOKUP($A15,Hitters!$A$1:$R$401,10,FALSE)-AVERAGE(Rankings!U$2:U$651))/STDEV(Rankings!U$2:U$651)</f>
        <v>0.22100033837422295</v>
      </c>
      <c r="O15" s="157">
        <f>(VLOOKUP($A15,Hitters!$A$1:$R$401,11,FALSE)-AVERAGE(Rankings!V$2:V$651))/STDEV(Rankings!V$2:V$651)</f>
        <v>-0.53258222480552375</v>
      </c>
      <c r="P15" s="157">
        <f>(VLOOKUP($A15,Hitters!$A$1:$R$401,12,FALSE)-AVERAGE(Rankings!W$2:W$651))/STDEV(Rankings!W$2:W$651)</f>
        <v>1.1286733943025202</v>
      </c>
      <c r="Q15" s="157">
        <f>(VLOOKUP($A15,Hitters!$A$1:$R$401,13,FALSE)-AVERAGE(Rankings!X$2:X$651))/STDEV(Rankings!X$2:X$651)</f>
        <v>0.14714019113991836</v>
      </c>
      <c r="R15" s="118">
        <f>(VLOOKUP($A15,Hitters!$A1:$R401,16,FALSE)-AVERAGE(Rankings!Y2:Y651))/STDEV(Rankings!Y2:Y651)</f>
        <v>0.90801843319562725</v>
      </c>
      <c r="S15" s="118">
        <f>(VLOOKUP($A15,Hitters!$A1:$R401,17,FALSE)-AVERAGE(Rankings!Z2:Z651))/STDEV(Rankings!Z2:Z651)</f>
        <v>0.83896154733730777</v>
      </c>
      <c r="T15" s="118">
        <f>IFERROR((VLOOKUP($A15,Hitters!$A1:$R401,18,FALSE)-AVERAGE(Rankings!AA2:AA651))/STDEV(Rankings!AA2:AA651),0)</f>
        <v>0</v>
      </c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</row>
    <row r="16" spans="1:37" ht="18.600000000000001" customHeight="1">
      <c r="A16" s="26" t="s">
        <v>318</v>
      </c>
      <c r="B16" s="27" t="s">
        <v>76</v>
      </c>
      <c r="C16" s="117" t="s">
        <v>7</v>
      </c>
      <c r="D16" s="67">
        <f>(F16*Settings!$C$2)+(G16*Settings!$C$3)+(H16*Settings!$C$4)+(I16*Settings!$C$5)+(J16*Settings!$C$6)+(M16*Settings!$C$9)+(N16*Settings!$C$10)+(O16*Settings!$C$11)+(P16*Settings!$C$12)+(Q16*Settings!$C$13)+(T16*Settings!$C$16)+(K16*Settings!$C$7)+(L16*Settings!$C$8)+(R16*Settings!$C$14)+(S16*Settings!$C$15)</f>
        <v>2.8508570228839623</v>
      </c>
      <c r="E16" s="67"/>
      <c r="F16" s="118">
        <f>(VLOOKUP($A16,Hitters!$A1:$R401,4,FALSE)-AVERAGE(Rankings!M2:M651))/STDEV(Rankings!M2:M651)</f>
        <v>0.99783745863193973</v>
      </c>
      <c r="G16" s="118">
        <f>(VLOOKUP($A16,Hitters!$A1:$R401,5,FALSE)-AVERAGE(Rankings!N2:N651))/STDEV(Rankings!N2:N651)</f>
        <v>0.95046924186495485</v>
      </c>
      <c r="H16" s="118">
        <f>(VLOOKUP($A16,Hitters!$A1:$R401,6,FALSE)-AVERAGE(Rankings!O2:O651))/STDEV(Rankings!O2:O651)</f>
        <v>0.789540195152448</v>
      </c>
      <c r="I16" s="118">
        <f>(VLOOKUP($A16,Hitters!$A1:$R401,7,FALSE)-AVERAGE(Rankings!P2:P651))/STDEV(Rankings!P2:P651)</f>
        <v>1.2522951483338378</v>
      </c>
      <c r="J16" s="118">
        <f>(VLOOKUP($A16,Hitters!$A1:$R401,8,FALSE)-AVERAGE(Rankings!Q2:Q651))/STDEV(Rankings!Q2:Q651)</f>
        <v>-0.87723745173088497</v>
      </c>
      <c r="K16" s="157">
        <f>(VLOOKUP($A16,Hitters!$A$1:$R$401,14,FALSE)-AVERAGE(Rankings!R$2:R$651))/STDEV(Rankings!R$2:R$651)</f>
        <v>0.73578988926360667</v>
      </c>
      <c r="L16" s="157">
        <f>(VLOOKUP($A16,Hitters!$A$1:$R$401,15,FALSE)-AVERAGE(Rankings!S$2:S$651))/STDEV(Rankings!S$2:S$651)</f>
        <v>1.5810578279280465</v>
      </c>
      <c r="M16" s="157">
        <f>(VLOOKUP($A16,Hitters!$A$1:$R$401,9,FALSE)-AVERAGE(Rankings!T$2:T$651))/STDEV(Rankings!T$2:T$651)</f>
        <v>1.0344270847137902</v>
      </c>
      <c r="N16" s="157">
        <f>(VLOOKUP($A16,Hitters!$A$1:$R$401,10,FALSE)-AVERAGE(Rankings!U$2:U$651))/STDEV(Rankings!U$2:U$651)</f>
        <v>0.81962143577607915</v>
      </c>
      <c r="O16" s="157">
        <f>(VLOOKUP($A16,Hitters!$A$1:$R$401,11,FALSE)-AVERAGE(Rankings!V$2:V$651))/STDEV(Rankings!V$2:V$651)</f>
        <v>0.30722438834813154</v>
      </c>
      <c r="P16" s="157">
        <f>(VLOOKUP($A16,Hitters!$A$1:$R$401,12,FALSE)-AVERAGE(Rankings!W$2:W$651))/STDEV(Rankings!W$2:W$651)</f>
        <v>1.7846971816274562</v>
      </c>
      <c r="Q16" s="157">
        <f>(VLOOKUP($A16,Hitters!$A$1:$R$401,13,FALSE)-AVERAGE(Rankings!X$2:X$651))/STDEV(Rankings!X$2:X$651)</f>
        <v>0.31735377442512885</v>
      </c>
      <c r="R16" s="118">
        <f>(VLOOKUP($A16,Hitters!$A1:$R401,16,FALSE)-AVERAGE(Rankings!Y2:Y651))/STDEV(Rankings!Y2:Y651)</f>
        <v>0.63689473523477036</v>
      </c>
      <c r="S16" s="118">
        <f>(VLOOKUP($A16,Hitters!$A1:$R401,17,FALSE)-AVERAGE(Rankings!Z2:Z651))/STDEV(Rankings!Z2:Z651)</f>
        <v>1.0607835118444229</v>
      </c>
      <c r="T16" s="118">
        <f>IFERROR((VLOOKUP($A16,Hitters!$A1:$R401,18,FALSE)-AVERAGE(Rankings!AA2:AA651))/STDEV(Rankings!AA2:AA651),0)</f>
        <v>0</v>
      </c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</row>
    <row r="17" spans="1:37" ht="18.600000000000001" customHeight="1">
      <c r="A17" s="26" t="s">
        <v>328</v>
      </c>
      <c r="B17" s="27" t="s">
        <v>114</v>
      </c>
      <c r="C17" s="117" t="s">
        <v>7</v>
      </c>
      <c r="D17" s="67">
        <f>(F17*Settings!$C$2)+(G17*Settings!$C$3)+(H17*Settings!$C$4)+(I17*Settings!$C$5)+(J17*Settings!$C$6)+(M17*Settings!$C$9)+(N17*Settings!$C$10)+(O17*Settings!$C$11)+(P17*Settings!$C$12)+(Q17*Settings!$C$13)+(T17*Settings!$C$16)+(K17*Settings!$C$7)+(L17*Settings!$C$8)+(R17*Settings!$C$14)+(S17*Settings!$C$15)</f>
        <v>3.0608173675499879</v>
      </c>
      <c r="E17" s="67"/>
      <c r="F17" s="118">
        <f>(VLOOKUP($A17,Hitters!$A1:$R401,4,FALSE)-AVERAGE(Rankings!M2:M651))/STDEV(Rankings!M2:M651)</f>
        <v>1.1309942470704608</v>
      </c>
      <c r="G17" s="118">
        <f>(VLOOKUP($A17,Hitters!$A1:$R401,5,FALSE)-AVERAGE(Rankings!N2:N651))/STDEV(Rankings!N2:N651)</f>
        <v>0.81583127922837273</v>
      </c>
      <c r="H17" s="118">
        <f>(VLOOKUP($A17,Hitters!$A1:$R401,6,FALSE)-AVERAGE(Rankings!O2:O651))/STDEV(Rankings!O2:O651)</f>
        <v>0.9990728440564387</v>
      </c>
      <c r="I17" s="118">
        <f>(VLOOKUP($A17,Hitters!$A1:$R401,7,FALSE)-AVERAGE(Rankings!P2:P651))/STDEV(Rankings!P2:P651)</f>
        <v>1.1400007209091672</v>
      </c>
      <c r="J17" s="118">
        <f>(VLOOKUP($A17,Hitters!$A1:$R401,8,FALSE)-AVERAGE(Rankings!Q2:Q651))/STDEV(Rankings!Q2:Q651)</f>
        <v>-0.80841721380603981</v>
      </c>
      <c r="K17" s="157">
        <f>(VLOOKUP($A17,Hitters!$A$1:$R$401,14,FALSE)-AVERAGE(Rankings!R$2:R$651))/STDEV(Rankings!R$2:R$651)</f>
        <v>0.91432973716204913</v>
      </c>
      <c r="L17" s="157">
        <f>(VLOOKUP($A17,Hitters!$A$1:$R$401,15,FALSE)-AVERAGE(Rankings!S$2:S$651))/STDEV(Rankings!S$2:S$651)</f>
        <v>0.439442186160799</v>
      </c>
      <c r="M17" s="157">
        <f>(VLOOKUP($A17,Hitters!$A$1:$R$401,9,FALSE)-AVERAGE(Rankings!T$2:T$651))/STDEV(Rankings!T$2:T$651)</f>
        <v>1.2068160276180155</v>
      </c>
      <c r="N17" s="157">
        <f>(VLOOKUP($A17,Hitters!$A$1:$R$401,10,FALSE)-AVERAGE(Rankings!U$2:U$651))/STDEV(Rankings!U$2:U$651)</f>
        <v>1.3171933986099207</v>
      </c>
      <c r="O17" s="157">
        <f>(VLOOKUP($A17,Hitters!$A$1:$R$401,11,FALSE)-AVERAGE(Rankings!V$2:V$651))/STDEV(Rankings!V$2:V$651)</f>
        <v>-0.54975033274052176</v>
      </c>
      <c r="P17" s="157">
        <f>(VLOOKUP($A17,Hitters!$A$1:$R$401,12,FALSE)-AVERAGE(Rankings!W$2:W$651))/STDEV(Rankings!W$2:W$651)</f>
        <v>0.43691399176702278</v>
      </c>
      <c r="Q17" s="157">
        <f>(VLOOKUP($A17,Hitters!$A$1:$R$401,13,FALSE)-AVERAGE(Rankings!X$2:X$651))/STDEV(Rankings!X$2:X$651)</f>
        <v>0.34082932810498523</v>
      </c>
      <c r="R17" s="118">
        <f>(VLOOKUP($A17,Hitters!$A1:$R401,16,FALSE)-AVERAGE(Rankings!Y2:Y651))/STDEV(Rankings!Y2:Y651)</f>
        <v>0.88280726069676252</v>
      </c>
      <c r="S17" s="118">
        <f>(VLOOKUP($A17,Hitters!$A1:$R401,17,FALSE)-AVERAGE(Rankings!Z2:Z651))/STDEV(Rankings!Z2:Z651)</f>
        <v>0.81084338592645222</v>
      </c>
      <c r="T17" s="118">
        <f>IFERROR((VLOOKUP($A17,Hitters!$A1:$R401,18,FALSE)-AVERAGE(Rankings!AA2:AA651))/STDEV(Rankings!AA2:AA651),0)</f>
        <v>0</v>
      </c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</row>
    <row r="18" spans="1:37" ht="18.600000000000001" customHeight="1">
      <c r="A18" s="26" t="s">
        <v>340</v>
      </c>
      <c r="B18" s="27" t="s">
        <v>97</v>
      </c>
      <c r="C18" s="117" t="s">
        <v>7</v>
      </c>
      <c r="D18" s="67">
        <f>(F18*Settings!$C$2)+(G18*Settings!$C$3)+(H18*Settings!$C$4)+(I18*Settings!$C$5)+(J18*Settings!$C$6)+(M18*Settings!$C$9)+(N18*Settings!$C$10)+(O18*Settings!$C$11)+(P18*Settings!$C$12)+(Q18*Settings!$C$13)+(T18*Settings!$C$16)+(K18*Settings!$C$7)+(L18*Settings!$C$8)+(R18*Settings!$C$14)+(S18*Settings!$C$15)</f>
        <v>3.3445306264920776</v>
      </c>
      <c r="E18" s="67"/>
      <c r="F18" s="118">
        <f>(VLOOKUP($A18,Hitters!$A1:$R401,4,FALSE)-AVERAGE(Rankings!M2:M651))/STDEV(Rankings!M2:M651)</f>
        <v>0.7718257777480293</v>
      </c>
      <c r="G18" s="118">
        <f>(VLOOKUP($A18,Hitters!$A1:$R401,5,FALSE)-AVERAGE(Rankings!N2:N651))/STDEV(Rankings!N2:N651)</f>
        <v>0.73195512472708979</v>
      </c>
      <c r="H18" s="118">
        <f>(VLOOKUP($A18,Hitters!$A1:$R401,6,FALSE)-AVERAGE(Rankings!O2:O651))/STDEV(Rankings!O2:O651)</f>
        <v>1.8946020110476975</v>
      </c>
      <c r="I18" s="118">
        <f>(VLOOKUP($A18,Hitters!$A1:$R401,7,FALSE)-AVERAGE(Rankings!P2:P651))/STDEV(Rankings!P2:P651)</f>
        <v>1.435982565089015</v>
      </c>
      <c r="J18" s="118">
        <f>(VLOOKUP($A18,Hitters!$A1:$R401,8,FALSE)-AVERAGE(Rankings!Q2:Q651))/STDEV(Rankings!Q2:Q651)</f>
        <v>-0.68495259824236487</v>
      </c>
      <c r="K18" s="157">
        <f>(VLOOKUP($A18,Hitters!$A$1:$R$401,14,FALSE)-AVERAGE(Rankings!R$2:R$651))/STDEV(Rankings!R$2:R$651)</f>
        <v>-3.3056476129360246E-2</v>
      </c>
      <c r="L18" s="157">
        <f>(VLOOKUP($A18,Hitters!$A$1:$R$401,15,FALSE)-AVERAGE(Rankings!S$2:S$651))/STDEV(Rankings!S$2:S$651)</f>
        <v>0.36755633750020827</v>
      </c>
      <c r="M18" s="157">
        <f>(VLOOKUP($A18,Hitters!$A$1:$R$401,9,FALSE)-AVERAGE(Rankings!T$2:T$651))/STDEV(Rankings!T$2:T$651)</f>
        <v>0.63243583992235597</v>
      </c>
      <c r="N18" s="157">
        <f>(VLOOKUP($A18,Hitters!$A$1:$R$401,10,FALSE)-AVERAGE(Rankings!U$2:U$651))/STDEV(Rankings!U$2:U$651)</f>
        <v>0.53304063965557802</v>
      </c>
      <c r="O18" s="157">
        <f>(VLOOKUP($A18,Hitters!$A$1:$R$401,11,FALSE)-AVERAGE(Rankings!V$2:V$651))/STDEV(Rankings!V$2:V$651)</f>
        <v>-0.55118100840177164</v>
      </c>
      <c r="P18" s="157">
        <f>(VLOOKUP($A18,Hitters!$A$1:$R$401,12,FALSE)-AVERAGE(Rankings!W$2:W$651))/STDEV(Rankings!W$2:W$651)</f>
        <v>0.87973704604723224</v>
      </c>
      <c r="Q18" s="157">
        <f>(VLOOKUP($A18,Hitters!$A$1:$R$401,13,FALSE)-AVERAGE(Rankings!X$2:X$651))/STDEV(Rankings!X$2:X$651)</f>
        <v>0.48361258114702133</v>
      </c>
      <c r="R18" s="118">
        <f>(VLOOKUP($A18,Hitters!$A1:$R401,16,FALSE)-AVERAGE(Rankings!Y2:Y651))/STDEV(Rankings!Y2:Y651)</f>
        <v>1.6072382844543887</v>
      </c>
      <c r="S18" s="118">
        <f>(VLOOKUP($A18,Hitters!$A1:$R401,17,FALSE)-AVERAGE(Rankings!Z2:Z651))/STDEV(Rankings!Z2:Z651)</f>
        <v>1.3134126886908961</v>
      </c>
      <c r="T18" s="118">
        <f>IFERROR((VLOOKUP($A18,Hitters!$A1:$R401,18,FALSE)-AVERAGE(Rankings!AA2:AA651))/STDEV(Rankings!AA2:AA651),0)</f>
        <v>0</v>
      </c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</row>
    <row r="19" spans="1:37" ht="18.600000000000001" customHeight="1">
      <c r="A19" s="26" t="s">
        <v>339</v>
      </c>
      <c r="B19" s="27" t="s">
        <v>76</v>
      </c>
      <c r="C19" s="117" t="s">
        <v>7</v>
      </c>
      <c r="D19" s="67">
        <f>(F19*Settings!$C$2)+(G19*Settings!$C$3)+(H19*Settings!$C$4)+(I19*Settings!$C$5)+(J19*Settings!$C$6)+(M19*Settings!$C$9)+(N19*Settings!$C$10)+(O19*Settings!$C$11)+(P19*Settings!$C$12)+(Q19*Settings!$C$13)+(T19*Settings!$C$16)+(K19*Settings!$C$7)+(L19*Settings!$C$8)+(R19*Settings!$C$14)+(S19*Settings!$C$15)</f>
        <v>2.9215568031258474</v>
      </c>
      <c r="E19" s="67"/>
      <c r="F19" s="118">
        <f>(VLOOKUP($A19,Hitters!$A1:$R401,4,FALSE)-AVERAGE(Rankings!M2:M651))/STDEV(Rankings!M2:M651)</f>
        <v>0.71792093572786708</v>
      </c>
      <c r="G19" s="118">
        <f>(VLOOKUP($A19,Hitters!$A1:$R401,5,FALSE)-AVERAGE(Rankings!N2:N651))/STDEV(Rankings!N2:N651)</f>
        <v>0.4950328793643356</v>
      </c>
      <c r="H19" s="118">
        <f>(VLOOKUP($A19,Hitters!$A1:$R401,6,FALSE)-AVERAGE(Rankings!O2:O651))/STDEV(Rankings!O2:O651)</f>
        <v>0.70678594418903673</v>
      </c>
      <c r="I19" s="118">
        <f>(VLOOKUP($A19,Hitters!$A1:$R401,7,FALSE)-AVERAGE(Rankings!P2:P651))/STDEV(Rankings!P2:P651)</f>
        <v>1.0087190670885762</v>
      </c>
      <c r="J19" s="118">
        <f>(VLOOKUP($A19,Hitters!$A1:$R401,8,FALSE)-AVERAGE(Rankings!Q2:Q651))/STDEV(Rankings!Q2:Q651)</f>
        <v>-0.25635061015345606</v>
      </c>
      <c r="K19" s="157">
        <f>(VLOOKUP($A19,Hitters!$A$1:$R$401,14,FALSE)-AVERAGE(Rankings!R$2:R$651))/STDEV(Rankings!R$2:R$651)</f>
        <v>0.96736952263735465</v>
      </c>
      <c r="L19" s="157">
        <f>(VLOOKUP($A19,Hitters!$A$1:$R$401,15,FALSE)-AVERAGE(Rankings!S$2:S$651))/STDEV(Rankings!S$2:S$651)</f>
        <v>0.60490271508399829</v>
      </c>
      <c r="M19" s="157">
        <f>(VLOOKUP($A19,Hitters!$A$1:$R$401,9,FALSE)-AVERAGE(Rankings!T$2:T$651))/STDEV(Rankings!T$2:T$651)</f>
        <v>0.83250286853353261</v>
      </c>
      <c r="N19" s="157">
        <f>(VLOOKUP($A19,Hitters!$A$1:$R$401,10,FALSE)-AVERAGE(Rankings!U$2:U$651))/STDEV(Rankings!U$2:U$651)</f>
        <v>0.99855514106152643</v>
      </c>
      <c r="O19" s="157">
        <f>(VLOOKUP($A19,Hitters!$A$1:$R$401,11,FALSE)-AVERAGE(Rankings!V$2:V$651))/STDEV(Rankings!V$2:V$651)</f>
        <v>-0.55404235972427129</v>
      </c>
      <c r="P19" s="157">
        <f>(VLOOKUP($A19,Hitters!$A$1:$R$401,12,FALSE)-AVERAGE(Rankings!W$2:W$651))/STDEV(Rankings!W$2:W$651)</f>
        <v>0.31020651015882206</v>
      </c>
      <c r="Q19" s="157">
        <f>(VLOOKUP($A19,Hitters!$A$1:$R$401,13,FALSE)-AVERAGE(Rankings!X$2:X$651))/STDEV(Rankings!X$2:X$651)</f>
        <v>-0.27178138065924023</v>
      </c>
      <c r="R19" s="118">
        <f>(VLOOKUP($A19,Hitters!$A1:$R401,16,FALSE)-AVERAGE(Rankings!Y2:Y651))/STDEV(Rankings!Y2:Y651)</f>
        <v>0.92612901518365842</v>
      </c>
      <c r="S19" s="118">
        <f>(VLOOKUP($A19,Hitters!$A1:$R401,17,FALSE)-AVERAGE(Rankings!Z2:Z651))/STDEV(Rankings!Z2:Z651)</f>
        <v>0.90479821627536972</v>
      </c>
      <c r="T19" s="118">
        <f>IFERROR((VLOOKUP($A19,Hitters!$A1:$R401,18,FALSE)-AVERAGE(Rankings!AA2:AA651))/STDEV(Rankings!AA2:AA651),0)</f>
        <v>0</v>
      </c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</row>
    <row r="20" spans="1:37" ht="18.600000000000001" customHeight="1">
      <c r="A20" s="26" t="s">
        <v>366</v>
      </c>
      <c r="B20" s="27" t="s">
        <v>81</v>
      </c>
      <c r="C20" s="117" t="s">
        <v>7</v>
      </c>
      <c r="D20" s="67">
        <f>(F20*Settings!$C$2)+(G20*Settings!$C$3)+(H20*Settings!$C$4)+(I20*Settings!$C$5)+(J20*Settings!$C$6)+(M20*Settings!$C$9)+(N20*Settings!$C$10)+(O20*Settings!$C$11)+(P20*Settings!$C$12)+(Q20*Settings!$C$13)+(T20*Settings!$C$16)+(K20*Settings!$C$7)+(L20*Settings!$C$8)+(R20*Settings!$C$14)+(S20*Settings!$C$15)</f>
        <v>2.4772588685216395</v>
      </c>
      <c r="E20" s="67"/>
      <c r="F20" s="118">
        <f>(VLOOKUP($A20,Hitters!$A1:$R401,4,FALSE)-AVERAGE(Rankings!M2:M651))/STDEV(Rankings!M2:M651)</f>
        <v>0.73963495516232081</v>
      </c>
      <c r="G20" s="118">
        <f>(VLOOKUP($A20,Hitters!$A1:$R401,5,FALSE)-AVERAGE(Rankings!N2:N651))/STDEV(Rankings!N2:N651)</f>
        <v>1.1626951829700753</v>
      </c>
      <c r="H20" s="118">
        <f>(VLOOKUP($A20,Hitters!$A1:$R401,6,FALSE)-AVERAGE(Rankings!O2:O651))/STDEV(Rankings!O2:O651)</f>
        <v>1.5263873893367612</v>
      </c>
      <c r="I20" s="118">
        <f>(VLOOKUP($A20,Hitters!$A1:$R401,7,FALSE)-AVERAGE(Rankings!P2:P651))/STDEV(Rankings!P2:P651)</f>
        <v>1.292407572998679</v>
      </c>
      <c r="J20" s="118">
        <f>(VLOOKUP($A20,Hitters!$A1:$R401,8,FALSE)-AVERAGE(Rankings!Q2:Q651))/STDEV(Rankings!Q2:Q651)</f>
        <v>-0.68384387173954808</v>
      </c>
      <c r="K20" s="157">
        <f>(VLOOKUP($A20,Hitters!$A$1:$R$401,14,FALSE)-AVERAGE(Rankings!R$2:R$651))/STDEV(Rankings!R$2:R$651)</f>
        <v>-0.82038740504432794</v>
      </c>
      <c r="L20" s="157">
        <f>(VLOOKUP($A20,Hitters!$A$1:$R$401,15,FALSE)-AVERAGE(Rankings!S$2:S$651))/STDEV(Rankings!S$2:S$651)</f>
        <v>1.3819415245997313</v>
      </c>
      <c r="M20" s="157">
        <f>(VLOOKUP($A20,Hitters!$A$1:$R$401,9,FALSE)-AVERAGE(Rankings!T$2:T$651))/STDEV(Rankings!T$2:T$651)</f>
        <v>0.40864473784807831</v>
      </c>
      <c r="N20" s="157">
        <f>(VLOOKUP($A20,Hitters!$A$1:$R$401,10,FALSE)-AVERAGE(Rankings!U$2:U$651))/STDEV(Rankings!U$2:U$651)</f>
        <v>0.4187238756375406</v>
      </c>
      <c r="O20" s="157">
        <f>(VLOOKUP($A20,Hitters!$A$1:$R$401,11,FALSE)-AVERAGE(Rankings!V$2:V$651))/STDEV(Rankings!V$2:V$651)</f>
        <v>-0.54975033274052176</v>
      </c>
      <c r="P20" s="157">
        <f>(VLOOKUP($A20,Hitters!$A$1:$R$401,12,FALSE)-AVERAGE(Rankings!W$2:W$651))/STDEV(Rankings!W$2:W$651)</f>
        <v>2.5550189549391731</v>
      </c>
      <c r="Q20" s="157">
        <f>(VLOOKUP($A20,Hitters!$A$1:$R$401,13,FALSE)-AVERAGE(Rankings!X$2:X$651))/STDEV(Rankings!X$2:X$651)</f>
        <v>1.1868034923174846</v>
      </c>
      <c r="R20" s="118">
        <f>(VLOOKUP($A20,Hitters!$A1:$R401,16,FALSE)-AVERAGE(Rankings!Y2:Y651))/STDEV(Rankings!Y2:Y651)</f>
        <v>0.83559961245804981</v>
      </c>
      <c r="S20" s="118">
        <f>(VLOOKUP($A20,Hitters!$A1:$R401,17,FALSE)-AVERAGE(Rankings!Z2:Z651))/STDEV(Rankings!Z2:Z651)</f>
        <v>1.1311046708263695</v>
      </c>
      <c r="T20" s="118">
        <f>IFERROR((VLOOKUP($A20,Hitters!$A1:$R401,18,FALSE)-AVERAGE(Rankings!AA2:AA651))/STDEV(Rankings!AA2:AA651),0)</f>
        <v>0</v>
      </c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</row>
    <row r="21" spans="1:37" ht="18.600000000000001" customHeight="1">
      <c r="A21" s="26" t="s">
        <v>365</v>
      </c>
      <c r="B21" s="27" t="s">
        <v>156</v>
      </c>
      <c r="C21" s="117" t="s">
        <v>7</v>
      </c>
      <c r="D21" s="67">
        <f>(F21*Settings!$C$2)+(G21*Settings!$C$3)+(H21*Settings!$C$4)+(I21*Settings!$C$5)+(J21*Settings!$C$6)+(M21*Settings!$C$9)+(N21*Settings!$C$10)+(O21*Settings!$C$11)+(P21*Settings!$C$12)+(Q21*Settings!$C$13)+(T21*Settings!$C$16)+(K21*Settings!$C$7)+(L21*Settings!$C$8)+(R21*Settings!$C$14)+(S21*Settings!$C$15)</f>
        <v>2.1700874912709653</v>
      </c>
      <c r="E21" s="67"/>
      <c r="F21" s="118">
        <f>(VLOOKUP($A21,Hitters!$A1:$R401,4,FALSE)-AVERAGE(Rankings!M2:M651))/STDEV(Rankings!M2:M651)</f>
        <v>0.97874263998529942</v>
      </c>
      <c r="G21" s="118">
        <f>(VLOOKUP($A21,Hitters!$A1:$R401,5,FALSE)-AVERAGE(Rankings!N2:N651))/STDEV(Rankings!N2:N651)</f>
        <v>0.53205198020226585</v>
      </c>
      <c r="H21" s="118">
        <f>(VLOOKUP($A21,Hitters!$A1:$R401,6,FALSE)-AVERAGE(Rankings!O2:O651))/STDEV(Rankings!O2:O651)</f>
        <v>0.46451381889379717</v>
      </c>
      <c r="I21" s="118">
        <f>(VLOOKUP($A21,Hitters!$A1:$R401,7,FALSE)-AVERAGE(Rankings!P2:P651))/STDEV(Rankings!P2:P651)</f>
        <v>0.9363334479598896</v>
      </c>
      <c r="J21" s="118">
        <f>(VLOOKUP($A21,Hitters!$A1:$R401,8,FALSE)-AVERAGE(Rankings!Q2:Q651))/STDEV(Rankings!Q2:Q651)</f>
        <v>-0.68495259824236487</v>
      </c>
      <c r="K21" s="157">
        <f>(VLOOKUP($A21,Hitters!$A$1:$R$401,14,FALSE)-AVERAGE(Rankings!R$2:R$651))/STDEV(Rankings!R$2:R$651)</f>
        <v>0.92214084245737793</v>
      </c>
      <c r="L21" s="157">
        <f>(VLOOKUP($A21,Hitters!$A$1:$R$401,15,FALSE)-AVERAGE(Rankings!S$2:S$651))/STDEV(Rankings!S$2:S$651)</f>
        <v>-3.1831686957521824E-2</v>
      </c>
      <c r="M21" s="157">
        <f>(VLOOKUP($A21,Hitters!$A$1:$R$401,9,FALSE)-AVERAGE(Rankings!T$2:T$651))/STDEV(Rankings!T$2:T$651)</f>
        <v>1.0660891373028027</v>
      </c>
      <c r="N21" s="157">
        <f>(VLOOKUP($A21,Hitters!$A$1:$R$401,10,FALSE)-AVERAGE(Rankings!U$2:U$651))/STDEV(Rankings!U$2:U$651)</f>
        <v>1.3470276356434858</v>
      </c>
      <c r="O21" s="157">
        <f>(VLOOKUP($A21,Hitters!$A$1:$R$401,11,FALSE)-AVERAGE(Rankings!V$2:V$651))/STDEV(Rankings!V$2:V$651)</f>
        <v>-0.56453398124010357</v>
      </c>
      <c r="P21" s="157">
        <f>(VLOOKUP($A21,Hitters!$A$1:$R$401,12,FALSE)-AVERAGE(Rankings!W$2:W$651))/STDEV(Rankings!W$2:W$651)</f>
        <v>-0.15892840701793581</v>
      </c>
      <c r="Q21" s="157">
        <f>(VLOOKUP($A21,Hitters!$A$1:$R$401,13,FALSE)-AVERAGE(Rankings!X$2:X$651))/STDEV(Rankings!X$2:X$651)</f>
        <v>4.5992825756494382E-2</v>
      </c>
      <c r="R21" s="118">
        <f>(VLOOKUP($A21,Hitters!$A1:$R401,16,FALSE)-AVERAGE(Rankings!Y2:Y651))/STDEV(Rankings!Y2:Y651)</f>
        <v>0.48028311551040603</v>
      </c>
      <c r="S21" s="118">
        <f>(VLOOKUP($A21,Hitters!$A1:$R401,17,FALSE)-AVERAGE(Rankings!Z2:Z651))/STDEV(Rankings!Z2:Z651)</f>
        <v>0.33916325306523232</v>
      </c>
      <c r="T21" s="118">
        <f>IFERROR((VLOOKUP($A21,Hitters!$A1:$R401,18,FALSE)-AVERAGE(Rankings!AA2:AA651))/STDEV(Rankings!AA2:AA651),0)</f>
        <v>0</v>
      </c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</row>
    <row r="22" spans="1:37" ht="18.600000000000001" customHeight="1">
      <c r="A22" s="26" t="s">
        <v>371</v>
      </c>
      <c r="B22" s="27" t="s">
        <v>81</v>
      </c>
      <c r="C22" s="117" t="s">
        <v>7</v>
      </c>
      <c r="D22" s="67">
        <f>(F22*Settings!$C$2)+(G22*Settings!$C$3)+(H22*Settings!$C$4)+(I22*Settings!$C$5)+(J22*Settings!$C$6)+(M22*Settings!$C$9)+(N22*Settings!$C$10)+(O22*Settings!$C$11)+(P22*Settings!$C$12)+(Q22*Settings!$C$13)+(T22*Settings!$C$16)+(K22*Settings!$C$7)+(L22*Settings!$C$8)+(R22*Settings!$C$14)+(S22*Settings!$C$15)</f>
        <v>2.2252068455538709</v>
      </c>
      <c r="E22" s="67"/>
      <c r="F22" s="118">
        <f>(VLOOKUP($A22,Hitters!$A1:$R401,4,FALSE)-AVERAGE(Rankings!M2:M651))/STDEV(Rankings!M2:M651)</f>
        <v>0.54665900034405857</v>
      </c>
      <c r="G22" s="118">
        <f>(VLOOKUP($A22,Hitters!$A1:$R401,5,FALSE)-AVERAGE(Rankings!N2:N651))/STDEV(Rankings!N2:N651)</f>
        <v>0.5474782959213047</v>
      </c>
      <c r="H22" s="118">
        <f>(VLOOKUP($A22,Hitters!$A1:$R401,6,FALSE)-AVERAGE(Rankings!O2:O651))/STDEV(Rankings!O2:O651)</f>
        <v>8.473810301826085E-3</v>
      </c>
      <c r="I22" s="118">
        <f>(VLOOKUP($A22,Hitters!$A1:$R401,7,FALSE)-AVERAGE(Rankings!P2:P651))/STDEV(Rankings!P2:P651)</f>
        <v>0.5487089665666981</v>
      </c>
      <c r="J22" s="118">
        <f>(VLOOKUP($A22,Hitters!$A1:$R401,8,FALSE)-AVERAGE(Rankings!Q2:Q651))/STDEV(Rankings!Q2:Q651)</f>
        <v>0.19271530138744339</v>
      </c>
      <c r="K22" s="157">
        <f>(VLOOKUP($A22,Hitters!$A$1:$R$401,14,FALSE)-AVERAGE(Rankings!R$2:R$651))/STDEV(Rankings!R$2:R$651)</f>
        <v>0.92783047137659858</v>
      </c>
      <c r="L22" s="157">
        <f>(VLOOKUP($A22,Hitters!$A$1:$R$401,15,FALSE)-AVERAGE(Rankings!S$2:S$651))/STDEV(Rankings!S$2:S$651)</f>
        <v>0.65323813106389683</v>
      </c>
      <c r="M22" s="157">
        <f>(VLOOKUP($A22,Hitters!$A$1:$R$401,9,FALSE)-AVERAGE(Rankings!T$2:T$651))/STDEV(Rankings!T$2:T$651)</f>
        <v>0.66195314041546205</v>
      </c>
      <c r="N22" s="157">
        <f>(VLOOKUP($A22,Hitters!$A$1:$R$401,10,FALSE)-AVERAGE(Rankings!U$2:U$651))/STDEV(Rankings!U$2:U$651)</f>
        <v>0.96305526766822092</v>
      </c>
      <c r="O22" s="157">
        <f>(VLOOKUP($A22,Hitters!$A$1:$R$401,11,FALSE)-AVERAGE(Rankings!V$2:V$651))/STDEV(Rankings!V$2:V$651)</f>
        <v>0.37933044167512348</v>
      </c>
      <c r="P22" s="157">
        <f>(VLOOKUP($A22,Hitters!$A$1:$R$401,12,FALSE)-AVERAGE(Rankings!W$2:W$651))/STDEV(Rankings!W$2:W$651)</f>
        <v>0.27540393973182697</v>
      </c>
      <c r="Q22" s="157">
        <f>(VLOOKUP($A22,Hitters!$A$1:$R$401,13,FALSE)-AVERAGE(Rankings!X$2:X$651))/STDEV(Rankings!X$2:X$651)</f>
        <v>-5.3838389986656417E-2</v>
      </c>
      <c r="R22" s="118">
        <f>(VLOOKUP($A22,Hitters!$A1:$R401,16,FALSE)-AVERAGE(Rankings!Y2:Y651))/STDEV(Rankings!Y2:Y651)</f>
        <v>0.36308853719260686</v>
      </c>
      <c r="S22" s="118">
        <f>(VLOOKUP($A22,Hitters!$A1:$R401,17,FALSE)-AVERAGE(Rankings!Z2:Z651))/STDEV(Rankings!Z2:Z651)</f>
        <v>0.51135603899552495</v>
      </c>
      <c r="T22" s="118">
        <f>IFERROR((VLOOKUP($A22,Hitters!$A1:$R401,18,FALSE)-AVERAGE(Rankings!AA2:AA651))/STDEV(Rankings!AA2:AA651),0)</f>
        <v>0</v>
      </c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</row>
    <row r="23" spans="1:37" ht="18.600000000000001" customHeight="1">
      <c r="A23" s="26" t="s">
        <v>376</v>
      </c>
      <c r="B23" s="27" t="s">
        <v>223</v>
      </c>
      <c r="C23" s="117" t="s">
        <v>7</v>
      </c>
      <c r="D23" s="67">
        <f>(F23*Settings!$C$2)+(G23*Settings!$C$3)+(H23*Settings!$C$4)+(I23*Settings!$C$5)+(J23*Settings!$C$6)+(M23*Settings!$C$9)+(N23*Settings!$C$10)+(O23*Settings!$C$11)+(P23*Settings!$C$12)+(Q23*Settings!$C$13)+(T23*Settings!$C$16)+(K23*Settings!$C$7)+(L23*Settings!$C$8)+(R23*Settings!$C$14)+(S23*Settings!$C$15)</f>
        <v>1.4424210464709484</v>
      </c>
      <c r="E23" s="67"/>
      <c r="F23" s="118">
        <f>(VLOOKUP($A23,Hitters!$A1:$R401,4,FALSE)-AVERAGE(Rankings!M2:M651))/STDEV(Rankings!M2:M651)</f>
        <v>0.58298984998147263</v>
      </c>
      <c r="G23" s="118">
        <f>(VLOOKUP($A23,Hitters!$A1:$R401,5,FALSE)-AVERAGE(Rankings!N2:N651))/STDEV(Rankings!N2:N651)</f>
        <v>0.31100230821248792</v>
      </c>
      <c r="H23" s="118">
        <f>(VLOOKUP($A23,Hitters!$A1:$R401,6,FALSE)-AVERAGE(Rankings!O2:O651))/STDEV(Rankings!O2:O651)</f>
        <v>0.48346092012447706</v>
      </c>
      <c r="I23" s="118">
        <f>(VLOOKUP($A23,Hitters!$A1:$R401,7,FALSE)-AVERAGE(Rankings!P2:P651))/STDEV(Rankings!P2:P651)</f>
        <v>0.62709108775822486</v>
      </c>
      <c r="J23" s="118">
        <f>(VLOOKUP($A23,Hitters!$A1:$R401,8,FALSE)-AVERAGE(Rankings!Q2:Q651))/STDEV(Rankings!Q2:Q651)</f>
        <v>-5.3032520156436292E-3</v>
      </c>
      <c r="K23" s="157">
        <f>(VLOOKUP($A23,Hitters!$A$1:$R$401,14,FALSE)-AVERAGE(Rankings!R$2:R$651))/STDEV(Rankings!R$2:R$651)</f>
        <v>2.6169982391401794E-2</v>
      </c>
      <c r="L23" s="157">
        <f>(VLOOKUP($A23,Hitters!$A$1:$R$401,15,FALSE)-AVERAGE(Rankings!S$2:S$651))/STDEV(Rankings!S$2:S$651)</f>
        <v>0.14934280557675048</v>
      </c>
      <c r="M23" s="157">
        <f>(VLOOKUP($A23,Hitters!$A$1:$R$401,9,FALSE)-AVERAGE(Rankings!T$2:T$651))/STDEV(Rankings!T$2:T$651)</f>
        <v>0.48156930457272412</v>
      </c>
      <c r="N23" s="157">
        <f>(VLOOKUP($A23,Hitters!$A$1:$R$401,10,FALSE)-AVERAGE(Rankings!U$2:U$651))/STDEV(Rankings!U$2:U$651)</f>
        <v>0.85397383851424635</v>
      </c>
      <c r="O23" s="157">
        <f>(VLOOKUP($A23,Hitters!$A$1:$R$401,11,FALSE)-AVERAGE(Rankings!V$2:V$651))/STDEV(Rankings!V$2:V$651)</f>
        <v>-0.53544357612802351</v>
      </c>
      <c r="P23" s="157">
        <f>(VLOOKUP($A23,Hitters!$A$1:$R$401,12,FALSE)-AVERAGE(Rankings!W$2:W$651))/STDEV(Rankings!W$2:W$651)</f>
        <v>0.47507552341485398</v>
      </c>
      <c r="Q23" s="157">
        <f>(VLOOKUP($A23,Hitters!$A$1:$R$401,13,FALSE)-AVERAGE(Rankings!X$2:X$651))/STDEV(Rankings!X$2:X$651)</f>
        <v>1.5118861258222314</v>
      </c>
      <c r="R23" s="118">
        <f>(VLOOKUP($A23,Hitters!$A1:$R401,16,FALSE)-AVERAGE(Rankings!Y2:Y651))/STDEV(Rankings!Y2:Y651)</f>
        <v>0.34650899447364664</v>
      </c>
      <c r="S23" s="118">
        <f>(VLOOKUP($A23,Hitters!$A1:$R401,17,FALSE)-AVERAGE(Rankings!Z2:Z651))/STDEV(Rankings!Z2:Z651)</f>
        <v>0.30955906154160356</v>
      </c>
      <c r="T23" s="118">
        <f>IFERROR((VLOOKUP($A23,Hitters!$A1:$R401,18,FALSE)-AVERAGE(Rankings!AA2:AA651))/STDEV(Rankings!AA2:AA651),0)</f>
        <v>0</v>
      </c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</row>
    <row r="24" spans="1:37" ht="18.600000000000001" customHeight="1">
      <c r="A24" s="26" t="s">
        <v>399</v>
      </c>
      <c r="B24" s="27" t="s">
        <v>306</v>
      </c>
      <c r="C24" s="117" t="s">
        <v>7</v>
      </c>
      <c r="D24" s="67">
        <f>(F24*Settings!$C$2)+(G24*Settings!$C$3)+(H24*Settings!$C$4)+(I24*Settings!$C$5)+(J24*Settings!$C$6)+(M24*Settings!$C$9)+(N24*Settings!$C$10)+(O24*Settings!$C$11)+(P24*Settings!$C$12)+(Q24*Settings!$C$13)+(T24*Settings!$C$16)+(K24*Settings!$C$7)+(L24*Settings!$C$8)+(R24*Settings!$C$14)+(S24*Settings!$C$15)</f>
        <v>2.0056059795570249</v>
      </c>
      <c r="E24" s="67"/>
      <c r="F24" s="118">
        <f>(VLOOKUP($A24,Hitters!$A1:$R401,4,FALSE)-AVERAGE(Rankings!M2:M651))/STDEV(Rankings!M2:M651)</f>
        <v>0.99226109566433651</v>
      </c>
      <c r="G24" s="118">
        <f>(VLOOKUP($A24,Hitters!$A1:$R401,5,FALSE)-AVERAGE(Rankings!N2:N651))/STDEV(Rankings!N2:N651)</f>
        <v>0.41323587984162119</v>
      </c>
      <c r="H24" s="118">
        <f>(VLOOKUP($A24,Hitters!$A1:$R401,6,FALSE)-AVERAGE(Rankings!O2:O651))/STDEV(Rankings!O2:O651)</f>
        <v>0.91325362083512329</v>
      </c>
      <c r="I24" s="118">
        <f>(VLOOKUP($A24,Hitters!$A1:$R401,7,FALSE)-AVERAGE(Rankings!P2:P651))/STDEV(Rankings!P2:P651)</f>
        <v>0.9409657203513877</v>
      </c>
      <c r="J24" s="118">
        <f>(VLOOKUP($A24,Hitters!$A1:$R401,8,FALSE)-AVERAGE(Rankings!Q2:Q651))/STDEV(Rankings!Q2:Q651)</f>
        <v>-0.82314743734346352</v>
      </c>
      <c r="K24" s="157">
        <f>(VLOOKUP($A24,Hitters!$A$1:$R$401,14,FALSE)-AVERAGE(Rankings!R$2:R$651))/STDEV(Rankings!R$2:R$651)</f>
        <v>0.56129819587235619</v>
      </c>
      <c r="L24" s="157">
        <f>(VLOOKUP($A24,Hitters!$A$1:$R$401,15,FALSE)-AVERAGE(Rankings!S$2:S$651))/STDEV(Rankings!S$2:S$651)</f>
        <v>-0.25571525369301074</v>
      </c>
      <c r="M24" s="157">
        <f>(VLOOKUP($A24,Hitters!$A$1:$R$401,9,FALSE)-AVERAGE(Rankings!T$2:T$651))/STDEV(Rankings!T$2:T$651)</f>
        <v>0.98290510699089439</v>
      </c>
      <c r="N24" s="157">
        <f>(VLOOKUP($A24,Hitters!$A$1:$R$401,10,FALSE)-AVERAGE(Rankings!U$2:U$651))/STDEV(Rankings!U$2:U$651)</f>
        <v>0.86308188683939768</v>
      </c>
      <c r="O24" s="157">
        <f>(VLOOKUP($A24,Hitters!$A$1:$R$401,11,FALSE)-AVERAGE(Rankings!V$2:V$651))/STDEV(Rankings!V$2:V$651)</f>
        <v>-0.55881127859510416</v>
      </c>
      <c r="P24" s="157">
        <f>(VLOOKUP($A24,Hitters!$A$1:$R$401,12,FALSE)-AVERAGE(Rankings!W$2:W$651))/STDEV(Rankings!W$2:W$651)</f>
        <v>-9.3273155747706546E-2</v>
      </c>
      <c r="Q24" s="157">
        <f>(VLOOKUP($A24,Hitters!$A$1:$R$401,13,FALSE)-AVERAGE(Rankings!X$2:X$651))/STDEV(Rankings!X$2:X$651)</f>
        <v>1.0176339700449895</v>
      </c>
      <c r="R24" s="118">
        <f>(VLOOKUP($A24,Hitters!$A1:$R401,16,FALSE)-AVERAGE(Rankings!Y2:Y651))/STDEV(Rankings!Y2:Y651)</f>
        <v>0.62276553881720154</v>
      </c>
      <c r="S24" s="118">
        <f>(VLOOKUP($A24,Hitters!$A1:$R401,17,FALSE)-AVERAGE(Rankings!Z2:Z651))/STDEV(Rankings!Z2:Z651)</f>
        <v>0.35905754370006787</v>
      </c>
      <c r="T24" s="118">
        <f>IFERROR((VLOOKUP($A24,Hitters!$A1:$R401,18,FALSE)-AVERAGE(Rankings!AA2:AA651))/STDEV(Rankings!AA2:AA651),0)</f>
        <v>0</v>
      </c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</row>
    <row r="25" spans="1:37" ht="18.600000000000001" customHeight="1">
      <c r="A25" s="26" t="s">
        <v>436</v>
      </c>
      <c r="B25" s="27" t="s">
        <v>84</v>
      </c>
      <c r="C25" s="117" t="s">
        <v>7</v>
      </c>
      <c r="D25" s="67">
        <f>(F25*Settings!$C$2)+(G25*Settings!$C$3)+(H25*Settings!$C$4)+(I25*Settings!$C$5)+(J25*Settings!$C$6)+(M25*Settings!$C$9)+(N25*Settings!$C$10)+(O25*Settings!$C$11)+(P25*Settings!$C$12)+(Q25*Settings!$C$13)+(T25*Settings!$C$16)+(K25*Settings!$C$7)+(L25*Settings!$C$8)+(R25*Settings!$C$14)+(S25*Settings!$C$15)</f>
        <v>5.7091073518381996E-2</v>
      </c>
      <c r="E25" s="67"/>
      <c r="F25" s="118">
        <f>(VLOOKUP($A25,Hitters!$A1:$R401,4,FALSE)-AVERAGE(Rankings!M2:M651))/STDEV(Rankings!M2:M651)</f>
        <v>0.21816052734344435</v>
      </c>
      <c r="G25" s="118">
        <f>(VLOOKUP($A25,Hitters!$A1:$R401,5,FALSE)-AVERAGE(Rankings!N2:N651))/STDEV(Rankings!N2:N651)</f>
        <v>2.8563270594967934E-3</v>
      </c>
      <c r="H25" s="118">
        <f>(VLOOKUP($A25,Hitters!$A1:$R401,6,FALSE)-AVERAGE(Rankings!O2:O651))/STDEV(Rankings!O2:O651)</f>
        <v>0.59728284442937107</v>
      </c>
      <c r="I25" s="118">
        <f>(VLOOKUP($A25,Hitters!$A1:$R401,7,FALSE)-AVERAGE(Rankings!P2:P651))/STDEV(Rankings!P2:P651)</f>
        <v>0.36671665608225545</v>
      </c>
      <c r="J25" s="118">
        <f>(VLOOKUP($A25,Hitters!$A1:$R401,8,FALSE)-AVERAGE(Rankings!Q2:Q651))/STDEV(Rankings!Q2:Q651)</f>
        <v>-0.68273514523673118</v>
      </c>
      <c r="K25" s="157">
        <f>(VLOOKUP($A25,Hitters!$A$1:$R$401,14,FALSE)-AVERAGE(Rankings!R$2:R$651))/STDEV(Rankings!R$2:R$651)</f>
        <v>-0.22702960881601014</v>
      </c>
      <c r="L25" s="157">
        <f>(VLOOKUP($A25,Hitters!$A$1:$R$401,15,FALSE)-AVERAGE(Rankings!S$2:S$651))/STDEV(Rankings!S$2:S$651)</f>
        <v>-0.47927338180516899</v>
      </c>
      <c r="M25" s="157">
        <f>(VLOOKUP($A25,Hitters!$A$1:$R$401,9,FALSE)-AVERAGE(Rankings!T$2:T$651))/STDEV(Rankings!T$2:T$651)</f>
        <v>0.10745085063661264</v>
      </c>
      <c r="N25" s="157">
        <f>(VLOOKUP($A25,Hitters!$A$1:$R$401,10,FALSE)-AVERAGE(Rankings!U$2:U$651))/STDEV(Rankings!U$2:U$651)</f>
        <v>0.2206417537944923</v>
      </c>
      <c r="O25" s="157">
        <f>(VLOOKUP($A25,Hitters!$A$1:$R$401,11,FALSE)-AVERAGE(Rankings!V$2:V$651))/STDEV(Rankings!V$2:V$651)</f>
        <v>-0.52972087348302421</v>
      </c>
      <c r="P25" s="157">
        <f>(VLOOKUP($A25,Hitters!$A$1:$R$401,12,FALSE)-AVERAGE(Rankings!W$2:W$651))/STDEV(Rankings!W$2:W$651)</f>
        <v>-0.1562225771455954</v>
      </c>
      <c r="Q25" s="157">
        <f>(VLOOKUP($A25,Hitters!$A$1:$R$401,13,FALSE)-AVERAGE(Rankings!X$2:X$651))/STDEV(Rankings!X$2:X$651)</f>
        <v>0.85589942771153316</v>
      </c>
      <c r="R25" s="118">
        <f>(VLOOKUP($A25,Hitters!$A1:$R401,16,FALSE)-AVERAGE(Rankings!Y2:Y651))/STDEV(Rankings!Y2:Y651)</f>
        <v>0.5866441555052968</v>
      </c>
      <c r="S25" s="118">
        <f>(VLOOKUP($A25,Hitters!$A1:$R401,17,FALSE)-AVERAGE(Rankings!Z2:Z651))/STDEV(Rankings!Z2:Z651)</f>
        <v>0.24849783810923212</v>
      </c>
      <c r="T25" s="118">
        <f>IFERROR((VLOOKUP($A25,Hitters!$A1:$R401,18,FALSE)-AVERAGE(Rankings!AA2:AA651))/STDEV(Rankings!AA2:AA651),0)</f>
        <v>0</v>
      </c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</row>
    <row r="26" spans="1:37" ht="18.600000000000001" customHeight="1">
      <c r="A26" s="26" t="s">
        <v>474</v>
      </c>
      <c r="B26" s="27" t="s">
        <v>103</v>
      </c>
      <c r="C26" s="117" t="s">
        <v>7</v>
      </c>
      <c r="D26" s="67">
        <f>(F26*Settings!$C$2)+(G26*Settings!$C$3)+(H26*Settings!$C$4)+(I26*Settings!$C$5)+(J26*Settings!$C$6)+(M26*Settings!$C$9)+(N26*Settings!$C$10)+(O26*Settings!$C$11)+(P26*Settings!$C$12)+(Q26*Settings!$C$13)+(T26*Settings!$C$16)+(K26*Settings!$C$7)+(L26*Settings!$C$8)+(R26*Settings!$C$14)+(S26*Settings!$C$15)</f>
        <v>1.3412142614956384</v>
      </c>
      <c r="E26" s="67"/>
      <c r="F26" s="118">
        <f>(VLOOKUP($A26,Hitters!$A1:$R401,4,FALSE)-AVERAGE(Rankings!M2:M651))/STDEV(Rankings!M2:M651)</f>
        <v>0.68239274439639552</v>
      </c>
      <c r="G26" s="118">
        <f>(VLOOKUP($A26,Hitters!$A1:$R401,5,FALSE)-AVERAGE(Rankings!N2:N651))/STDEV(Rankings!N2:N651)</f>
        <v>0.74047458902951757</v>
      </c>
      <c r="H26" s="118">
        <f>(VLOOKUP($A26,Hitters!$A1:$R401,6,FALSE)-AVERAGE(Rankings!O2:O651))/STDEV(Rankings!O2:O651)</f>
        <v>0.61326946109275748</v>
      </c>
      <c r="I26" s="118">
        <f>(VLOOKUP($A26,Hitters!$A1:$R401,7,FALSE)-AVERAGE(Rankings!P2:P651))/STDEV(Rankings!P2:P651)</f>
        <v>0.64134423357821957</v>
      </c>
      <c r="J26" s="118">
        <f>(VLOOKUP($A26,Hitters!$A1:$R401,8,FALSE)-AVERAGE(Rankings!Q2:Q651))/STDEV(Rankings!Q2:Q651)</f>
        <v>-0.38361657372678876</v>
      </c>
      <c r="K26" s="157">
        <f>(VLOOKUP($A26,Hitters!$A$1:$R$401,14,FALSE)-AVERAGE(Rankings!R$2:R$651))/STDEV(Rankings!R$2:R$651)</f>
        <v>-0.27025744847806765</v>
      </c>
      <c r="L26" s="157">
        <f>(VLOOKUP($A26,Hitters!$A$1:$R$401,15,FALSE)-AVERAGE(Rankings!S$2:S$651))/STDEV(Rankings!S$2:S$651)</f>
        <v>1.0572947124090355</v>
      </c>
      <c r="M26" s="157">
        <f>(VLOOKUP($A26,Hitters!$A$1:$R$401,9,FALSE)-AVERAGE(Rankings!T$2:T$651))/STDEV(Rankings!T$2:T$651)</f>
        <v>0.49628452059387107</v>
      </c>
      <c r="N26" s="157">
        <f>(VLOOKUP($A26,Hitters!$A$1:$R$401,10,FALSE)-AVERAGE(Rankings!U$2:U$651))/STDEV(Rankings!U$2:U$651)</f>
        <v>0.73596365332498681</v>
      </c>
      <c r="O26" s="157">
        <f>(VLOOKUP($A26,Hitters!$A$1:$R$401,11,FALSE)-AVERAGE(Rankings!V$2:V$651))/STDEV(Rankings!V$2:V$651)</f>
        <v>0.45744533277936444</v>
      </c>
      <c r="P26" s="157">
        <f>(VLOOKUP($A26,Hitters!$A$1:$R$401,12,FALSE)-AVERAGE(Rankings!W$2:W$651))/STDEV(Rankings!W$2:W$651)</f>
        <v>1.704128764566571</v>
      </c>
      <c r="Q26" s="157">
        <f>(VLOOKUP($A26,Hitters!$A$1:$R$401,13,FALSE)-AVERAGE(Rankings!X$2:X$651))/STDEV(Rankings!X$2:X$651)</f>
        <v>0.81508613357809034</v>
      </c>
      <c r="R26" s="118">
        <f>(VLOOKUP($A26,Hitters!$A1:$R401,16,FALSE)-AVERAGE(Rankings!Y2:Y651))/STDEV(Rankings!Y2:Y651)</f>
        <v>0.32282450072755298</v>
      </c>
      <c r="S26" s="118">
        <f>(VLOOKUP($A26,Hitters!$A1:$R401,17,FALSE)-AVERAGE(Rankings!Z2:Z651))/STDEV(Rankings!Z2:Z651)</f>
        <v>0.63401371900498815</v>
      </c>
      <c r="T26" s="118">
        <f>IFERROR((VLOOKUP($A26,Hitters!$A1:$R401,18,FALSE)-AVERAGE(Rankings!AA2:AA651))/STDEV(Rankings!AA2:AA651),0)</f>
        <v>0</v>
      </c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</row>
    <row r="27" spans="1:37" ht="18.600000000000001" customHeight="1">
      <c r="A27" s="26" t="s">
        <v>486</v>
      </c>
      <c r="B27" s="27" t="s">
        <v>158</v>
      </c>
      <c r="C27" s="117" t="s">
        <v>7</v>
      </c>
      <c r="D27" s="67">
        <f>(F27*Settings!$C$2)+(G27*Settings!$C$3)+(H27*Settings!$C$4)+(I27*Settings!$C$5)+(J27*Settings!$C$6)+(M27*Settings!$C$9)+(N27*Settings!$C$10)+(O27*Settings!$C$11)+(P27*Settings!$C$12)+(Q27*Settings!$C$13)+(T27*Settings!$C$16)+(K27*Settings!$C$7)+(L27*Settings!$C$8)+(R27*Settings!$C$14)+(S27*Settings!$C$15)</f>
        <v>-0.16617809461426369</v>
      </c>
      <c r="E27" s="67"/>
      <c r="F27" s="118">
        <f>(VLOOKUP($A27,Hitters!$A1:$R401,4,FALSE)-AVERAGE(Rankings!M2:M651))/STDEV(Rankings!M2:M651)</f>
        <v>0.46140823921812801</v>
      </c>
      <c r="G27" s="118">
        <f>(VLOOKUP($A27,Hitters!$A1:$R401,5,FALSE)-AVERAGE(Rankings!N2:N651))/STDEV(Rankings!N2:N651)</f>
        <v>0.17382879072399265</v>
      </c>
      <c r="H27" s="118">
        <f>(VLOOKUP($A27,Hitters!$A1:$R401,6,FALSE)-AVERAGE(Rankings!O2:O651))/STDEV(Rankings!O2:O651)</f>
        <v>0.2225203274401851</v>
      </c>
      <c r="I27" s="118">
        <f>(VLOOKUP($A27,Hitters!$A1:$R401,7,FALSE)-AVERAGE(Rankings!P2:P651))/STDEV(Rankings!P2:P651)</f>
        <v>0.35551775579511719</v>
      </c>
      <c r="J27" s="118">
        <f>(VLOOKUP($A27,Hitters!$A1:$R401,8,FALSE)-AVERAGE(Rankings!Q2:Q651))/STDEV(Rankings!Q2:Q651)</f>
        <v>-0.96474765070321389</v>
      </c>
      <c r="K27" s="157">
        <f>(VLOOKUP($A27,Hitters!$A$1:$R$401,14,FALSE)-AVERAGE(Rankings!R$2:R$651))/STDEV(Rankings!R$2:R$651)</f>
        <v>4.6702682129655351E-2</v>
      </c>
      <c r="L27" s="157">
        <f>(VLOOKUP($A27,Hitters!$A$1:$R$401,15,FALSE)-AVERAGE(Rankings!S$2:S$651))/STDEV(Rankings!S$2:S$651)</f>
        <v>0.20418805110140215</v>
      </c>
      <c r="M27" s="157">
        <f>(VLOOKUP($A27,Hitters!$A$1:$R$401,9,FALSE)-AVERAGE(Rankings!T$2:T$651))/STDEV(Rankings!T$2:T$651)</f>
        <v>0.37958873878342203</v>
      </c>
      <c r="N27" s="157">
        <f>(VLOOKUP($A27,Hitters!$A$1:$R$401,10,FALSE)-AVERAGE(Rankings!U$2:U$651))/STDEV(Rankings!U$2:U$651)</f>
        <v>0.24732044652643126</v>
      </c>
      <c r="O27" s="157">
        <f>(VLOOKUP($A27,Hitters!$A$1:$R$401,11,FALSE)-AVERAGE(Rankings!V$2:V$651))/STDEV(Rankings!V$2:V$651)</f>
        <v>-0.55118100840177164</v>
      </c>
      <c r="P27" s="157">
        <f>(VLOOKUP($A27,Hitters!$A$1:$R$401,12,FALSE)-AVERAGE(Rankings!W$2:W$651))/STDEV(Rankings!W$2:W$651)</f>
        <v>0.4246289021167432</v>
      </c>
      <c r="Q27" s="157">
        <f>(VLOOKUP($A27,Hitters!$A$1:$R$401,13,FALSE)-AVERAGE(Rankings!X$2:X$651))/STDEV(Rankings!X$2:X$651)</f>
        <v>0.58093172281715266</v>
      </c>
      <c r="R27" s="118">
        <f>(VLOOKUP($A27,Hitters!$A1:$R401,16,FALSE)-AVERAGE(Rankings!Y2:Y651))/STDEV(Rankings!Y2:Y651)</f>
        <v>-7.1497254960933954E-2</v>
      </c>
      <c r="S27" s="118">
        <f>(VLOOKUP($A27,Hitters!$A1:$R401,17,FALSE)-AVERAGE(Rankings!Z2:Z651))/STDEV(Rankings!Z2:Z651)</f>
        <v>2.4601226473755785E-2</v>
      </c>
      <c r="T27" s="118">
        <f>IFERROR((VLOOKUP($A27,Hitters!$A1:$R401,18,FALSE)-AVERAGE(Rankings!AA2:AA651))/STDEV(Rankings!AA2:AA651),0)</f>
        <v>0</v>
      </c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</row>
    <row r="28" spans="1:37" ht="18.600000000000001" customHeight="1">
      <c r="A28" s="26" t="s">
        <v>491</v>
      </c>
      <c r="B28" s="27" t="s">
        <v>217</v>
      </c>
      <c r="C28" s="117" t="s">
        <v>7</v>
      </c>
      <c r="D28" s="67">
        <f>(F28*Settings!$C$2)+(G28*Settings!$C$3)+(H28*Settings!$C$4)+(I28*Settings!$C$5)+(J28*Settings!$C$6)+(M28*Settings!$C$9)+(N28*Settings!$C$10)+(O28*Settings!$C$11)+(P28*Settings!$C$12)+(Q28*Settings!$C$13)+(T28*Settings!$C$16)+(K28*Settings!$C$7)+(L28*Settings!$C$8)+(R28*Settings!$C$14)+(S28*Settings!$C$15)</f>
        <v>-0.53276238999487435</v>
      </c>
      <c r="E28" s="67"/>
      <c r="F28" s="118">
        <f>(VLOOKUP($A28,Hitters!$A1:$R401,4,FALSE)-AVERAGE(Rankings!M2:M651))/STDEV(Rankings!M2:M651)</f>
        <v>9.7381574886043057E-2</v>
      </c>
      <c r="G28" s="118">
        <f>(VLOOKUP($A28,Hitters!$A1:$R401,5,FALSE)-AVERAGE(Rankings!N2:N651))/STDEV(Rankings!N2:N651)</f>
        <v>-3.6854044584383942E-3</v>
      </c>
      <c r="H28" s="118">
        <f>(VLOOKUP($A28,Hitters!$A1:$R401,6,FALSE)-AVERAGE(Rankings!O2:O651))/STDEV(Rankings!O2:O651)</f>
        <v>8.8636766538100473E-2</v>
      </c>
      <c r="I28" s="118">
        <f>(VLOOKUP($A28,Hitters!$A1:$R401,7,FALSE)-AVERAGE(Rankings!P2:P651))/STDEV(Rankings!P2:P651)</f>
        <v>9.2801735877291194E-2</v>
      </c>
      <c r="J28" s="118">
        <f>(VLOOKUP($A28,Hitters!$A1:$R401,8,FALSE)-AVERAGE(Rankings!Q2:Q651))/STDEV(Rankings!Q2:Q651)</f>
        <v>-0.8262360326013104</v>
      </c>
      <c r="K28" s="157">
        <f>(VLOOKUP($A28,Hitters!$A$1:$R$401,14,FALSE)-AVERAGE(Rankings!R$2:R$651))/STDEV(Rankings!R$2:R$651)</f>
        <v>0.11572054464948281</v>
      </c>
      <c r="L28" s="157">
        <f>(VLOOKUP($A28,Hitters!$A$1:$R$401,15,FALSE)-AVERAGE(Rankings!S$2:S$651))/STDEV(Rankings!S$2:S$651)</f>
        <v>0.24790155793094115</v>
      </c>
      <c r="M28" s="157">
        <f>(VLOOKUP($A28,Hitters!$A$1:$R$401,9,FALSE)-AVERAGE(Rankings!T$2:T$651))/STDEV(Rankings!T$2:T$651)</f>
        <v>7.3766859968358564E-2</v>
      </c>
      <c r="N28" s="157">
        <f>(VLOOKUP($A28,Hitters!$A$1:$R$401,10,FALSE)-AVERAGE(Rankings!U$2:U$651))/STDEV(Rankings!U$2:U$651)</f>
        <v>1.7252580171434814E-2</v>
      </c>
      <c r="O28" s="157">
        <f>(VLOOKUP($A28,Hitters!$A$1:$R$401,11,FALSE)-AVERAGE(Rankings!V$2:V$651))/STDEV(Rankings!V$2:V$651)</f>
        <v>-0.54831965707927199</v>
      </c>
      <c r="P28" s="157">
        <f>(VLOOKUP($A28,Hitters!$A$1:$R$401,12,FALSE)-AVERAGE(Rankings!W$2:W$651))/STDEV(Rankings!W$2:W$651)</f>
        <v>0.15280185517131376</v>
      </c>
      <c r="Q28" s="157">
        <f>(VLOOKUP($A28,Hitters!$A$1:$R$401,13,FALSE)-AVERAGE(Rankings!X$2:X$651))/STDEV(Rankings!X$2:X$651)</f>
        <v>-0.60654530719099009</v>
      </c>
      <c r="R28" s="118">
        <f>(VLOOKUP($A28,Hitters!$A1:$R401,16,FALSE)-AVERAGE(Rankings!Y2:Y651))/STDEV(Rankings!Y2:Y651)</f>
        <v>0.10901305039260824</v>
      </c>
      <c r="S28" s="118">
        <f>(VLOOKUP($A28,Hitters!$A1:$R401,17,FALSE)-AVERAGE(Rankings!Z2:Z651))/STDEV(Rankings!Z2:Z651)</f>
        <v>0.1730261490177388</v>
      </c>
      <c r="T28" s="118">
        <f>IFERROR((VLOOKUP($A28,Hitters!$A1:$R401,18,FALSE)-AVERAGE(Rankings!AA2:AA651))/STDEV(Rankings!AA2:AA651),0)</f>
        <v>0</v>
      </c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</row>
    <row r="29" spans="1:37" ht="18.600000000000001" customHeight="1">
      <c r="A29" s="26" t="s">
        <v>469</v>
      </c>
      <c r="B29" s="27" t="s">
        <v>140</v>
      </c>
      <c r="C29" s="117" t="s">
        <v>7</v>
      </c>
      <c r="D29" s="67">
        <f>(F29*Settings!$C$2)+(G29*Settings!$C$3)+(H29*Settings!$C$4)+(I29*Settings!$C$5)+(J29*Settings!$C$6)+(M29*Settings!$C$9)+(N29*Settings!$C$10)+(O29*Settings!$C$11)+(P29*Settings!$C$12)+(Q29*Settings!$C$13)+(T29*Settings!$C$16)+(K29*Settings!$C$7)+(L29*Settings!$C$8)+(R29*Settings!$C$14)+(S29*Settings!$C$15)</f>
        <v>1.2035129700718312</v>
      </c>
      <c r="E29" s="67"/>
      <c r="F29" s="118">
        <f>(VLOOKUP($A29,Hitters!$A1:$R401,4,FALSE)-AVERAGE(Rankings!M2:M651))/STDEV(Rankings!M2:M651)</f>
        <v>0.50508974913101812</v>
      </c>
      <c r="G29" s="118">
        <f>(VLOOKUP($A29,Hitters!$A1:$R401,5,FALSE)-AVERAGE(Rankings!N2:N651))/STDEV(Rankings!N2:N651)</f>
        <v>0.25973338910680632</v>
      </c>
      <c r="H29" s="118">
        <f>(VLOOKUP($A29,Hitters!$A1:$R401,6,FALSE)-AVERAGE(Rankings!O2:O651))/STDEV(Rankings!O2:O651)</f>
        <v>0.96048205699100975</v>
      </c>
      <c r="I29" s="118">
        <f>(VLOOKUP($A29,Hitters!$A1:$R401,7,FALSE)-AVERAGE(Rankings!P2:P651))/STDEV(Rankings!P2:P651)</f>
        <v>0.61721569386865738</v>
      </c>
      <c r="J29" s="118">
        <f>(VLOOKUP($A29,Hitters!$A1:$R401,8,FALSE)-AVERAGE(Rankings!Q2:Q651))/STDEV(Rankings!Q2:Q651)</f>
        <v>0.24067564210929165</v>
      </c>
      <c r="K29" s="157">
        <f>(VLOOKUP($A29,Hitters!$A$1:$R$401,14,FALSE)-AVERAGE(Rankings!R$2:R$651))/STDEV(Rankings!R$2:R$651)</f>
        <v>-0.87459381200393393</v>
      </c>
      <c r="L29" s="157">
        <f>(VLOOKUP($A29,Hitters!$A$1:$R$401,15,FALSE)-AVERAGE(Rankings!S$2:S$651))/STDEV(Rankings!S$2:S$651)</f>
        <v>-0.72742157693347342</v>
      </c>
      <c r="M29" s="157">
        <f>(VLOOKUP($A29,Hitters!$A$1:$R$401,9,FALSE)-AVERAGE(Rankings!T$2:T$651))/STDEV(Rankings!T$2:T$651)</f>
        <v>0.20369510320851136</v>
      </c>
      <c r="N29" s="157">
        <f>(VLOOKUP($A29,Hitters!$A$1:$R$401,10,FALSE)-AVERAGE(Rankings!U$2:U$651))/STDEV(Rankings!U$2:U$651)</f>
        <v>0.45214395846840993</v>
      </c>
      <c r="O29" s="157">
        <f>(VLOOKUP($A29,Hitters!$A$1:$R$401,11,FALSE)-AVERAGE(Rankings!V$2:V$651))/STDEV(Rankings!V$2:V$651)</f>
        <v>0.3086550640093812</v>
      </c>
      <c r="P29" s="157">
        <f>(VLOOKUP($A29,Hitters!$A$1:$R$401,12,FALSE)-AVERAGE(Rankings!W$2:W$651))/STDEV(Rankings!W$2:W$651)</f>
        <v>0.24078797826154483</v>
      </c>
      <c r="Q29" s="157">
        <f>(VLOOKUP($A29,Hitters!$A$1:$R$401,13,FALSE)-AVERAGE(Rankings!X$2:X$651))/STDEV(Rankings!X$2:X$651)</f>
        <v>1.1211225631538977</v>
      </c>
      <c r="R29" s="118">
        <f>(VLOOKUP($A29,Hitters!$A1:$R401,16,FALSE)-AVERAGE(Rankings!Y2:Y651))/STDEV(Rankings!Y2:Y651)</f>
        <v>0.56829687052707278</v>
      </c>
      <c r="S29" s="118">
        <f>(VLOOKUP($A29,Hitters!$A1:$R401,17,FALSE)-AVERAGE(Rankings!Z2:Z651))/STDEV(Rankings!Z2:Z651)</f>
        <v>0.14167653472034572</v>
      </c>
      <c r="T29" s="118">
        <f>IFERROR((VLOOKUP($A29,Hitters!$A1:$R401,18,FALSE)-AVERAGE(Rankings!AA2:AA651))/STDEV(Rankings!AA2:AA651),0)</f>
        <v>0</v>
      </c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</row>
    <row r="30" spans="1:37" ht="18.600000000000001" customHeight="1">
      <c r="A30" s="26" t="s">
        <v>501</v>
      </c>
      <c r="B30" s="27" t="s">
        <v>134</v>
      </c>
      <c r="C30" s="117" t="s">
        <v>7</v>
      </c>
      <c r="D30" s="67">
        <f>(F30*Settings!$C$2)+(G30*Settings!$C$3)+(H30*Settings!$C$4)+(I30*Settings!$C$5)+(J30*Settings!$C$6)+(M30*Settings!$C$9)+(N30*Settings!$C$10)+(O30*Settings!$C$11)+(P30*Settings!$C$12)+(Q30*Settings!$C$13)+(T30*Settings!$C$16)+(K30*Settings!$C$7)+(L30*Settings!$C$8)+(R30*Settings!$C$14)+(S30*Settings!$C$15)</f>
        <v>0.13715670184342532</v>
      </c>
      <c r="E30" s="67"/>
      <c r="F30" s="118">
        <f>(VLOOKUP($A30,Hitters!$A1:$R401,4,FALSE)-AVERAGE(Rankings!M2:M651))/STDEV(Rankings!M2:M651)</f>
        <v>0.41637488373733395</v>
      </c>
      <c r="G30" s="118">
        <f>(VLOOKUP($A30,Hitters!$A1:$R401,5,FALSE)-AVERAGE(Rankings!N2:N651))/STDEV(Rankings!N2:N651)</f>
        <v>0.10988209735874618</v>
      </c>
      <c r="H30" s="118">
        <f>(VLOOKUP($A30,Hitters!$A1:$R401,6,FALSE)-AVERAGE(Rankings!O2:O651))/STDEV(Rankings!O2:O651)</f>
        <v>-9.421669203004307E-2</v>
      </c>
      <c r="I30" s="118">
        <f>(VLOOKUP($A30,Hitters!$A1:$R401,7,FALSE)-AVERAGE(Rankings!P2:P651))/STDEV(Rankings!P2:P651)</f>
        <v>0.33233094179151884</v>
      </c>
      <c r="J30" s="118">
        <f>(VLOOKUP($A30,Hitters!$A1:$R401,8,FALSE)-AVERAGE(Rankings!Q2:Q651))/STDEV(Rankings!Q2:Q651)</f>
        <v>-0.82781992760533452</v>
      </c>
      <c r="K30" s="157">
        <f>(VLOOKUP($A30,Hitters!$A$1:$R$401,14,FALSE)-AVERAGE(Rankings!R$2:R$651))/STDEV(Rankings!R$2:R$651)</f>
        <v>0.61698028232853785</v>
      </c>
      <c r="L30" s="157">
        <f>(VLOOKUP($A30,Hitters!$A$1:$R$401,15,FALSE)-AVERAGE(Rankings!S$2:S$651))/STDEV(Rankings!S$2:S$651)</f>
        <v>0.74840084300931442</v>
      </c>
      <c r="M30" s="157">
        <f>(VLOOKUP($A30,Hitters!$A$1:$R$401,9,FALSE)-AVERAGE(Rankings!T$2:T$651))/STDEV(Rankings!T$2:T$651)</f>
        <v>0.46921301631069245</v>
      </c>
      <c r="N30" s="157">
        <f>(VLOOKUP($A30,Hitters!$A$1:$R$401,10,FALSE)-AVERAGE(Rankings!U$2:U$651))/STDEV(Rankings!U$2:U$651)</f>
        <v>0.58912326792540615</v>
      </c>
      <c r="O30" s="157">
        <f>(VLOOKUP($A30,Hitters!$A$1:$R$401,11,FALSE)-AVERAGE(Rankings!V$2:V$651))/STDEV(Rankings!V$2:V$651)</f>
        <v>-9.8133715672656177E-2</v>
      </c>
      <c r="P30" s="157">
        <f>(VLOOKUP($A30,Hitters!$A$1:$R$401,12,FALSE)-AVERAGE(Rankings!W$2:W$651))/STDEV(Rankings!W$2:W$651)</f>
        <v>0.49784181613385331</v>
      </c>
      <c r="Q30" s="157">
        <f>(VLOOKUP($A30,Hitters!$A$1:$R$401,13,FALSE)-AVERAGE(Rankings!X$2:X$651))/STDEV(Rankings!X$2:X$651)</f>
        <v>0.8619106880877766</v>
      </c>
      <c r="R30" s="118">
        <f>(VLOOKUP($A30,Hitters!$A1:$R401,16,FALSE)-AVERAGE(Rankings!Y2:Y651))/STDEV(Rankings!Y2:Y651)</f>
        <v>2.6531985031337298E-2</v>
      </c>
      <c r="S30" s="118">
        <f>(VLOOKUP($A30,Hitters!$A1:$R401,17,FALSE)-AVERAGE(Rankings!Z2:Z651))/STDEV(Rankings!Z2:Z651)</f>
        <v>0.30112199548344687</v>
      </c>
      <c r="T30" s="118">
        <f>IFERROR((VLOOKUP($A30,Hitters!$A1:$R401,18,FALSE)-AVERAGE(Rankings!AA2:AA651))/STDEV(Rankings!AA2:AA651),0)</f>
        <v>0</v>
      </c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</row>
    <row r="31" spans="1:37" ht="18.600000000000001" customHeight="1">
      <c r="A31" s="26" t="s">
        <v>521</v>
      </c>
      <c r="B31" s="27" t="s">
        <v>101</v>
      </c>
      <c r="C31" s="117" t="s">
        <v>7</v>
      </c>
      <c r="D31" s="67">
        <f>(F31*Settings!$C$2)+(G31*Settings!$C$3)+(H31*Settings!$C$4)+(I31*Settings!$C$5)+(J31*Settings!$C$6)+(M31*Settings!$C$9)+(N31*Settings!$C$10)+(O31*Settings!$C$11)+(P31*Settings!$C$12)+(Q31*Settings!$C$13)+(T31*Settings!$C$16)+(K31*Settings!$C$7)+(L31*Settings!$C$8)+(R31*Settings!$C$14)+(S31*Settings!$C$15)</f>
        <v>-0.49067539969936658</v>
      </c>
      <c r="E31" s="67"/>
      <c r="F31" s="118">
        <f>(VLOOKUP($A31,Hitters!$A1:$R401,4,FALSE)-AVERAGE(Rankings!M2:M651))/STDEV(Rankings!M2:M651)</f>
        <v>9.7318207125047185E-2</v>
      </c>
      <c r="G31" s="118">
        <f>(VLOOKUP($A31,Hitters!$A1:$R401,5,FALSE)-AVERAGE(Rankings!N2:N651))/STDEV(Rankings!N2:N651)</f>
        <v>8.9230003089914495E-2</v>
      </c>
      <c r="H31" s="118">
        <f>(VLOOKUP($A31,Hitters!$A1:$R401,6,FALSE)-AVERAGE(Rankings!O2:O651))/STDEV(Rankings!O2:O651)</f>
        <v>0.48318228628284937</v>
      </c>
      <c r="I31" s="118">
        <f>(VLOOKUP($A31,Hitters!$A1:$R401,7,FALSE)-AVERAGE(Rankings!P2:P651))/STDEV(Rankings!P2:P651)</f>
        <v>0.30121581542554882</v>
      </c>
      <c r="J31" s="118">
        <f>(VLOOKUP($A31,Hitters!$A1:$R401,8,FALSE)-AVERAGE(Rankings!Q2:Q651))/STDEV(Rankings!Q2:Q651)</f>
        <v>-0.82089038696272931</v>
      </c>
      <c r="K31" s="157">
        <f>(VLOOKUP($A31,Hitters!$A$1:$R$401,14,FALSE)-AVERAGE(Rankings!R$2:R$651))/STDEV(Rankings!R$2:R$651)</f>
        <v>-0.54341311753495003</v>
      </c>
      <c r="L31" s="157">
        <f>(VLOOKUP($A31,Hitters!$A$1:$R$401,15,FALSE)-AVERAGE(Rankings!S$2:S$651))/STDEV(Rankings!S$2:S$651)</f>
        <v>0.48123514760449543</v>
      </c>
      <c r="M31" s="157">
        <f>(VLOOKUP($A31,Hitters!$A$1:$R$401,9,FALSE)-AVERAGE(Rankings!T$2:T$651))/STDEV(Rankings!T$2:T$651)</f>
        <v>-6.1343535682294233E-2</v>
      </c>
      <c r="N31" s="157">
        <f>(VLOOKUP($A31,Hitters!$A$1:$R$401,10,FALSE)-AVERAGE(Rankings!U$2:U$651))/STDEV(Rankings!U$2:U$651)</f>
        <v>-1.7463040346067793E-4</v>
      </c>
      <c r="O31" s="157">
        <f>(VLOOKUP($A31,Hitters!$A$1:$R$401,11,FALSE)-AVERAGE(Rankings!V$2:V$651))/STDEV(Rankings!V$2:V$651)</f>
        <v>-0.54688898141802222</v>
      </c>
      <c r="P31" s="157">
        <f>(VLOOKUP($A31,Hitters!$A$1:$R$401,12,FALSE)-AVERAGE(Rankings!W$2:W$651))/STDEV(Rankings!W$2:W$651)</f>
        <v>0.76823819441114927</v>
      </c>
      <c r="Q31" s="157">
        <f>(VLOOKUP($A31,Hitters!$A$1:$R$401,13,FALSE)-AVERAGE(Rankings!X$2:X$651))/STDEV(Rankings!X$2:X$651)</f>
        <v>-0.42392954460321375</v>
      </c>
      <c r="R31" s="118">
        <f>(VLOOKUP($A31,Hitters!$A1:$R401,16,FALSE)-AVERAGE(Rankings!Y2:Y651))/STDEV(Rankings!Y2:Y651)</f>
        <v>0.36099747684052869</v>
      </c>
      <c r="S31" s="118">
        <f>(VLOOKUP($A31,Hitters!$A1:$R401,17,FALSE)-AVERAGE(Rankings!Z2:Z651))/STDEV(Rankings!Z2:Z651)</f>
        <v>0.44508209323789766</v>
      </c>
      <c r="T31" s="118">
        <f>IFERROR((VLOOKUP($A31,Hitters!$A1:$R401,18,FALSE)-AVERAGE(Rankings!AA2:AA651))/STDEV(Rankings!AA2:AA651),0)</f>
        <v>0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</row>
    <row r="32" spans="1:37" ht="18.600000000000001" customHeight="1">
      <c r="A32" s="26" t="s">
        <v>509</v>
      </c>
      <c r="B32" s="27" t="s">
        <v>158</v>
      </c>
      <c r="C32" s="117" t="s">
        <v>7</v>
      </c>
      <c r="D32" s="67">
        <f>(F32*Settings!$C$2)+(G32*Settings!$C$3)+(H32*Settings!$C$4)+(I32*Settings!$C$5)+(J32*Settings!$C$6)+(M32*Settings!$C$9)+(N32*Settings!$C$10)+(O32*Settings!$C$11)+(P32*Settings!$C$12)+(Q32*Settings!$C$13)+(T32*Settings!$C$16)+(K32*Settings!$C$7)+(L32*Settings!$C$8)+(R32*Settings!$C$14)+(S32*Settings!$C$15)</f>
        <v>-0.24129046562334833</v>
      </c>
      <c r="E32" s="67"/>
      <c r="F32" s="118">
        <f>(VLOOKUP($A32,Hitters!$A1:$R401,4,FALSE)-AVERAGE(Rankings!M2:M651))/STDEV(Rankings!M2:M651)</f>
        <v>2.3494765565302791E-2</v>
      </c>
      <c r="G32" s="118">
        <f>(VLOOKUP($A32,Hitters!$A1:$R401,5,FALSE)-AVERAGE(Rankings!N2:N651))/STDEV(Rankings!N2:N651)</f>
        <v>-0.31327665187702025</v>
      </c>
      <c r="H32" s="118">
        <f>(VLOOKUP($A32,Hitters!$A1:$R401,6,FALSE)-AVERAGE(Rankings!O2:O651))/STDEV(Rankings!O2:O651)</f>
        <v>-0.41220756378759582</v>
      </c>
      <c r="I32" s="118">
        <f>(VLOOKUP($A32,Hitters!$A1:$R401,7,FALSE)-AVERAGE(Rankings!P2:P651))/STDEV(Rankings!P2:P651)</f>
        <v>-0.11916290410291151</v>
      </c>
      <c r="J32" s="118">
        <f>(VLOOKUP($A32,Hitters!$A1:$R401,8,FALSE)-AVERAGE(Rankings!Q2:Q651))/STDEV(Rankings!Q2:Q651)</f>
        <v>-0.55586515541440462</v>
      </c>
      <c r="K32" s="157">
        <f>(VLOOKUP($A32,Hitters!$A$1:$R$401,14,FALSE)-AVERAGE(Rankings!R$2:R$651))/STDEV(Rankings!R$2:R$651)</f>
        <v>1.159221809558584</v>
      </c>
      <c r="L32" s="157">
        <f>(VLOOKUP($A32,Hitters!$A$1:$R$401,15,FALSE)-AVERAGE(Rankings!S$2:S$651))/STDEV(Rankings!S$2:S$651)</f>
        <v>0.77205078262523141</v>
      </c>
      <c r="M32" s="157">
        <f>(VLOOKUP($A32,Hitters!$A$1:$R$401,9,FALSE)-AVERAGE(Rankings!T$2:T$651))/STDEV(Rankings!T$2:T$651)</f>
        <v>0.21705487185061079</v>
      </c>
      <c r="N32" s="157">
        <f>(VLOOKUP($A32,Hitters!$A$1:$R$401,10,FALSE)-AVERAGE(Rankings!U$2:U$651))/STDEV(Rankings!U$2:U$651)</f>
        <v>-0.13191860499639357</v>
      </c>
      <c r="O32" s="157">
        <f>(VLOOKUP($A32,Hitters!$A$1:$R$401,11,FALSE)-AVERAGE(Rankings!V$2:V$651))/STDEV(Rankings!V$2:V$651)</f>
        <v>-0.56548776501427001</v>
      </c>
      <c r="P32" s="157">
        <f>(VLOOKUP($A32,Hitters!$A$1:$R$401,12,FALSE)-AVERAGE(Rankings!W$2:W$651))/STDEV(Rankings!W$2:W$651)</f>
        <v>-0.12045586044224957</v>
      </c>
      <c r="Q32" s="157">
        <f>(VLOOKUP($A32,Hitters!$A$1:$R$401,13,FALSE)-AVERAGE(Rankings!X$2:X$651))/STDEV(Rankings!X$2:X$651)</f>
        <v>-0.60951929916660519</v>
      </c>
      <c r="R32" s="118">
        <f>(VLOOKUP($A32,Hitters!$A1:$R401,16,FALSE)-AVERAGE(Rankings!Y2:Y651))/STDEV(Rankings!Y2:Y651)</f>
        <v>-0.12226359562028878</v>
      </c>
      <c r="S32" s="118">
        <f>(VLOOKUP($A32,Hitters!$A1:$R401,17,FALSE)-AVERAGE(Rankings!Z2:Z651))/STDEV(Rankings!Z2:Z651)</f>
        <v>0.20124045271498806</v>
      </c>
      <c r="T32" s="118">
        <f>IFERROR((VLOOKUP($A32,Hitters!$A1:$R401,18,FALSE)-AVERAGE(Rankings!AA2:AA651))/STDEV(Rankings!AA2:AA651),0)</f>
        <v>0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ht="18.600000000000001" customHeight="1">
      <c r="A33" s="26" t="s">
        <v>587</v>
      </c>
      <c r="B33" s="27" t="s">
        <v>137</v>
      </c>
      <c r="C33" s="117" t="s">
        <v>7</v>
      </c>
      <c r="D33" s="67">
        <f>(F33*Settings!$C$2)+(G33*Settings!$C$3)+(H33*Settings!$C$4)+(I33*Settings!$C$5)+(J33*Settings!$C$6)+(M33*Settings!$C$9)+(N33*Settings!$C$10)+(O33*Settings!$C$11)+(P33*Settings!$C$12)+(Q33*Settings!$C$13)+(T33*Settings!$C$16)+(K33*Settings!$C$7)+(L33*Settings!$C$8)+(R33*Settings!$C$14)+(S33*Settings!$C$15)</f>
        <v>-1.0137764853730371</v>
      </c>
      <c r="E33" s="67"/>
      <c r="F33" s="118">
        <f>(VLOOKUP($A33,Hitters!$A1:$R401,4,FALSE)-AVERAGE(Rankings!M2:M651))/STDEV(Rankings!M2:M651)</f>
        <v>0.35490815557170946</v>
      </c>
      <c r="G33" s="118">
        <f>(VLOOKUP($A33,Hitters!$A1:$R401,5,FALSE)-AVERAGE(Rankings!N2:N651))/STDEV(Rankings!N2:N651)</f>
        <v>0.1993364725342377</v>
      </c>
      <c r="H33" s="118">
        <f>(VLOOKUP($A33,Hitters!$A1:$R401,6,FALSE)-AVERAGE(Rankings!O2:O651))/STDEV(Rankings!O2:O651)</f>
        <v>0.3103596460133009</v>
      </c>
      <c r="I33" s="118">
        <f>(VLOOKUP($A33,Hitters!$A1:$R401,7,FALSE)-AVERAGE(Rankings!P2:P651))/STDEV(Rankings!P2:P651)</f>
        <v>0.33133831199334024</v>
      </c>
      <c r="J33" s="118">
        <f>(VLOOKUP($A33,Hitters!$A1:$R401,8,FALSE)-AVERAGE(Rankings!Q2:Q651))/STDEV(Rankings!Q2:Q651)</f>
        <v>-0.82599844835070679</v>
      </c>
      <c r="K33" s="157">
        <f>(VLOOKUP($A33,Hitters!$A$1:$R$401,14,FALSE)-AVERAGE(Rankings!R$2:R$651))/STDEV(Rankings!R$2:R$651)</f>
        <v>-1.0288124675632091</v>
      </c>
      <c r="L33" s="157">
        <f>(VLOOKUP($A33,Hitters!$A$1:$R$401,15,FALSE)-AVERAGE(Rankings!S$2:S$651))/STDEV(Rankings!S$2:S$651)</f>
        <v>0.94048404612447045</v>
      </c>
      <c r="M33" s="157">
        <f>(VLOOKUP($A33,Hitters!$A$1:$R$401,9,FALSE)-AVERAGE(Rankings!T$2:T$651))/STDEV(Rankings!T$2:T$651)</f>
        <v>4.6792708259365663E-2</v>
      </c>
      <c r="N33" s="157">
        <f>(VLOOKUP($A33,Hitters!$A$1:$R$401,10,FALSE)-AVERAGE(Rankings!U$2:U$651))/STDEV(Rankings!U$2:U$651)</f>
        <v>-0.21166781552842431</v>
      </c>
      <c r="O33" s="157">
        <f>(VLOOKUP($A33,Hitters!$A$1:$R$401,11,FALSE)-AVERAGE(Rankings!V$2:V$651))/STDEV(Rankings!V$2:V$651)</f>
        <v>-0.70855533113925384</v>
      </c>
      <c r="P33" s="157">
        <f>(VLOOKUP($A33,Hitters!$A$1:$R$401,12,FALSE)-AVERAGE(Rankings!W$2:W$651))/STDEV(Rankings!W$2:W$651)</f>
        <v>1.7837641368438915</v>
      </c>
      <c r="Q33" s="157">
        <f>(VLOOKUP($A33,Hitters!$A$1:$R$401,13,FALSE)-AVERAGE(Rankings!X$2:X$651))/STDEV(Rankings!X$2:X$651)</f>
        <v>-0.23960531854008438</v>
      </c>
      <c r="R33" s="118">
        <f>(VLOOKUP($A33,Hitters!$A1:$R401,16,FALSE)-AVERAGE(Rankings!Y2:Y651))/STDEV(Rankings!Y2:Y651)</f>
        <v>-0.52977868598928135</v>
      </c>
      <c r="S33" s="118">
        <f>(VLOOKUP($A33,Hitters!$A1:$R401,17,FALSE)-AVERAGE(Rankings!Z2:Z651))/STDEV(Rankings!Z2:Z651)</f>
        <v>-3.329065872552165E-2</v>
      </c>
      <c r="T33" s="118">
        <f>IFERROR((VLOOKUP($A33,Hitters!$A1:$R401,18,FALSE)-AVERAGE(Rankings!AA2:AA651))/STDEV(Rankings!AA2:AA651),0)</f>
        <v>0</v>
      </c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ht="18.600000000000001" customHeight="1">
      <c r="A34" s="26" t="s">
        <v>581</v>
      </c>
      <c r="B34" s="27" t="s">
        <v>140</v>
      </c>
      <c r="C34" s="117" t="s">
        <v>7</v>
      </c>
      <c r="D34" s="67">
        <f>(F34*Settings!$C$2)+(G34*Settings!$C$3)+(H34*Settings!$C$4)+(I34*Settings!$C$5)+(J34*Settings!$C$6)+(M34*Settings!$C$9)+(N34*Settings!$C$10)+(O34*Settings!$C$11)+(P34*Settings!$C$12)+(Q34*Settings!$C$13)+(T34*Settings!$C$16)+(K34*Settings!$C$7)+(L34*Settings!$C$8)+(R34*Settings!$C$14)+(S34*Settings!$C$15)</f>
        <v>-1.5428777613769789</v>
      </c>
      <c r="E34" s="67"/>
      <c r="F34" s="118">
        <f>(VLOOKUP($A34,Hitters!$A1:$R401,4,FALSE)-AVERAGE(Rankings!M2:M651))/STDEV(Rankings!M2:M651)</f>
        <v>7.7061646193489222E-2</v>
      </c>
      <c r="G34" s="118">
        <f>(VLOOKUP($A34,Hitters!$A1:$R401,5,FALSE)-AVERAGE(Rankings!N2:N651))/STDEV(Rankings!N2:N651)</f>
        <v>-0.41505382363280924</v>
      </c>
      <c r="H34" s="118">
        <f>(VLOOKUP($A34,Hitters!$A1:$R401,6,FALSE)-AVERAGE(Rankings!O2:O651))/STDEV(Rankings!O2:O651)</f>
        <v>0.10925567081854649</v>
      </c>
      <c r="I34" s="118">
        <f>(VLOOKUP($A34,Hitters!$A1:$R401,7,FALSE)-AVERAGE(Rankings!P2:P651))/STDEV(Rankings!P2:P651)</f>
        <v>0.16757984734004777</v>
      </c>
      <c r="J34" s="118">
        <f>(VLOOKUP($A34,Hitters!$A1:$R401,8,FALSE)-AVERAGE(Rankings!Q2:Q651))/STDEV(Rankings!Q2:Q651)</f>
        <v>-0.82655281160211536</v>
      </c>
      <c r="K34" s="157">
        <f>(VLOOKUP($A34,Hitters!$A$1:$R$401,14,FALSE)-AVERAGE(Rankings!R$2:R$651))/STDEV(Rankings!R$2:R$651)</f>
        <v>-0.57810664430064851</v>
      </c>
      <c r="L34" s="157">
        <f>(VLOOKUP($A34,Hitters!$A$1:$R$401,15,FALSE)-AVERAGE(Rankings!S$2:S$651))/STDEV(Rankings!S$2:S$651)</f>
        <v>-0.6420440887008948</v>
      </c>
      <c r="M34" s="157">
        <f>(VLOOKUP($A34,Hitters!$A$1:$R$401,9,FALSE)-AVERAGE(Rankings!T$2:T$651))/STDEV(Rankings!T$2:T$651)</f>
        <v>-8.5397110165716328E-2</v>
      </c>
      <c r="N34" s="157">
        <f>(VLOOKUP($A34,Hitters!$A$1:$R$401,10,FALSE)-AVERAGE(Rankings!U$2:U$651))/STDEV(Rankings!U$2:U$651)</f>
        <v>-0.21281528618356163</v>
      </c>
      <c r="O34" s="157">
        <f>(VLOOKUP($A34,Hitters!$A$1:$R$401,11,FALSE)-AVERAGE(Rankings!V$2:V$651))/STDEV(Rankings!V$2:V$651)</f>
        <v>-1.4038637025066756</v>
      </c>
      <c r="P34" s="157">
        <f>(VLOOKUP($A34,Hitters!$A$1:$R$401,12,FALSE)-AVERAGE(Rankings!W$2:W$651))/STDEV(Rankings!W$2:W$651)</f>
        <v>-0.15591156221774036</v>
      </c>
      <c r="Q34" s="157">
        <f>(VLOOKUP($A34,Hitters!$A$1:$R$401,13,FALSE)-AVERAGE(Rankings!X$2:X$651))/STDEV(Rankings!X$2:X$651)</f>
        <v>3.3559008241423091E-2</v>
      </c>
      <c r="R34" s="118">
        <f>(VLOOKUP($A34,Hitters!$A1:$R401,16,FALSE)-AVERAGE(Rankings!Y2:Y651))/STDEV(Rankings!Y2:Y651)</f>
        <v>-0.36780637935541138</v>
      </c>
      <c r="S34" s="118">
        <f>(VLOOKUP($A34,Hitters!$A1:$R401,17,FALSE)-AVERAGE(Rankings!Z2:Z651))/STDEV(Rankings!Z2:Z651)</f>
        <v>-0.51056694036505856</v>
      </c>
      <c r="T34" s="118">
        <f>IFERROR((VLOOKUP($A34,Hitters!$A1:$R401,18,FALSE)-AVERAGE(Rankings!AA2:AA651))/STDEV(Rankings!AA2:AA651),0)</f>
        <v>0</v>
      </c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ht="18.600000000000001" customHeight="1">
      <c r="A35" s="26" t="s">
        <v>603</v>
      </c>
      <c r="B35" s="27" t="s">
        <v>223</v>
      </c>
      <c r="C35" s="117" t="s">
        <v>7</v>
      </c>
      <c r="D35" s="67">
        <f>(F35*Settings!$C$2)+(G35*Settings!$C$3)+(H35*Settings!$C$4)+(I35*Settings!$C$5)+(J35*Settings!$C$6)+(M35*Settings!$C$9)+(N35*Settings!$C$10)+(O35*Settings!$C$11)+(P35*Settings!$C$12)+(Q35*Settings!$C$13)+(T35*Settings!$C$16)+(K35*Settings!$C$7)+(L35*Settings!$C$8)+(R35*Settings!$C$14)+(S35*Settings!$C$15)</f>
        <v>-0.75509049854740806</v>
      </c>
      <c r="E35" s="67"/>
      <c r="F35" s="118">
        <f>(VLOOKUP($A35,Hitters!$A1:$R401,4,FALSE)-AVERAGE(Rankings!M2:M651))/STDEV(Rankings!M2:M651)</f>
        <v>0.18385744605788676</v>
      </c>
      <c r="G35" s="118">
        <f>(VLOOKUP($A35,Hitters!$A1:$R401,5,FALSE)-AVERAGE(Rankings!N2:N651))/STDEV(Rankings!N2:N651)</f>
        <v>0.11150485246397045</v>
      </c>
      <c r="H35" s="118">
        <f>(VLOOKUP($A35,Hitters!$A1:$R401,6,FALSE)-AVERAGE(Rankings!O2:O651))/STDEV(Rankings!O2:O651)</f>
        <v>0.42675893335325082</v>
      </c>
      <c r="I35" s="118">
        <f>(VLOOKUP($A35,Hitters!$A1:$R401,7,FALSE)-AVERAGE(Rankings!P2:P651))/STDEV(Rankings!P2:P651)</f>
        <v>0.31530352294584679</v>
      </c>
      <c r="J35" s="118">
        <f>(VLOOKUP($A35,Hitters!$A1:$R401,8,FALSE)-AVERAGE(Rankings!Q2:Q651))/STDEV(Rankings!Q2:Q651)</f>
        <v>-0.82797831710573688</v>
      </c>
      <c r="K35" s="157">
        <f>(VLOOKUP($A35,Hitters!$A$1:$R$401,14,FALSE)-AVERAGE(Rankings!R$2:R$651))/STDEV(Rankings!R$2:R$651)</f>
        <v>-0.78067949020473915</v>
      </c>
      <c r="L35" s="157">
        <f>(VLOOKUP($A35,Hitters!$A$1:$R$401,15,FALSE)-AVERAGE(Rankings!S$2:S$651))/STDEV(Rankings!S$2:S$651)</f>
        <v>0.57945402254432721</v>
      </c>
      <c r="M35" s="157">
        <f>(VLOOKUP($A35,Hitters!$A$1:$R$401,9,FALSE)-AVERAGE(Rankings!T$2:T$651))/STDEV(Rankings!T$2:T$651)</f>
        <v>-3.8757738471210772E-2</v>
      </c>
      <c r="N35" s="157">
        <f>(VLOOKUP($A35,Hitters!$A$1:$R$401,10,FALSE)-AVERAGE(Rankings!U$2:U$651))/STDEV(Rankings!U$2:U$651)</f>
        <v>6.4872612359625714E-2</v>
      </c>
      <c r="O35" s="157">
        <f>(VLOOKUP($A35,Hitters!$A$1:$R$401,11,FALSE)-AVERAGE(Rankings!V$2:V$651))/STDEV(Rankings!V$2:V$651)</f>
        <v>-0.53401290046677363</v>
      </c>
      <c r="P35" s="157">
        <f>(VLOOKUP($A35,Hitters!$A$1:$R$401,12,FALSE)-AVERAGE(Rankings!W$2:W$651))/STDEV(Rankings!W$2:W$651)</f>
        <v>1.0916937193805387</v>
      </c>
      <c r="Q35" s="157">
        <f>(VLOOKUP($A35,Hitters!$A$1:$R$401,13,FALSE)-AVERAGE(Rankings!X$2:X$651))/STDEV(Rankings!X$2:X$651)</f>
        <v>0.66923397392291895</v>
      </c>
      <c r="R35" s="118">
        <f>(VLOOKUP($A35,Hitters!$A1:$R401,16,FALSE)-AVERAGE(Rankings!Y2:Y651))/STDEV(Rankings!Y2:Y651)</f>
        <v>8.7407028396391417E-2</v>
      </c>
      <c r="S35" s="118">
        <f>(VLOOKUP($A35,Hitters!$A1:$R401,17,FALSE)-AVERAGE(Rankings!Z2:Z651))/STDEV(Rankings!Z2:Z651)</f>
        <v>0.28203270294559474</v>
      </c>
      <c r="T35" s="118">
        <f>IFERROR((VLOOKUP($A35,Hitters!$A1:$R401,18,FALSE)-AVERAGE(Rankings!AA2:AA651))/STDEV(Rankings!AA2:AA651),0)</f>
        <v>0</v>
      </c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ht="18.600000000000001" customHeight="1">
      <c r="A36" s="26" t="s">
        <v>612</v>
      </c>
      <c r="B36" s="27" t="s">
        <v>258</v>
      </c>
      <c r="C36" s="117" t="s">
        <v>7</v>
      </c>
      <c r="D36" s="67">
        <f>(F36*Settings!$C$2)+(G36*Settings!$C$3)+(H36*Settings!$C$4)+(I36*Settings!$C$5)+(J36*Settings!$C$6)+(M36*Settings!$C$9)+(N36*Settings!$C$10)+(O36*Settings!$C$11)+(P36*Settings!$C$12)+(Q36*Settings!$C$13)+(T36*Settings!$C$16)+(K36*Settings!$C$7)+(L36*Settings!$C$8)+(R36*Settings!$C$14)+(S36*Settings!$C$15)</f>
        <v>-0.41651648551006226</v>
      </c>
      <c r="E36" s="67"/>
      <c r="F36" s="118">
        <f>(VLOOKUP($A36,Hitters!$A1:$R401,4,FALSE)-AVERAGE(Rankings!M2:M651))/STDEV(Rankings!M2:M651)</f>
        <v>0.57295577625370697</v>
      </c>
      <c r="G36" s="118">
        <f>(VLOOKUP($A36,Hitters!$A1:$R401,5,FALSE)-AVERAGE(Rankings!N2:N651))/STDEV(Rankings!N2:N651)</f>
        <v>0.26990197828491835</v>
      </c>
      <c r="H36" s="118">
        <f>(VLOOKUP($A36,Hitters!$A1:$R401,6,FALSE)-AVERAGE(Rankings!O2:O651))/STDEV(Rankings!O2:O651)</f>
        <v>0.45977704358612687</v>
      </c>
      <c r="I36" s="118">
        <f>(VLOOKUP($A36,Hitters!$A1:$R401,7,FALSE)-AVERAGE(Rankings!P2:P651))/STDEV(Rankings!P2:P651)</f>
        <v>0.37174394422933654</v>
      </c>
      <c r="J36" s="118">
        <f>(VLOOKUP($A36,Hitters!$A1:$R401,8,FALSE)-AVERAGE(Rankings!Q2:Q651))/STDEV(Rankings!Q2:Q651)</f>
        <v>-0.68542143116355603</v>
      </c>
      <c r="K36" s="157">
        <f>(VLOOKUP($A36,Hitters!$A$1:$R$401,14,FALSE)-AVERAGE(Rankings!R$2:R$651))/STDEV(Rankings!R$2:R$651)</f>
        <v>-0.83251802044688805</v>
      </c>
      <c r="L36" s="157">
        <f>(VLOOKUP($A36,Hitters!$A$1:$R$401,15,FALSE)-AVERAGE(Rankings!S$2:S$651))/STDEV(Rankings!S$2:S$651)</f>
        <v>-4.4557360263817965E-2</v>
      </c>
      <c r="M36" s="157">
        <f>(VLOOKUP($A36,Hitters!$A$1:$R$401,9,FALSE)-AVERAGE(Rankings!T$2:T$651))/STDEV(Rankings!T$2:T$651)</f>
        <v>0.26908008749545143</v>
      </c>
      <c r="N36" s="157">
        <f>(VLOOKUP($A36,Hitters!$A$1:$R$401,10,FALSE)-AVERAGE(Rankings!U$2:U$651))/STDEV(Rankings!U$2:U$651)</f>
        <v>0.44588450604463714</v>
      </c>
      <c r="O36" s="157">
        <f>(VLOOKUP($A36,Hitters!$A$1:$R$401,11,FALSE)-AVERAGE(Rankings!V$2:V$651))/STDEV(Rankings!V$2:V$651)</f>
        <v>-0.1043523858802219</v>
      </c>
      <c r="P36" s="157">
        <f>(VLOOKUP($A36,Hitters!$A$1:$R$401,12,FALSE)-AVERAGE(Rankings!W$2:W$651))/STDEV(Rankings!W$2:W$651)</f>
        <v>0.90407209806233302</v>
      </c>
      <c r="Q36" s="157">
        <f>(VLOOKUP($A36,Hitters!$A$1:$R$401,13,FALSE)-AVERAGE(Rankings!X$2:X$651))/STDEV(Rankings!X$2:X$651)</f>
        <v>0.89177589516545408</v>
      </c>
      <c r="R36" s="118">
        <f>(VLOOKUP($A36,Hitters!$A1:$R401,16,FALSE)-AVERAGE(Rankings!Y2:Y651))/STDEV(Rankings!Y2:Y651)</f>
        <v>-0.16204731429410774</v>
      </c>
      <c r="S36" s="118">
        <f>(VLOOKUP($A36,Hitters!$A1:$R401,17,FALSE)-AVERAGE(Rankings!Z2:Z651))/STDEV(Rankings!Z2:Z651)</f>
        <v>-0.1352320273567035</v>
      </c>
      <c r="T36" s="118">
        <f>IFERROR((VLOOKUP($A36,Hitters!$A1:$R401,18,FALSE)-AVERAGE(Rankings!AA2:AA651))/STDEV(Rankings!AA2:AA651),0)</f>
        <v>0</v>
      </c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ht="18.600000000000001" customHeight="1">
      <c r="A37" s="26" t="s">
        <v>615</v>
      </c>
      <c r="B37" s="27" t="s">
        <v>94</v>
      </c>
      <c r="C37" s="117" t="s">
        <v>7</v>
      </c>
      <c r="D37" s="67">
        <f>(F37*Settings!$C$2)+(G37*Settings!$C$3)+(H37*Settings!$C$4)+(I37*Settings!$C$5)+(J37*Settings!$C$6)+(M37*Settings!$C$9)+(N37*Settings!$C$10)+(O37*Settings!$C$11)+(P37*Settings!$C$12)+(Q37*Settings!$C$13)+(T37*Settings!$C$16)+(K37*Settings!$C$7)+(L37*Settings!$C$8)+(R37*Settings!$C$14)+(S37*Settings!$C$15)</f>
        <v>-1.5072186065717705</v>
      </c>
      <c r="E37" s="67"/>
      <c r="F37" s="118">
        <f>(VLOOKUP($A37,Hitters!$A1:$R401,4,FALSE)-AVERAGE(Rankings!M2:M651))/STDEV(Rankings!M2:M651)</f>
        <v>-0.53194478214715557</v>
      </c>
      <c r="G37" s="118">
        <f>(VLOOKUP($A37,Hitters!$A1:$R401,5,FALSE)-AVERAGE(Rankings!N2:N651))/STDEV(Rankings!N2:N651)</f>
        <v>-0.3027540992415812</v>
      </c>
      <c r="H37" s="118">
        <f>(VLOOKUP($A37,Hitters!$A1:$R401,6,FALSE)-AVERAGE(Rankings!O2:O651))/STDEV(Rankings!O2:O651)</f>
        <v>0.27950094805303899</v>
      </c>
      <c r="I37" s="118">
        <f>(VLOOKUP($A37,Hitters!$A1:$R401,7,FALSE)-AVERAGE(Rankings!P2:P651))/STDEV(Rankings!P2:P651)</f>
        <v>-0.13927002052754656</v>
      </c>
      <c r="J37" s="118">
        <f>(VLOOKUP($A37,Hitters!$A1:$R401,8,FALSE)-AVERAGE(Rankings!Q2:Q651))/STDEV(Rankings!Q2:Q651)</f>
        <v>-0.68368548223914571</v>
      </c>
      <c r="K37" s="157">
        <f>(VLOOKUP($A37,Hitters!$A$1:$R$401,14,FALSE)-AVERAGE(Rankings!R$2:R$651))/STDEV(Rankings!R$2:R$651)</f>
        <v>-0.66100995261653606</v>
      </c>
      <c r="L37" s="157">
        <f>(VLOOKUP($A37,Hitters!$A$1:$R$401,15,FALSE)-AVERAGE(Rankings!S$2:S$651))/STDEV(Rankings!S$2:S$651)</f>
        <v>0.65781388162068477</v>
      </c>
      <c r="M37" s="157">
        <f>(VLOOKUP($A37,Hitters!$A$1:$R$401,9,FALSE)-AVERAGE(Rankings!T$2:T$651))/STDEV(Rankings!T$2:T$651)</f>
        <v>-0.60828527477669048</v>
      </c>
      <c r="N37" s="157">
        <f>(VLOOKUP($A37,Hitters!$A$1:$R$401,10,FALSE)-AVERAGE(Rankings!U$2:U$651))/STDEV(Rankings!U$2:U$651)</f>
        <v>-0.77278096589048539</v>
      </c>
      <c r="O37" s="157">
        <f>(VLOOKUP($A37,Hitters!$A$1:$R$401,11,FALSE)-AVERAGE(Rankings!V$2:V$651))/STDEV(Rankings!V$2:V$651)</f>
        <v>-0.53401290046677363</v>
      </c>
      <c r="P37" s="157">
        <f>(VLOOKUP($A37,Hitters!$A$1:$R$401,12,FALSE)-AVERAGE(Rankings!W$2:W$651))/STDEV(Rankings!W$2:W$651)</f>
        <v>0.36429200611283791</v>
      </c>
      <c r="Q37" s="157">
        <f>(VLOOKUP($A37,Hitters!$A$1:$R$401,13,FALSE)-AVERAGE(Rankings!X$2:X$651))/STDEV(Rankings!X$2:X$651)</f>
        <v>6.801302166105011E-2</v>
      </c>
      <c r="R37" s="118">
        <f>(VLOOKUP($A37,Hitters!$A1:$R401,16,FALSE)-AVERAGE(Rankings!Y2:Y651))/STDEV(Rankings!Y2:Y651)</f>
        <v>0.65453166549160813</v>
      </c>
      <c r="S37" s="118">
        <f>(VLOOKUP($A37,Hitters!$A1:$R401,17,FALSE)-AVERAGE(Rankings!Z2:Z651))/STDEV(Rankings!Z2:Z651)</f>
        <v>0.72615129270810364</v>
      </c>
      <c r="T37" s="118">
        <f>IFERROR((VLOOKUP($A37,Hitters!$A1:$R401,18,FALSE)-AVERAGE(Rankings!AA2:AA651))/STDEV(Rankings!AA2:AA651),0)</f>
        <v>0</v>
      </c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ht="18.600000000000001" customHeight="1">
      <c r="A38" s="26" t="s">
        <v>623</v>
      </c>
      <c r="B38" s="27" t="s">
        <v>306</v>
      </c>
      <c r="C38" s="117" t="s">
        <v>7</v>
      </c>
      <c r="D38" s="67">
        <f>(F38*Settings!$C$2)+(G38*Settings!$C$3)+(H38*Settings!$C$4)+(I38*Settings!$C$5)+(J38*Settings!$C$6)+(M38*Settings!$C$9)+(N38*Settings!$C$10)+(O38*Settings!$C$11)+(P38*Settings!$C$12)+(Q38*Settings!$C$13)+(T38*Settings!$C$16)+(K38*Settings!$C$7)+(L38*Settings!$C$8)+(R38*Settings!$C$14)+(S38*Settings!$C$15)</f>
        <v>-0.98742521494539726</v>
      </c>
      <c r="E38" s="67"/>
      <c r="F38" s="118">
        <f>(VLOOKUP($A38,Hitters!$A1:$R401,4,FALSE)-AVERAGE(Rankings!M2:M651))/STDEV(Rankings!M2:M651)</f>
        <v>0.22708270809160971</v>
      </c>
      <c r="G38" s="118">
        <f>(VLOOKUP($A38,Hitters!$A1:$R401,5,FALSE)-AVERAGE(Rankings!N2:N651))/STDEV(Rankings!N2:N651)</f>
        <v>-0.18985091279559743</v>
      </c>
      <c r="H38" s="118">
        <f>(VLOOKUP($A38,Hitters!$A1:$R401,6,FALSE)-AVERAGE(Rankings!O2:O651))/STDEV(Rankings!O2:O651)</f>
        <v>-0.19097229353524364</v>
      </c>
      <c r="I38" s="118">
        <f>(VLOOKUP($A38,Hitters!$A1:$R401,7,FALSE)-AVERAGE(Rankings!P2:P651))/STDEV(Rankings!P2:P651)</f>
        <v>8.0798550933167304E-2</v>
      </c>
      <c r="J38" s="118">
        <f>(VLOOKUP($A38,Hitters!$A1:$R401,8,FALSE)-AVERAGE(Rankings!Q2:Q651))/STDEV(Rankings!Q2:Q651)</f>
        <v>-0.67114103380727519</v>
      </c>
      <c r="K38" s="157">
        <f>(VLOOKUP($A38,Hitters!$A$1:$R$401,14,FALSE)-AVERAGE(Rankings!R$2:R$651))/STDEV(Rankings!R$2:R$651)</f>
        <v>-1.625952574044829E-2</v>
      </c>
      <c r="L38" s="157">
        <f>(VLOOKUP($A38,Hitters!$A$1:$R$401,15,FALSE)-AVERAGE(Rankings!S$2:S$651))/STDEV(Rankings!S$2:S$651)</f>
        <v>-0.37680490117586241</v>
      </c>
      <c r="M38" s="157">
        <f>(VLOOKUP($A38,Hitters!$A$1:$R$401,9,FALSE)-AVERAGE(Rankings!T$2:T$651))/STDEV(Rankings!T$2:T$651)</f>
        <v>0.16017101388794808</v>
      </c>
      <c r="N38" s="157">
        <f>(VLOOKUP($A38,Hitters!$A$1:$R$401,10,FALSE)-AVERAGE(Rankings!U$2:U$651))/STDEV(Rankings!U$2:U$651)</f>
        <v>0.70711193803988215</v>
      </c>
      <c r="O38" s="157">
        <f>(VLOOKUP($A38,Hitters!$A$1:$R$401,11,FALSE)-AVERAGE(Rankings!V$2:V$651))/STDEV(Rankings!V$2:V$651)</f>
        <v>-0.51512798173827568</v>
      </c>
      <c r="P38" s="157">
        <f>(VLOOKUP($A38,Hitters!$A$1:$R$401,12,FALSE)-AVERAGE(Rankings!W$2:W$651))/STDEV(Rankings!W$2:W$651)</f>
        <v>-0.2007847960086859</v>
      </c>
      <c r="Q38" s="157">
        <f>(VLOOKUP($A38,Hitters!$A$1:$R$401,13,FALSE)-AVERAGE(Rankings!X$2:X$651))/STDEV(Rankings!X$2:X$651)</f>
        <v>0.13929391443829525</v>
      </c>
      <c r="R38" s="118">
        <f>(VLOOKUP($A38,Hitters!$A1:$R401,16,FALSE)-AVERAGE(Rankings!Y2:Y651))/STDEV(Rankings!Y2:Y651)</f>
        <v>-0.17804733829751965</v>
      </c>
      <c r="S38" s="118">
        <f>(VLOOKUP($A38,Hitters!$A1:$R401,17,FALSE)-AVERAGE(Rankings!Z2:Z651))/STDEV(Rankings!Z2:Z651)</f>
        <v>-0.27199384442054297</v>
      </c>
      <c r="T38" s="118">
        <f>IFERROR((VLOOKUP($A38,Hitters!$A1:$R401,18,FALSE)-AVERAGE(Rankings!AA2:AA651))/STDEV(Rankings!AA2:AA651),0)</f>
        <v>0</v>
      </c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ht="18.600000000000001" customHeight="1">
      <c r="A39" s="26" t="s">
        <v>633</v>
      </c>
      <c r="B39" s="27"/>
      <c r="C39" s="117" t="s">
        <v>7</v>
      </c>
      <c r="D39" s="67">
        <f>(F39*Settings!$C$2)+(G39*Settings!$C$3)+(H39*Settings!$C$4)+(I39*Settings!$C$5)+(J39*Settings!$C$6)+(M39*Settings!$C$9)+(N39*Settings!$C$10)+(O39*Settings!$C$11)+(P39*Settings!$C$12)+(Q39*Settings!$C$13)+(T39*Settings!$C$16)+(K39*Settings!$C$7)+(L39*Settings!$C$8)+(R39*Settings!$C$14)+(S39*Settings!$C$15)</f>
        <v>-5.2709858891184869</v>
      </c>
      <c r="E39" s="67"/>
      <c r="F39" s="118">
        <f>(VLOOKUP($A39,Hitters!$A1:$R401,4,FALSE)-AVERAGE(Rankings!M2:M651))/STDEV(Rankings!M2:M651)</f>
        <v>-1.6551594683791946</v>
      </c>
      <c r="G39" s="118">
        <f>(VLOOKUP($A39,Hitters!$A1:$R401,5,FALSE)-AVERAGE(Rankings!N2:N651))/STDEV(Rankings!N2:N651)</f>
        <v>-1.3838132659032216</v>
      </c>
      <c r="H39" s="118">
        <f>(VLOOKUP($A39,Hitters!$A1:$R401,6,FALSE)-AVERAGE(Rankings!O2:O651))/STDEV(Rankings!O2:O651)</f>
        <v>-0.72232702951916761</v>
      </c>
      <c r="I39" s="118">
        <f>(VLOOKUP($A39,Hitters!$A1:$R401,7,FALSE)-AVERAGE(Rankings!P2:P651))/STDEV(Rankings!P2:P651)</f>
        <v>-1.162798602679789</v>
      </c>
      <c r="J39" s="118">
        <f>(VLOOKUP($A39,Hitters!$A1:$R401,8,FALSE)-AVERAGE(Rankings!Q2:Q651))/STDEV(Rankings!Q2:Q651)</f>
        <v>-0.96284697669838504</v>
      </c>
      <c r="K39" s="157">
        <f>(VLOOKUP($A39,Hitters!$A$1:$R$401,14,FALSE)-AVERAGE(Rankings!R$2:R$651))/STDEV(Rankings!R$2:R$651)</f>
        <v>-1.0392000143179243</v>
      </c>
      <c r="L39" s="157">
        <f>(VLOOKUP($A39,Hitters!$A$1:$R$401,15,FALSE)-AVERAGE(Rankings!S$2:S$651))/STDEV(Rankings!S$2:S$651)</f>
        <v>-0.38293631840655606</v>
      </c>
      <c r="M39" s="157">
        <f>(VLOOKUP($A39,Hitters!$A$1:$R$401,9,FALSE)-AVERAGE(Rankings!T$2:T$651))/STDEV(Rankings!T$2:T$651)</f>
        <v>-1.5740228106988845</v>
      </c>
      <c r="N39" s="157">
        <f>(VLOOKUP($A39,Hitters!$A$1:$R$401,10,FALSE)-AVERAGE(Rankings!U$2:U$651))/STDEV(Rankings!U$2:U$651)</f>
        <v>-1.6071355660070772</v>
      </c>
      <c r="O39" s="157">
        <f>(VLOOKUP($A39,Hitters!$A$1:$R$401,11,FALSE)-AVERAGE(Rankings!V$2:V$651))/STDEV(Rankings!V$2:V$651)</f>
        <v>-1.3909876215554269</v>
      </c>
      <c r="P39" s="157">
        <f>(VLOOKUP($A39,Hitters!$A$1:$R$401,12,FALSE)-AVERAGE(Rankings!W$2:W$651))/STDEV(Rankings!W$2:W$651)</f>
        <v>-1.03446653042306</v>
      </c>
      <c r="Q39" s="157">
        <f>(VLOOKUP($A39,Hitters!$A$1:$R$401,13,FALSE)-AVERAGE(Rankings!X$2:X$651))/STDEV(Rankings!X$2:X$651)</f>
        <v>-1.0920336781039186</v>
      </c>
      <c r="R39" s="118">
        <f>(VLOOKUP($A39,Hitters!$A1:$R401,16,FALSE)-AVERAGE(Rankings!Y2:Y651))/STDEV(Rankings!Y2:Y651)</f>
        <v>0.12738471037829865</v>
      </c>
      <c r="S39" s="118">
        <f>(VLOOKUP($A39,Hitters!$A1:$R401,17,FALSE)-AVERAGE(Rankings!Z2:Z651))/STDEV(Rankings!Z2:Z651)</f>
        <v>-5.1001730134463401E-2</v>
      </c>
      <c r="T39" s="118">
        <f>IFERROR((VLOOKUP($A39,Hitters!$A1:$R401,18,FALSE)-AVERAGE(Rankings!AA2:AA651))/STDEV(Rankings!AA2:AA651),0)</f>
        <v>0</v>
      </c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ht="18.600000000000001" customHeight="1">
      <c r="A40" s="26" t="s">
        <v>647</v>
      </c>
      <c r="B40" s="27" t="s">
        <v>137</v>
      </c>
      <c r="C40" s="117" t="s">
        <v>7</v>
      </c>
      <c r="D40" s="67">
        <f>(F40*Settings!$C$2)+(G40*Settings!$C$3)+(H40*Settings!$C$4)+(I40*Settings!$C$5)+(J40*Settings!$C$6)+(M40*Settings!$C$9)+(N40*Settings!$C$10)+(O40*Settings!$C$11)+(P40*Settings!$C$12)+(Q40*Settings!$C$13)+(T40*Settings!$C$16)+(K40*Settings!$C$7)+(L40*Settings!$C$8)+(R40*Settings!$C$14)+(S40*Settings!$C$15)</f>
        <v>-1.3462791610202176</v>
      </c>
      <c r="E40" s="67"/>
      <c r="F40" s="118">
        <f>(VLOOKUP($A40,Hitters!$A1:$R401,4,FALSE)-AVERAGE(Rankings!M2:M651))/STDEV(Rankings!M2:M651)</f>
        <v>0.10384508650758266</v>
      </c>
      <c r="G40" s="118">
        <f>(VLOOKUP($A40,Hitters!$A1:$R401,5,FALSE)-AVERAGE(Rankings!N2:N651))/STDEV(Rankings!N2:N651)</f>
        <v>-2.6530753674174904E-2</v>
      </c>
      <c r="H40" s="118">
        <f>(VLOOKUP($A40,Hitters!$A1:$R401,6,FALSE)-AVERAGE(Rankings!O2:O651))/STDEV(Rankings!O2:O651)</f>
        <v>-1.529365638901182E-2</v>
      </c>
      <c r="I40" s="118">
        <f>(VLOOKUP($A40,Hitters!$A1:$R401,7,FALSE)-AVERAGE(Rankings!P2:P651))/STDEV(Rankings!P2:P651)</f>
        <v>0.18717792284254009</v>
      </c>
      <c r="J40" s="118">
        <f>(VLOOKUP($A40,Hitters!$A1:$R401,8,FALSE)-AVERAGE(Rankings!Q2:Q651))/STDEV(Rankings!Q2:Q651)</f>
        <v>-0.96736107745985367</v>
      </c>
      <c r="K40" s="157">
        <f>(VLOOKUP($A40,Hitters!$A$1:$R$401,14,FALSE)-AVERAGE(Rankings!R$2:R$651))/STDEV(Rankings!R$2:R$651)</f>
        <v>-0.52427159633971721</v>
      </c>
      <c r="L40" s="157">
        <f>(VLOOKUP($A40,Hitters!$A$1:$R$401,15,FALSE)-AVERAGE(Rankings!S$2:S$651))/STDEV(Rankings!S$2:S$651)</f>
        <v>1.2510292734810902</v>
      </c>
      <c r="M40" s="157">
        <f>(VLOOKUP($A40,Hitters!$A$1:$R$401,9,FALSE)-AVERAGE(Rankings!T$2:T$651))/STDEV(Rankings!T$2:T$651)</f>
        <v>-5.1937779284044826E-2</v>
      </c>
      <c r="N40" s="157">
        <f>(VLOOKUP($A40,Hitters!$A$1:$R$401,10,FALSE)-AVERAGE(Rankings!U$2:U$651))/STDEV(Rankings!U$2:U$651)</f>
        <v>0.32922116453684402</v>
      </c>
      <c r="O40" s="157">
        <f>(VLOOKUP($A40,Hitters!$A$1:$R$401,11,FALSE)-AVERAGE(Rankings!V$2:V$651))/STDEV(Rankings!V$2:V$651)</f>
        <v>-0.70855533113925384</v>
      </c>
      <c r="P40" s="157">
        <f>(VLOOKUP($A40,Hitters!$A$1:$R$401,12,FALSE)-AVERAGE(Rankings!W$2:W$651))/STDEV(Rankings!W$2:W$651)</f>
        <v>1.4435760087558922</v>
      </c>
      <c r="Q40" s="157">
        <f>(VLOOKUP($A40,Hitters!$A$1:$R$401,13,FALSE)-AVERAGE(Rankings!X$2:X$651))/STDEV(Rankings!X$2:X$651)</f>
        <v>0.81277654406511257</v>
      </c>
      <c r="R40" s="118">
        <f>(VLOOKUP($A40,Hitters!$A1:$R401,16,FALSE)-AVERAGE(Rankings!Y2:Y651))/STDEV(Rankings!Y2:Y651)</f>
        <v>-0.21008757919965002</v>
      </c>
      <c r="S40" s="118">
        <f>(VLOOKUP($A40,Hitters!$A1:$R401,17,FALSE)-AVERAGE(Rankings!Z2:Z651))/STDEV(Rankings!Z2:Z651)</f>
        <v>0.31732927948083001</v>
      </c>
      <c r="T40" s="118">
        <f>IFERROR((VLOOKUP($A40,Hitters!$A1:$R401,18,FALSE)-AVERAGE(Rankings!AA2:AA651))/STDEV(Rankings!AA2:AA651),0)</f>
        <v>0</v>
      </c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ht="18.600000000000001" customHeight="1">
      <c r="A41" s="26" t="s">
        <v>672</v>
      </c>
      <c r="B41" s="27"/>
      <c r="C41" s="117" t="s">
        <v>7</v>
      </c>
      <c r="D41" s="67">
        <f>(F41*Settings!$C$2)+(G41*Settings!$C$3)+(H41*Settings!$C$4)+(I41*Settings!$C$5)+(J41*Settings!$C$6)+(M41*Settings!$C$9)+(N41*Settings!$C$10)+(O41*Settings!$C$11)+(P41*Settings!$C$12)+(Q41*Settings!$C$13)+(T41*Settings!$C$16)+(K41*Settings!$C$7)+(L41*Settings!$C$8)+(R41*Settings!$C$14)+(S41*Settings!$C$15)</f>
        <v>-3.343183231515459</v>
      </c>
      <c r="E41" s="67"/>
      <c r="F41" s="118">
        <f>(VLOOKUP($A41,Hitters!$A1:$R401,4,FALSE)-AVERAGE(Rankings!M2:M651))/STDEV(Rankings!M2:M651)</f>
        <v>-1.1927860389821108</v>
      </c>
      <c r="G41" s="118">
        <f>(VLOOKUP($A41,Hitters!$A1:$R401,5,FALSE)-AVERAGE(Rankings!N2:N651))/STDEV(Rankings!N2:N651)</f>
        <v>-1.2374863953993203</v>
      </c>
      <c r="H41" s="118">
        <f>(VLOOKUP($A41,Hitters!$A1:$R401,6,FALSE)-AVERAGE(Rankings!O2:O651))/STDEV(Rankings!O2:O651)</f>
        <v>-1.2113990800360959</v>
      </c>
      <c r="I41" s="118">
        <f>(VLOOKUP($A41,Hitters!$A1:$R401,7,FALSE)-AVERAGE(Rankings!P2:P651))/STDEV(Rankings!P2:P651)</f>
        <v>-1.1705869287885717</v>
      </c>
      <c r="J41" s="118">
        <f>(VLOOKUP($A41,Hitters!$A1:$R401,8,FALSE)-AVERAGE(Rankings!Q2:Q651))/STDEV(Rankings!Q2:Q651)</f>
        <v>-0.96237180819717782</v>
      </c>
      <c r="K41" s="157">
        <f>(VLOOKUP($A41,Hitters!$A$1:$R$401,14,FALSE)-AVERAGE(Rankings!R$2:R$651))/STDEV(Rankings!R$2:R$651)</f>
        <v>1.2386609809057063</v>
      </c>
      <c r="L41" s="157">
        <f>(VLOOKUP($A41,Hitters!$A$1:$R$401,15,FALSE)-AVERAGE(Rankings!S$2:S$651))/STDEV(Rankings!S$2:S$651)</f>
        <v>0.25853457201101787</v>
      </c>
      <c r="M41" s="157">
        <f>(VLOOKUP($A41,Hitters!$A$1:$R$401,9,FALSE)-AVERAGE(Rankings!T$2:T$651))/STDEV(Rankings!T$2:T$651)</f>
        <v>-0.93459612612806864</v>
      </c>
      <c r="N41" s="157">
        <f>(VLOOKUP($A41,Hitters!$A$1:$R$401,10,FALSE)-AVERAGE(Rankings!U$2:U$651))/STDEV(Rankings!U$2:U$651)</f>
        <v>-0.84593222015547798</v>
      </c>
      <c r="O41" s="157">
        <f>(VLOOKUP($A41,Hitters!$A$1:$R$401,11,FALSE)-AVERAGE(Rankings!V$2:V$651))/STDEV(Rankings!V$2:V$651)</f>
        <v>-1.4038637025066756</v>
      </c>
      <c r="P41" s="157">
        <f>(VLOOKUP($A41,Hitters!$A$1:$R$401,12,FALSE)-AVERAGE(Rankings!W$2:W$651))/STDEV(Rankings!W$2:W$651)</f>
        <v>-1.1832249704161939</v>
      </c>
      <c r="Q41" s="157">
        <f>(VLOOKUP($A41,Hitters!$A$1:$R$401,13,FALSE)-AVERAGE(Rankings!X$2:X$651))/STDEV(Rankings!X$2:X$651)</f>
        <v>-1.3010989863471658</v>
      </c>
      <c r="R41" s="118">
        <f>(VLOOKUP($A41,Hitters!$A1:$R401,16,FALSE)-AVERAGE(Rankings!Y2:Y651))/STDEV(Rankings!Y2:Y651)</f>
        <v>-0.6182133880126528</v>
      </c>
      <c r="S41" s="118">
        <f>(VLOOKUP($A41,Hitters!$A1:$R401,17,FALSE)-AVERAGE(Rankings!Z2:Z651))/STDEV(Rankings!Z2:Z651)</f>
        <v>-0.35464359663221112</v>
      </c>
      <c r="T41" s="118">
        <f>IFERROR((VLOOKUP($A41,Hitters!$A1:$R401,18,FALSE)-AVERAGE(Rankings!AA2:AA651))/STDEV(Rankings!AA2:AA651),0)</f>
        <v>0</v>
      </c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ht="18.600000000000001" customHeight="1">
      <c r="A42" s="26" t="s">
        <v>687</v>
      </c>
      <c r="B42" s="27" t="s">
        <v>217</v>
      </c>
      <c r="C42" s="117" t="s">
        <v>7</v>
      </c>
      <c r="D42" s="67">
        <f>(F42*Settings!$C$2)+(G42*Settings!$C$3)+(H42*Settings!$C$4)+(I42*Settings!$C$5)+(J42*Settings!$C$6)+(M42*Settings!$C$9)+(N42*Settings!$C$10)+(O42*Settings!$C$11)+(P42*Settings!$C$12)+(Q42*Settings!$C$13)+(T42*Settings!$C$16)+(K42*Settings!$C$7)+(L42*Settings!$C$8)+(R42*Settings!$C$14)+(S42*Settings!$C$15)</f>
        <v>-1.5531522446741923</v>
      </c>
      <c r="E42" s="67"/>
      <c r="F42" s="118">
        <f>(VLOOKUP($A42,Hitters!$A1:$R401,4,FALSE)-AVERAGE(Rankings!M2:M651))/STDEV(Rankings!M2:M651)</f>
        <v>-0.12174414263635745</v>
      </c>
      <c r="G42" s="118">
        <f>(VLOOKUP($A42,Hitters!$A1:$R401,5,FALSE)-AVERAGE(Rankings!N2:N651))/STDEV(Rankings!N2:N651)</f>
        <v>-1.4917912452413506E-2</v>
      </c>
      <c r="H42" s="118">
        <f>(VLOOKUP($A42,Hitters!$A1:$R401,6,FALSE)-AVERAGE(Rankings!O2:O651))/STDEV(Rankings!O2:O651)</f>
        <v>-0.11406935324601317</v>
      </c>
      <c r="I42" s="118">
        <f>(VLOOKUP($A42,Hitters!$A1:$R401,7,FALSE)-AVERAGE(Rankings!P2:P651))/STDEV(Rankings!P2:P651)</f>
        <v>-0.29569829590198554</v>
      </c>
      <c r="J42" s="118">
        <f>(VLOOKUP($A42,Hitters!$A1:$R401,8,FALSE)-AVERAGE(Rankings!Q2:Q651))/STDEV(Rankings!Q2:Q651)</f>
        <v>-0.28755334173272995</v>
      </c>
      <c r="K42" s="157">
        <f>(VLOOKUP($A42,Hitters!$A$1:$R$401,14,FALSE)-AVERAGE(Rankings!R$2:R$651))/STDEV(Rankings!R$2:R$651)</f>
        <v>-0.84091334134105022</v>
      </c>
      <c r="L42" s="157">
        <f>(VLOOKUP($A42,Hitters!$A$1:$R$401,15,FALSE)-AVERAGE(Rankings!S$2:S$651))/STDEV(Rankings!S$2:S$651)</f>
        <v>0.18983534051855952</v>
      </c>
      <c r="M42" s="157">
        <f>(VLOOKUP($A42,Hitters!$A$1:$R$401,9,FALSE)-AVERAGE(Rankings!T$2:T$651))/STDEV(Rankings!T$2:T$651)</f>
        <v>-0.30163964341082539</v>
      </c>
      <c r="N42" s="157">
        <f>(VLOOKUP($A42,Hitters!$A$1:$R$401,10,FALSE)-AVERAGE(Rankings!U$2:U$651))/STDEV(Rankings!U$2:U$651)</f>
        <v>-0.41104084185850259</v>
      </c>
      <c r="O42" s="157">
        <f>(VLOOKUP($A42,Hitters!$A$1:$R$401,11,FALSE)-AVERAGE(Rankings!V$2:V$651))/STDEV(Rankings!V$2:V$651)</f>
        <v>0.29291763173563318</v>
      </c>
      <c r="P42" s="157">
        <f>(VLOOKUP($A42,Hitters!$A$1:$R$401,12,FALSE)-AVERAGE(Rankings!W$2:W$651))/STDEV(Rankings!W$2:W$651)</f>
        <v>0.50804310576750333</v>
      </c>
      <c r="Q42" s="157">
        <f>(VLOOKUP($A42,Hitters!$A$1:$R$401,13,FALSE)-AVERAGE(Rankings!X$2:X$651))/STDEV(Rankings!X$2:X$651)</f>
        <v>-0.14682626036464183</v>
      </c>
      <c r="R42" s="118">
        <f>(VLOOKUP($A42,Hitters!$A1:$R401,16,FALSE)-AVERAGE(Rankings!Y2:Y651))/STDEV(Rankings!Y2:Y651)</f>
        <v>-0.41097765259377872</v>
      </c>
      <c r="S42" s="118">
        <f>(VLOOKUP($A42,Hitters!$A1:$R401,17,FALSE)-AVERAGE(Rankings!Z2:Z651))/STDEV(Rankings!Z2:Z651)</f>
        <v>-0.22899410723439687</v>
      </c>
      <c r="T42" s="118">
        <f>IFERROR((VLOOKUP($A42,Hitters!$A1:$R401,18,FALSE)-AVERAGE(Rankings!AA2:AA651))/STDEV(Rankings!AA2:AA651),0)</f>
        <v>0</v>
      </c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ht="18.600000000000001" customHeight="1">
      <c r="A43" s="26" t="s">
        <v>688</v>
      </c>
      <c r="B43" s="27" t="s">
        <v>158</v>
      </c>
      <c r="C43" s="117" t="s">
        <v>7</v>
      </c>
      <c r="D43" s="67">
        <f>(F43*Settings!$C$2)+(G43*Settings!$C$3)+(H43*Settings!$C$4)+(I43*Settings!$C$5)+(J43*Settings!$C$6)+(M43*Settings!$C$9)+(N43*Settings!$C$10)+(O43*Settings!$C$11)+(P43*Settings!$C$12)+(Q43*Settings!$C$13)+(T43*Settings!$C$16)+(K43*Settings!$C$7)+(L43*Settings!$C$8)+(R43*Settings!$C$14)+(S43*Settings!$C$15)</f>
        <v>-3.1476669634650483</v>
      </c>
      <c r="E43" s="67"/>
      <c r="F43" s="118">
        <f>(VLOOKUP($A43,Hitters!$A1:$R401,4,FALSE)-AVERAGE(Rankings!M2:M651))/STDEV(Rankings!M2:M651)</f>
        <v>-1.0454771172545976</v>
      </c>
      <c r="G43" s="118">
        <f>(VLOOKUP($A43,Hitters!$A1:$R401,5,FALSE)-AVERAGE(Rankings!N2:N651))/STDEV(Rankings!N2:N651)</f>
        <v>-0.96022347234263028</v>
      </c>
      <c r="H43" s="118">
        <f>(VLOOKUP($A43,Hitters!$A1:$R401,6,FALSE)-AVERAGE(Rankings!O2:O651))/STDEV(Rankings!O2:O651)</f>
        <v>-0.50596785149529921</v>
      </c>
      <c r="I43" s="118">
        <f>(VLOOKUP($A43,Hitters!$A1:$R401,7,FALSE)-AVERAGE(Rankings!P2:P651))/STDEV(Rankings!P2:P651)</f>
        <v>-0.71916943903246267</v>
      </c>
      <c r="J43" s="118">
        <f>(VLOOKUP($A43,Hitters!$A1:$R401,8,FALSE)-AVERAGE(Rankings!Q2:Q651))/STDEV(Rankings!Q2:Q651)</f>
        <v>-0.82671120110251761</v>
      </c>
      <c r="K43" s="157">
        <f>(VLOOKUP($A43,Hitters!$A$1:$R$401,14,FALSE)-AVERAGE(Rankings!R$2:R$651))/STDEV(Rankings!R$2:R$651)</f>
        <v>-0.13559499949213824</v>
      </c>
      <c r="L43" s="157">
        <f>(VLOOKUP($A43,Hitters!$A$1:$R$401,15,FALSE)-AVERAGE(Rankings!S$2:S$651))/STDEV(Rankings!S$2:S$651)</f>
        <v>-0.5301492837740569</v>
      </c>
      <c r="M43" s="157">
        <f>(VLOOKUP($A43,Hitters!$A$1:$R$401,9,FALSE)-AVERAGE(Rankings!T$2:T$651))/STDEV(Rankings!T$2:T$651)</f>
        <v>-0.96810038896705652</v>
      </c>
      <c r="N43" s="157">
        <f>(VLOOKUP($A43,Hitters!$A$1:$R$401,10,FALSE)-AVERAGE(Rankings!U$2:U$651))/STDEV(Rankings!U$2:U$651)</f>
        <v>-0.83244943995761633</v>
      </c>
      <c r="O43" s="157">
        <f>(VLOOKUP($A43,Hitters!$A$1:$R$401,11,FALSE)-AVERAGE(Rankings!V$2:V$651))/STDEV(Rankings!V$2:V$651)</f>
        <v>-0.5559499272726045</v>
      </c>
      <c r="P43" s="157">
        <f>(VLOOKUP($A43,Hitters!$A$1:$R$401,12,FALSE)-AVERAGE(Rankings!W$2:W$651))/STDEV(Rankings!W$2:W$651)</f>
        <v>-0.97282337172216282</v>
      </c>
      <c r="Q43" s="157">
        <f>(VLOOKUP($A43,Hitters!$A$1:$R$401,13,FALSE)-AVERAGE(Rankings!X$2:X$651))/STDEV(Rankings!X$2:X$651)</f>
        <v>-0.96071927709550464</v>
      </c>
      <c r="R43" s="118">
        <f>(VLOOKUP($A43,Hitters!$A1:$R401,16,FALSE)-AVERAGE(Rankings!Y2:Y651))/STDEV(Rankings!Y2:Y651)</f>
        <v>0.3552892352981476</v>
      </c>
      <c r="S43" s="118">
        <f>(VLOOKUP($A43,Hitters!$A1:$R401,17,FALSE)-AVERAGE(Rankings!Z2:Z651))/STDEV(Rankings!Z2:Z651)</f>
        <v>6.0204568715076366E-2</v>
      </c>
      <c r="T43" s="118">
        <f>IFERROR((VLOOKUP($A43,Hitters!$A1:$R401,18,FALSE)-AVERAGE(Rankings!AA2:AA651))/STDEV(Rankings!AA2:AA651),0)</f>
        <v>0</v>
      </c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ht="18.600000000000001" customHeight="1">
      <c r="A44" s="26" t="s">
        <v>705</v>
      </c>
      <c r="B44" s="27" t="s">
        <v>97</v>
      </c>
      <c r="C44" s="117" t="s">
        <v>7</v>
      </c>
      <c r="D44" s="67">
        <f>(F44*Settings!$C$2)+(G44*Settings!$C$3)+(H44*Settings!$C$4)+(I44*Settings!$C$5)+(J44*Settings!$C$6)+(M44*Settings!$C$9)+(N44*Settings!$C$10)+(O44*Settings!$C$11)+(P44*Settings!$C$12)+(Q44*Settings!$C$13)+(T44*Settings!$C$16)+(K44*Settings!$C$7)+(L44*Settings!$C$8)+(R44*Settings!$C$14)+(S44*Settings!$C$15)</f>
        <v>-4.0170874302783552</v>
      </c>
      <c r="E44" s="67"/>
      <c r="F44" s="118">
        <f>(VLOOKUP($A44,Hitters!$A1:$R401,4,FALSE)-AVERAGE(Rankings!M2:M651))/STDEV(Rankings!M2:M651)</f>
        <v>-1.1981089309057318</v>
      </c>
      <c r="G44" s="118">
        <f>(VLOOKUP($A44,Hitters!$A1:$R401,5,FALSE)-AVERAGE(Rankings!N2:N651))/STDEV(Rankings!N2:N651)</f>
        <v>-0.98258706613650326</v>
      </c>
      <c r="H44" s="118">
        <f>(VLOOKUP($A44,Hitters!$A1:$R401,6,FALSE)-AVERAGE(Rankings!O2:O651))/STDEV(Rankings!O2:O651)</f>
        <v>-0.35794362313061168</v>
      </c>
      <c r="I44" s="118">
        <f>(VLOOKUP($A44,Hitters!$A1:$R401,7,FALSE)-AVERAGE(Rankings!P2:P651))/STDEV(Rankings!P2:P651)</f>
        <v>-0.83431449562113202</v>
      </c>
      <c r="J44" s="118">
        <f>(VLOOKUP($A44,Hitters!$A1:$R401,8,FALSE)-AVERAGE(Rankings!Q2:Q651))/STDEV(Rankings!Q2:Q651)</f>
        <v>-0.39620853900878</v>
      </c>
      <c r="K44" s="157">
        <f>(VLOOKUP($A44,Hitters!$A$1:$R$401,14,FALSE)-AVERAGE(Rankings!R$2:R$651))/STDEV(Rankings!R$2:R$651)</f>
        <v>-1.4460337063813287</v>
      </c>
      <c r="L44" s="157">
        <f>(VLOOKUP($A44,Hitters!$A$1:$R$401,15,FALSE)-AVERAGE(Rankings!S$2:S$651))/STDEV(Rankings!S$2:S$651)</f>
        <v>-1.047095934218035</v>
      </c>
      <c r="M44" s="157">
        <f>(VLOOKUP($A44,Hitters!$A$1:$R$401,9,FALSE)-AVERAGE(Rankings!T$2:T$651))/STDEV(Rankings!T$2:T$651)</f>
        <v>-1.2535680911177545</v>
      </c>
      <c r="N44" s="157">
        <f>(VLOOKUP($A44,Hitters!$A$1:$R$401,10,FALSE)-AVERAGE(Rankings!U$2:U$651))/STDEV(Rankings!U$2:U$651)</f>
        <v>-1.2635398217094502</v>
      </c>
      <c r="O44" s="157">
        <f>(VLOOKUP($A44,Hitters!$A$1:$R$401,11,FALSE)-AVERAGE(Rankings!V$2:V$651))/STDEV(Rankings!V$2:V$651)</f>
        <v>-0.5521347921759383</v>
      </c>
      <c r="P44" s="157">
        <f>(VLOOKUP($A44,Hitters!$A$1:$R$401,12,FALSE)-AVERAGE(Rankings!W$2:W$651))/STDEV(Rankings!W$2:W$651)</f>
        <v>-0.83818500945365448</v>
      </c>
      <c r="Q44" s="157">
        <f>(VLOOKUP($A44,Hitters!$A$1:$R$401,13,FALSE)-AVERAGE(Rankings!X$2:X$651))/STDEV(Rankings!X$2:X$651)</f>
        <v>-7.6763438768898476E-2</v>
      </c>
      <c r="R44" s="118">
        <f>(VLOOKUP($A44,Hitters!$A1:$R401,16,FALSE)-AVERAGE(Rankings!Y2:Y651))/STDEV(Rankings!Y2:Y651)</f>
        <v>0.16284995885207112</v>
      </c>
      <c r="S44" s="118">
        <f>(VLOOKUP($A44,Hitters!$A1:$R401,17,FALSE)-AVERAGE(Rankings!Z2:Z651))/STDEV(Rankings!Z2:Z651)</f>
        <v>-0.27507549186050317</v>
      </c>
      <c r="T44" s="118">
        <f>IFERROR((VLOOKUP($A44,Hitters!$A1:$R401,18,FALSE)-AVERAGE(Rankings!AA2:AA651))/STDEV(Rankings!AA2:AA651),0)</f>
        <v>0</v>
      </c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ht="18.600000000000001" customHeight="1">
      <c r="A45" s="26" t="s">
        <v>713</v>
      </c>
      <c r="B45" s="27" t="s">
        <v>137</v>
      </c>
      <c r="C45" s="117" t="s">
        <v>7</v>
      </c>
      <c r="D45" s="67">
        <f>(F45*Settings!$C$2)+(G45*Settings!$C$3)+(H45*Settings!$C$4)+(I45*Settings!$C$5)+(J45*Settings!$C$6)+(M45*Settings!$C$9)+(N45*Settings!$C$10)+(O45*Settings!$C$11)+(P45*Settings!$C$12)+(Q45*Settings!$C$13)+(T45*Settings!$C$16)+(K45*Settings!$C$7)+(L45*Settings!$C$8)+(R45*Settings!$C$14)+(S45*Settings!$C$15)</f>
        <v>-4.1764598466131755</v>
      </c>
      <c r="E45" s="67"/>
      <c r="F45" s="118">
        <f>(VLOOKUP($A45,Hitters!$A1:$R401,4,FALSE)-AVERAGE(Rankings!M2:M651))/STDEV(Rankings!M2:M651)</f>
        <v>-1.161904816790309</v>
      </c>
      <c r="G45" s="118">
        <f>(VLOOKUP($A45,Hitters!$A1:$R401,5,FALSE)-AVERAGE(Rankings!N2:N651))/STDEV(Rankings!N2:N651)</f>
        <v>-0.97041640284732078</v>
      </c>
      <c r="H45" s="118">
        <f>(VLOOKUP($A45,Hitters!$A1:$R401,6,FALSE)-AVERAGE(Rankings!O2:O651))/STDEV(Rankings!O2:O651)</f>
        <v>-1.0309140091217872</v>
      </c>
      <c r="I45" s="118">
        <f>(VLOOKUP($A45,Hitters!$A1:$R401,7,FALSE)-AVERAGE(Rankings!P2:P651))/STDEV(Rankings!P2:P651)</f>
        <v>-1.1745065438890701</v>
      </c>
      <c r="J45" s="118">
        <f>(VLOOKUP($A45,Hitters!$A1:$R401,8,FALSE)-AVERAGE(Rankings!Q2:Q651))/STDEV(Rankings!Q2:Q651)</f>
        <v>-0.54161010037818813</v>
      </c>
      <c r="K45" s="157">
        <f>(VLOOKUP($A45,Hitters!$A$1:$R$401,14,FALSE)-AVERAGE(Rankings!R$2:R$651))/STDEV(Rankings!R$2:R$651)</f>
        <v>-0.45901279037681014</v>
      </c>
      <c r="L45" s="157">
        <f>(VLOOKUP($A45,Hitters!$A$1:$R$401,15,FALSE)-AVERAGE(Rankings!S$2:S$651))/STDEV(Rankings!S$2:S$651)</f>
        <v>0.76354243036871416</v>
      </c>
      <c r="M45" s="157">
        <f>(VLOOKUP($A45,Hitters!$A$1:$R$401,9,FALSE)-AVERAGE(Rankings!T$2:T$651))/STDEV(Rankings!T$2:T$651)</f>
        <v>-1.107599139115619</v>
      </c>
      <c r="N45" s="157">
        <f>(VLOOKUP($A45,Hitters!$A$1:$R$401,10,FALSE)-AVERAGE(Rankings!U$2:U$651))/STDEV(Rankings!U$2:U$651)</f>
        <v>-1.0646688137909948</v>
      </c>
      <c r="O45" s="157">
        <f>(VLOOKUP($A45,Hitters!$A$1:$R$401,11,FALSE)-AVERAGE(Rankings!V$2:V$651))/STDEV(Rankings!V$2:V$651)</f>
        <v>-0.53544357612802351</v>
      </c>
      <c r="P45" s="157">
        <f>(VLOOKUP($A45,Hitters!$A$1:$R$401,12,FALSE)-AVERAGE(Rankings!W$2:W$651))/STDEV(Rankings!W$2:W$651)</f>
        <v>-0.29011450358725199</v>
      </c>
      <c r="Q45" s="157">
        <f>(VLOOKUP($A45,Hitters!$A$1:$R$401,13,FALSE)-AVERAGE(Rankings!X$2:X$651))/STDEV(Rankings!X$2:X$651)</f>
        <v>-1.0416340055809927</v>
      </c>
      <c r="R45" s="118">
        <f>(VLOOKUP($A45,Hitters!$A1:$R401,16,FALSE)-AVERAGE(Rankings!Y2:Y651))/STDEV(Rankings!Y2:Y651)</f>
        <v>-0.95221613663120996</v>
      </c>
      <c r="S45" s="118">
        <f>(VLOOKUP($A45,Hitters!$A1:$R401,17,FALSE)-AVERAGE(Rankings!Z2:Z651))/STDEV(Rankings!Z2:Z651)</f>
        <v>-0.4087370905248241</v>
      </c>
      <c r="T45" s="118">
        <f>IFERROR((VLOOKUP($A45,Hitters!$A1:$R401,18,FALSE)-AVERAGE(Rankings!AA2:AA651))/STDEV(Rankings!AA2:AA651),0)</f>
        <v>0</v>
      </c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ht="18.600000000000001" customHeight="1">
      <c r="A46" s="26" t="s">
        <v>717</v>
      </c>
      <c r="B46" s="27" t="s">
        <v>103</v>
      </c>
      <c r="C46" s="117" t="s">
        <v>7</v>
      </c>
      <c r="D46" s="67">
        <f>(F46*Settings!$C$2)+(G46*Settings!$C$3)+(H46*Settings!$C$4)+(I46*Settings!$C$5)+(J46*Settings!$C$6)+(M46*Settings!$C$9)+(N46*Settings!$C$10)+(O46*Settings!$C$11)+(P46*Settings!$C$12)+(Q46*Settings!$C$13)+(T46*Settings!$C$16)+(K46*Settings!$C$7)+(L46*Settings!$C$8)+(R46*Settings!$C$14)+(S46*Settings!$C$15)</f>
        <v>-5.0981533183471246</v>
      </c>
      <c r="E46" s="67"/>
      <c r="F46" s="118">
        <f>(VLOOKUP($A46,Hitters!$A1:$R401,4,FALSE)-AVERAGE(Rankings!M2:M651))/STDEV(Rankings!M2:M651)</f>
        <v>-1.5538555411344062</v>
      </c>
      <c r="G46" s="118">
        <f>(VLOOKUP($A46,Hitters!$A1:$R401,5,FALSE)-AVERAGE(Rankings!N2:N651))/STDEV(Rankings!N2:N651)</f>
        <v>-1.3159111069689904</v>
      </c>
      <c r="H46" s="118">
        <f>(VLOOKUP($A46,Hitters!$A1:$R401,6,FALSE)-AVERAGE(Rankings!O2:O651))/STDEV(Rankings!O2:O651)</f>
        <v>-0.60223584377765149</v>
      </c>
      <c r="I46" s="118">
        <f>(VLOOKUP($A46,Hitters!$A1:$R401,7,FALSE)-AVERAGE(Rankings!P2:P651))/STDEV(Rankings!P2:P651)</f>
        <v>-1.0791631791717502</v>
      </c>
      <c r="J46" s="118">
        <f>(VLOOKUP($A46,Hitters!$A1:$R401,8,FALSE)-AVERAGE(Rankings!Q2:Q651))/STDEV(Rankings!Q2:Q651)</f>
        <v>-0.81388165156992276</v>
      </c>
      <c r="K46" s="157">
        <f>(VLOOKUP($A46,Hitters!$A$1:$R$401,14,FALSE)-AVERAGE(Rankings!R$2:R$651))/STDEV(Rankings!R$2:R$651)</f>
        <v>-1.2869615368588092</v>
      </c>
      <c r="L46" s="157">
        <f>(VLOOKUP($A46,Hitters!$A$1:$R$401,15,FALSE)-AVERAGE(Rankings!S$2:S$651))/STDEV(Rankings!S$2:S$651)</f>
        <v>-1.1630664164958027</v>
      </c>
      <c r="M46" s="157">
        <f>(VLOOKUP($A46,Hitters!$A$1:$R$401,9,FALSE)-AVERAGE(Rankings!T$2:T$651))/STDEV(Rankings!T$2:T$651)</f>
        <v>-1.5154315383581956</v>
      </c>
      <c r="N46" s="157">
        <f>(VLOOKUP($A46,Hitters!$A$1:$R$401,10,FALSE)-AVERAGE(Rankings!U$2:U$651))/STDEV(Rankings!U$2:U$651)</f>
        <v>-1.590210373843804</v>
      </c>
      <c r="O46" s="157">
        <f>(VLOOKUP($A46,Hitters!$A$1:$R$401,11,FALSE)-AVERAGE(Rankings!V$2:V$651))/STDEV(Rankings!V$2:V$651)</f>
        <v>-0.47821654967802996</v>
      </c>
      <c r="P46" s="157">
        <f>(VLOOKUP($A46,Hitters!$A$1:$R$401,12,FALSE)-AVERAGE(Rankings!W$2:W$651))/STDEV(Rankings!W$2:W$651)</f>
        <v>-1.170504459866917</v>
      </c>
      <c r="Q46" s="157">
        <f>(VLOOKUP($A46,Hitters!$A$1:$R$401,13,FALSE)-AVERAGE(Rankings!X$2:X$651))/STDEV(Rankings!X$2:X$651)</f>
        <v>-0.87164188978332813</v>
      </c>
      <c r="R46" s="118">
        <f>(VLOOKUP($A46,Hitters!$A1:$R401,16,FALSE)-AVERAGE(Rankings!Y2:Y651))/STDEV(Rankings!Y2:Y651)</f>
        <v>0.35922352107261846</v>
      </c>
      <c r="S46" s="118">
        <f>(VLOOKUP($A46,Hitters!$A1:$R401,17,FALSE)-AVERAGE(Rankings!Z2:Z651))/STDEV(Rankings!Z2:Z651)</f>
        <v>-0.17516108593683116</v>
      </c>
      <c r="T46" s="118">
        <f>IFERROR((VLOOKUP($A46,Hitters!$A1:$R401,18,FALSE)-AVERAGE(Rankings!AA2:AA651))/STDEV(Rankings!AA2:AA651),0)</f>
        <v>0</v>
      </c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ht="18.600000000000001" customHeight="1">
      <c r="A47" s="26" t="s">
        <v>718</v>
      </c>
      <c r="B47" s="27" t="s">
        <v>94</v>
      </c>
      <c r="C47" s="117" t="s">
        <v>7</v>
      </c>
      <c r="D47" s="67">
        <f>(F47*Settings!$C$2)+(G47*Settings!$C$3)+(H47*Settings!$C$4)+(I47*Settings!$C$5)+(J47*Settings!$C$6)+(M47*Settings!$C$9)+(N47*Settings!$C$10)+(O47*Settings!$C$11)+(P47*Settings!$C$12)+(Q47*Settings!$C$13)+(T47*Settings!$C$16)+(K47*Settings!$C$7)+(L47*Settings!$C$8)+(R47*Settings!$C$14)+(S47*Settings!$C$15)</f>
        <v>-5.1035184452370936</v>
      </c>
      <c r="E47" s="67"/>
      <c r="F47" s="118">
        <f>(VLOOKUP($A47,Hitters!$A1:$R401,4,FALSE)-AVERAGE(Rankings!M2:M651))/STDEV(Rankings!M2:M651)</f>
        <v>-1.3663714589357534</v>
      </c>
      <c r="G47" s="118">
        <f>(VLOOKUP($A47,Hitters!$A1:$R401,5,FALSE)-AVERAGE(Rankings!N2:N651))/STDEV(Rankings!N2:N651)</f>
        <v>-1.047902959121783</v>
      </c>
      <c r="H47" s="118">
        <f>(VLOOKUP($A47,Hitters!$A1:$R401,6,FALSE)-AVERAGE(Rankings!O2:O651))/STDEV(Rankings!O2:O651)</f>
        <v>-0.96376325328952417</v>
      </c>
      <c r="I47" s="118">
        <f>(VLOOKUP($A47,Hitters!$A1:$R401,7,FALSE)-AVERAGE(Rankings!P2:P651))/STDEV(Rankings!P2:P651)</f>
        <v>-1.2107502575456275</v>
      </c>
      <c r="J47" s="118">
        <f>(VLOOKUP($A47,Hitters!$A1:$R401,8,FALSE)-AVERAGE(Rankings!Q2:Q651))/STDEV(Rankings!Q2:Q651)</f>
        <v>-0.53780875236853032</v>
      </c>
      <c r="K47" s="157">
        <f>(VLOOKUP($A47,Hitters!$A$1:$R$401,14,FALSE)-AVERAGE(Rankings!R$2:R$651))/STDEV(Rankings!R$2:R$651)</f>
        <v>-1.3432932229116286</v>
      </c>
      <c r="L47" s="157">
        <f>(VLOOKUP($A47,Hitters!$A$1:$R$401,15,FALSE)-AVERAGE(Rankings!S$2:S$651))/STDEV(Rankings!S$2:S$651)</f>
        <v>0.40428371958518833</v>
      </c>
      <c r="M47" s="157">
        <f>(VLOOKUP($A47,Hitters!$A$1:$R$401,9,FALSE)-AVERAGE(Rankings!T$2:T$651))/STDEV(Rankings!T$2:T$651)</f>
        <v>-1.3735663717909652</v>
      </c>
      <c r="N47" s="157">
        <f>(VLOOKUP($A47,Hitters!$A$1:$R$401,10,FALSE)-AVERAGE(Rankings!U$2:U$651))/STDEV(Rankings!U$2:U$651)</f>
        <v>-1.148577605447898</v>
      </c>
      <c r="O47" s="157">
        <f>(VLOOKUP($A47,Hitters!$A$1:$R$401,11,FALSE)-AVERAGE(Rankings!V$2:V$651))/STDEV(Rankings!V$2:V$651)</f>
        <v>-0.55499614349843784</v>
      </c>
      <c r="P47" s="157">
        <f>(VLOOKUP($A47,Hitters!$A$1:$R$401,12,FALSE)-AVERAGE(Rankings!W$2:W$651))/STDEV(Rankings!W$2:W$651)</f>
        <v>-0.36422936089514157</v>
      </c>
      <c r="Q47" s="157">
        <f>(VLOOKUP($A47,Hitters!$A$1:$R$401,13,FALSE)-AVERAGE(Rankings!X$2:X$651))/STDEV(Rankings!X$2:X$651)</f>
        <v>-0.89065645549976158</v>
      </c>
      <c r="R47" s="118">
        <f>(VLOOKUP($A47,Hitters!$A1:$R401,16,FALSE)-AVERAGE(Rankings!Y2:Y651))/STDEV(Rankings!Y2:Y651)</f>
        <v>-0.84688974574273435</v>
      </c>
      <c r="S47" s="118">
        <f>(VLOOKUP($A47,Hitters!$A1:$R401,17,FALSE)-AVERAGE(Rankings!Z2:Z651))/STDEV(Rankings!Z2:Z651)</f>
        <v>-0.46696518796581343</v>
      </c>
      <c r="T47" s="118">
        <f>IFERROR((VLOOKUP($A47,Hitters!$A1:$R401,18,FALSE)-AVERAGE(Rankings!AA2:AA651))/STDEV(Rankings!AA2:AA651),0)</f>
        <v>0</v>
      </c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ht="18.600000000000001" customHeight="1">
      <c r="A48" s="26" t="s">
        <v>754</v>
      </c>
      <c r="B48" s="27" t="s">
        <v>223</v>
      </c>
      <c r="C48" s="117" t="s">
        <v>7</v>
      </c>
      <c r="D48" s="67">
        <f>(F48*Settings!$C$2)+(G48*Settings!$C$3)+(H48*Settings!$C$4)+(I48*Settings!$C$5)+(J48*Settings!$C$6)+(M48*Settings!$C$9)+(N48*Settings!$C$10)+(O48*Settings!$C$11)+(P48*Settings!$C$12)+(Q48*Settings!$C$13)+(T48*Settings!$C$16)+(K48*Settings!$C$7)+(L48*Settings!$C$8)+(R48*Settings!$C$14)+(S48*Settings!$C$15)</f>
        <v>-3.5588786638730232</v>
      </c>
      <c r="E48" s="67"/>
      <c r="F48" s="118">
        <f>(VLOOKUP($A48,Hitters!$A1:$R401,4,FALSE)-AVERAGE(Rankings!M2:M651))/STDEV(Rankings!M2:M651)</f>
        <v>-1.4193099426007345</v>
      </c>
      <c r="G48" s="118">
        <f>(VLOOKUP($A48,Hitters!$A1:$R401,5,FALSE)-AVERAGE(Rankings!N2:N651))/STDEV(Rankings!N2:N651)</f>
        <v>-1.1884234090148031</v>
      </c>
      <c r="H48" s="118">
        <f>(VLOOKUP($A48,Hitters!$A1:$R401,6,FALSE)-AVERAGE(Rankings!O2:O651))/STDEV(Rankings!O2:O651)</f>
        <v>-0.518018765145695</v>
      </c>
      <c r="I48" s="118">
        <f>(VLOOKUP($A48,Hitters!$A1:$R401,7,FALSE)-AVERAGE(Rankings!P2:P651))/STDEV(Rankings!P2:P651)</f>
        <v>-0.79654684070391002</v>
      </c>
      <c r="J48" s="118">
        <f>(VLOOKUP($A48,Hitters!$A1:$R401,8,FALSE)-AVERAGE(Rankings!Q2:Q651))/STDEV(Rankings!Q2:Q651)</f>
        <v>-0.85162784938457103</v>
      </c>
      <c r="K48" s="157">
        <f>(VLOOKUP($A48,Hitters!$A$1:$R$401,14,FALSE)-AVERAGE(Rankings!R$2:R$651))/STDEV(Rankings!R$2:R$651)</f>
        <v>-0.20426179962404403</v>
      </c>
      <c r="L48" s="157">
        <f>(VLOOKUP($A48,Hitters!$A$1:$R$401,15,FALSE)-AVERAGE(Rankings!S$2:S$651))/STDEV(Rankings!S$2:S$651)</f>
        <v>0.22028402600779673</v>
      </c>
      <c r="M48" s="157">
        <f>(VLOOKUP($A48,Hitters!$A$1:$R$401,9,FALSE)-AVERAGE(Rankings!T$2:T$651))/STDEV(Rankings!T$2:T$651)</f>
        <v>-1.299050464911361</v>
      </c>
      <c r="N48" s="157">
        <f>(VLOOKUP($A48,Hitters!$A$1:$R$401,10,FALSE)-AVERAGE(Rankings!U$2:U$651))/STDEV(Rankings!U$2:U$651)</f>
        <v>-1.3329528317307537</v>
      </c>
      <c r="O48" s="157">
        <f>(VLOOKUP($A48,Hitters!$A$1:$R$401,11,FALSE)-AVERAGE(Rankings!V$2:V$651))/STDEV(Rankings!V$2:V$651)</f>
        <v>-0.51899080602365022</v>
      </c>
      <c r="P48" s="157">
        <f>(VLOOKUP($A48,Hitters!$A$1:$R$401,12,FALSE)-AVERAGE(Rankings!W$2:W$651))/STDEV(Rankings!W$2:W$651)</f>
        <v>-0.85779061296832537</v>
      </c>
      <c r="Q48" s="157">
        <f>(VLOOKUP($A48,Hitters!$A$1:$R$401,13,FALSE)-AVERAGE(Rankings!X$2:X$651))/STDEV(Rankings!X$2:X$651)</f>
        <v>-1.3161271372877748</v>
      </c>
      <c r="R48" s="118">
        <f>(VLOOKUP($A48,Hitters!$A1:$R401,16,FALSE)-AVERAGE(Rankings!Y2:Y651))/STDEV(Rankings!Y2:Y651)</f>
        <v>0.88244379198395284</v>
      </c>
      <c r="S48" s="118">
        <f>(VLOOKUP($A48,Hitters!$A1:$R401,17,FALSE)-AVERAGE(Rankings!Z2:Z651))/STDEV(Rankings!Z2:Z651)</f>
        <v>0.7280823737011981</v>
      </c>
      <c r="T48" s="118">
        <f>IFERROR((VLOOKUP($A48,Hitters!$A1:$R401,18,FALSE)-AVERAGE(Rankings!AA2:AA651))/STDEV(Rankings!AA2:AA651),0)</f>
        <v>0</v>
      </c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ht="18.600000000000001" customHeight="1">
      <c r="A49" s="26" t="s">
        <v>725</v>
      </c>
      <c r="B49" s="27" t="s">
        <v>140</v>
      </c>
      <c r="C49" s="117" t="s">
        <v>7</v>
      </c>
      <c r="D49" s="67">
        <f>(F49*Settings!$C$2)+(G49*Settings!$C$3)+(H49*Settings!$C$4)+(I49*Settings!$C$5)+(J49*Settings!$C$6)+(M49*Settings!$C$9)+(N49*Settings!$C$10)+(O49*Settings!$C$11)+(P49*Settings!$C$12)+(Q49*Settings!$C$13)+(T49*Settings!$C$16)+(K49*Settings!$C$7)+(L49*Settings!$C$8)+(R49*Settings!$C$14)+(S49*Settings!$C$15)</f>
        <v>-5.9330042305729469</v>
      </c>
      <c r="E49" s="67"/>
      <c r="F49" s="118">
        <f>(VLOOKUP($A49,Hitters!$A1:$R401,4,FALSE)-AVERAGE(Rankings!M2:M651))/STDEV(Rankings!M2:M651)</f>
        <v>-1.3574154820483908</v>
      </c>
      <c r="G49" s="118">
        <f>(VLOOKUP($A49,Hitters!$A1:$R401,5,FALSE)-AVERAGE(Rankings!N2:N651))/STDEV(Rankings!N2:N651)</f>
        <v>-1.2483639257140273</v>
      </c>
      <c r="H49" s="118">
        <f>(VLOOKUP($A49,Hitters!$A1:$R401,6,FALSE)-AVERAGE(Rankings!O2:O651))/STDEV(Rankings!O2:O651)</f>
        <v>-0.8393184137725761</v>
      </c>
      <c r="I49" s="118">
        <f>(VLOOKUP($A49,Hitters!$A1:$R401,7,FALSE)-AVERAGE(Rankings!P2:P651))/STDEV(Rankings!P2:P651)</f>
        <v>-1.1757791461944267</v>
      </c>
      <c r="J49" s="118">
        <f>(VLOOKUP($A49,Hitters!$A1:$R401,8,FALSE)-AVERAGE(Rankings!Q2:Q651))/STDEV(Rankings!Q2:Q651)</f>
        <v>-0.54113493187698092</v>
      </c>
      <c r="K49" s="157">
        <f>(VLOOKUP($A49,Hitters!$A$1:$R$401,14,FALSE)-AVERAGE(Rankings!R$2:R$651))/STDEV(Rankings!R$2:R$651)</f>
        <v>-2.128407813014936</v>
      </c>
      <c r="L49" s="157">
        <f>(VLOOKUP($A49,Hitters!$A$1:$R$401,15,FALSE)-AVERAGE(Rankings!S$2:S$651))/STDEV(Rankings!S$2:S$651)</f>
        <v>-0.64350398820646149</v>
      </c>
      <c r="M49" s="157">
        <f>(VLOOKUP($A49,Hitters!$A$1:$R$401,9,FALSE)-AVERAGE(Rankings!T$2:T$651))/STDEV(Rankings!T$2:T$651)</f>
        <v>-1.4498308806761357</v>
      </c>
      <c r="N49" s="157">
        <f>(VLOOKUP($A49,Hitters!$A$1:$R$401,10,FALSE)-AVERAGE(Rankings!U$2:U$651))/STDEV(Rankings!U$2:U$651)</f>
        <v>-1.3494925454708164</v>
      </c>
      <c r="O49" s="157">
        <f>(VLOOKUP($A49,Hitters!$A$1:$R$401,11,FALSE)-AVERAGE(Rankings!V$2:V$651))/STDEV(Rankings!V$2:V$651)</f>
        <v>-1.1034218136442093</v>
      </c>
      <c r="P49" s="157">
        <f>(VLOOKUP($A49,Hitters!$A$1:$R$401,12,FALSE)-AVERAGE(Rankings!W$2:W$651))/STDEV(Rankings!W$2:W$651)</f>
        <v>-0.56340332069360055</v>
      </c>
      <c r="Q49" s="157">
        <f>(VLOOKUP($A49,Hitters!$A$1:$R$401,13,FALSE)-AVERAGE(Rankings!X$2:X$651))/STDEV(Rankings!X$2:X$651)</f>
        <v>-0.43550913038060912</v>
      </c>
      <c r="R49" s="118">
        <f>(VLOOKUP($A49,Hitters!$A1:$R401,16,FALSE)-AVERAGE(Rankings!Y2:Y651))/STDEV(Rankings!Y2:Y651)</f>
        <v>-1.2004196241348257</v>
      </c>
      <c r="S49" s="118">
        <f>(VLOOKUP($A49,Hitters!$A1:$R401,17,FALSE)-AVERAGE(Rankings!Z2:Z651))/STDEV(Rankings!Z2:Z651)</f>
        <v>-1.1198365419288381</v>
      </c>
      <c r="T49" s="118">
        <f>IFERROR((VLOOKUP($A49,Hitters!$A1:$R401,18,FALSE)-AVERAGE(Rankings!AA2:AA651))/STDEV(Rankings!AA2:AA651),0)</f>
        <v>0</v>
      </c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ht="18.600000000000001" customHeight="1">
      <c r="A50" s="26" t="s">
        <v>727</v>
      </c>
      <c r="B50" s="27" t="s">
        <v>117</v>
      </c>
      <c r="C50" s="117" t="s">
        <v>7</v>
      </c>
      <c r="D50" s="67">
        <f>(F50*Settings!$C$2)+(G50*Settings!$C$3)+(H50*Settings!$C$4)+(I50*Settings!$C$5)+(J50*Settings!$C$6)+(M50*Settings!$C$9)+(N50*Settings!$C$10)+(O50*Settings!$C$11)+(P50*Settings!$C$12)+(Q50*Settings!$C$13)+(T50*Settings!$C$16)+(K50*Settings!$C$7)+(L50*Settings!$C$8)+(R50*Settings!$C$14)+(S50*Settings!$C$15)</f>
        <v>-4.9632849357616466</v>
      </c>
      <c r="E50" s="67"/>
      <c r="F50" s="118">
        <f>(VLOOKUP($A50,Hitters!$A1:$R401,4,FALSE)-AVERAGE(Rankings!M2:M651))/STDEV(Rankings!M2:M651)</f>
        <v>-1.2856831766014973</v>
      </c>
      <c r="G50" s="118">
        <f>(VLOOKUP($A50,Hitters!$A1:$R401,5,FALSE)-AVERAGE(Rankings!N2:N651))/STDEV(Rankings!N2:N651)</f>
        <v>-1.0952671237555185</v>
      </c>
      <c r="H50" s="118">
        <f>(VLOOKUP($A50,Hitters!$A1:$R401,6,FALSE)-AVERAGE(Rankings!O2:O651))/STDEV(Rankings!O2:O651)</f>
        <v>-0.66367460585654781</v>
      </c>
      <c r="I50" s="118">
        <f>(VLOOKUP($A50,Hitters!$A1:$R401,7,FALSE)-AVERAGE(Rankings!P2:P651))/STDEV(Rankings!P2:P651)</f>
        <v>-1.0160930089182749</v>
      </c>
      <c r="J50" s="118">
        <f>(VLOOKUP($A50,Hitters!$A1:$R401,8,FALSE)-AVERAGE(Rankings!Q2:Q651))/STDEV(Rankings!Q2:Q651)</f>
        <v>-0.54683695389146758</v>
      </c>
      <c r="K50" s="157">
        <f>(VLOOKUP($A50,Hitters!$A$1:$R$401,14,FALSE)-AVERAGE(Rankings!R$2:R$651))/STDEV(Rankings!R$2:R$651)</f>
        <v>-1.6414132433398374</v>
      </c>
      <c r="L50" s="157">
        <f>(VLOOKUP($A50,Hitters!$A$1:$R$401,15,FALSE)-AVERAGE(Rankings!S$2:S$651))/STDEV(Rankings!S$2:S$651)</f>
        <v>-0.51973208691172545</v>
      </c>
      <c r="M50" s="157">
        <f>(VLOOKUP($A50,Hitters!$A$1:$R$401,9,FALSE)-AVERAGE(Rankings!T$2:T$651))/STDEV(Rankings!T$2:T$651)</f>
        <v>-1.34334214183608</v>
      </c>
      <c r="N50" s="157">
        <f>(VLOOKUP($A50,Hitters!$A$1:$R$401,10,FALSE)-AVERAGE(Rankings!U$2:U$651))/STDEV(Rankings!U$2:U$651)</f>
        <v>-1.1692320772403666</v>
      </c>
      <c r="O50" s="157">
        <f>(VLOOKUP($A50,Hitters!$A$1:$R$401,11,FALSE)-AVERAGE(Rankings!V$2:V$651))/STDEV(Rankings!V$2:V$651)</f>
        <v>-0.19255830931514523</v>
      </c>
      <c r="P50" s="157">
        <f>(VLOOKUP($A50,Hitters!$A$1:$R$401,12,FALSE)-AVERAGE(Rankings!W$2:W$651))/STDEV(Rankings!W$2:W$651)</f>
        <v>-0.60228018667549854</v>
      </c>
      <c r="Q50" s="157">
        <f>(VLOOKUP($A50,Hitters!$A$1:$R$401,13,FALSE)-AVERAGE(Rankings!X$2:X$651))/STDEV(Rankings!X$2:X$651)</f>
        <v>-0.35840680650215967</v>
      </c>
      <c r="R50" s="118">
        <f>(VLOOKUP($A50,Hitters!$A1:$R401,16,FALSE)-AVERAGE(Rankings!Y2:Y651))/STDEV(Rankings!Y2:Y651)</f>
        <v>-0.30166063807891003</v>
      </c>
      <c r="S50" s="118">
        <f>(VLOOKUP($A50,Hitters!$A1:$R401,17,FALSE)-AVERAGE(Rankings!Z2:Z651))/STDEV(Rankings!Z2:Z651)</f>
        <v>-0.41616751128072293</v>
      </c>
      <c r="T50" s="118">
        <f>IFERROR((VLOOKUP($A50,Hitters!$A1:$R401,18,FALSE)-AVERAGE(Rankings!AA2:AA651))/STDEV(Rankings!AA2:AA651),0)</f>
        <v>0</v>
      </c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ht="18.600000000000001" customHeight="1">
      <c r="A51" s="26" t="s">
        <v>145</v>
      </c>
      <c r="B51" s="27" t="s">
        <v>78</v>
      </c>
      <c r="C51" s="119" t="s">
        <v>11</v>
      </c>
      <c r="D51" s="67">
        <f>(F51*Settings!$C$2)+(G51*Settings!$C$3)+(H51*Settings!$C$4)+(I51*Settings!$C$5)+(J51*Settings!$C$6)+(M51*Settings!$C$9)+(N51*Settings!$C$10)+(O51*Settings!$C$11)+(P51*Settings!$C$12)+(Q51*Settings!$C$13)+(T51*Settings!$C$16)+(K51*Settings!$C$7)+(L51*Settings!$C$8)+(R51*Settings!$C$14)+(S51*Settings!$C$15)</f>
        <v>2.8839645918671164</v>
      </c>
      <c r="E51" s="67"/>
      <c r="F51" s="118">
        <f>(VLOOKUP($A51,Hitters!$A1:$R401,4,FALSE)-AVERAGE(Rankings!M2:M651))/STDEV(Rankings!M2:M651)</f>
        <v>8.0529974978642768E-2</v>
      </c>
      <c r="G51" s="118">
        <f>(VLOOKUP($A51,Hitters!$A1:$R401,5,FALSE)-AVERAGE(Rankings!N2:N651))/STDEV(Rankings!N2:N651)</f>
        <v>0.67951985038952811</v>
      </c>
      <c r="H51" s="118">
        <f>(VLOOKUP($A51,Hitters!$A1:$R401,6,FALSE)-AVERAGE(Rankings!O2:O651))/STDEV(Rankings!O2:O651)</f>
        <v>0.3858694170943936</v>
      </c>
      <c r="I51" s="118">
        <f>(VLOOKUP($A51,Hitters!$A1:$R401,7,FALSE)-AVERAGE(Rankings!P2:P651))/STDEV(Rankings!P2:P651)</f>
        <v>4.9329641126308249E-2</v>
      </c>
      <c r="J51" s="118">
        <f>(VLOOKUP($A51,Hitters!$A1:$R401,8,FALSE)-AVERAGE(Rankings!Q2:Q651))/STDEV(Rankings!Q2:Q651)</f>
        <v>0.31298044904298983</v>
      </c>
      <c r="K51" s="157">
        <f>(VLOOKUP($A51,Hitters!$A$1:$R$401,14,FALSE)-AVERAGE(Rankings!R$2:R$651))/STDEV(Rankings!R$2:R$651)</f>
        <v>1.4562652342138964</v>
      </c>
      <c r="L51" s="157">
        <f>(VLOOKUP($A51,Hitters!$A$1:$R$401,15,FALSE)-AVERAGE(Rankings!S$2:S$651))/STDEV(Rankings!S$2:S$651)</f>
        <v>1.5077266796784516</v>
      </c>
      <c r="M51" s="157">
        <f>(VLOOKUP($A51,Hitters!$A$1:$R$401,9,FALSE)-AVERAGE(Rankings!T$2:T$651))/STDEV(Rankings!T$2:T$651)</f>
        <v>0.33202077330437585</v>
      </c>
      <c r="N51" s="157">
        <f>(VLOOKUP($A51,Hitters!$A$1:$R$401,10,FALSE)-AVERAGE(Rankings!U$2:U$651))/STDEV(Rankings!U$2:U$651)</f>
        <v>0.28984857768245148</v>
      </c>
      <c r="O51" s="157">
        <f>(VLOOKUP($A51,Hitters!$A$1:$R$401,11,FALSE)-AVERAGE(Rankings!V$2:V$651))/STDEV(Rankings!V$2:V$651)</f>
        <v>-0.73335370926758447</v>
      </c>
      <c r="P51" s="157">
        <f>(VLOOKUP($A51,Hitters!$A$1:$R$401,12,FALSE)-AVERAGE(Rankings!W$2:W$651))/STDEV(Rankings!W$2:W$651)</f>
        <v>0.35328207766676456</v>
      </c>
      <c r="Q51" s="157">
        <f>(VLOOKUP($A51,Hitters!$A$1:$R$401,13,FALSE)-AVERAGE(Rankings!X$2:X$651))/STDEV(Rankings!X$2:X$651)</f>
        <v>-0.86499786515695365</v>
      </c>
      <c r="R51" s="118">
        <f>(VLOOKUP($A51,Hitters!$A1:$R401,16,FALSE)-AVERAGE(Rankings!Y2:Y651))/STDEV(Rankings!Y2:Y651)</f>
        <v>1.2455530767748331</v>
      </c>
      <c r="S51" s="118">
        <f>(VLOOKUP($A51,Hitters!$A1:$R401,17,FALSE)-AVERAGE(Rankings!Z2:Z651))/STDEV(Rankings!Z2:Z651)</f>
        <v>1.478167851765321</v>
      </c>
      <c r="T51" s="118">
        <f>IFERROR((VLOOKUP($A51,Hitters!$A1:$R401,18,FALSE)-AVERAGE(Rankings!AA2:AA651))/STDEV(Rankings!AA2:AA651),0)</f>
        <v>0</v>
      </c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ht="18.600000000000001" customHeight="1">
      <c r="A52" s="26" t="s">
        <v>148</v>
      </c>
      <c r="B52" s="27" t="s">
        <v>86</v>
      </c>
      <c r="C52" s="119" t="s">
        <v>11</v>
      </c>
      <c r="D52" s="67">
        <f>(F52*Settings!$C$2)+(G52*Settings!$C$3)+(H52*Settings!$C$4)+(I52*Settings!$C$5)+(J52*Settings!$C$6)+(M52*Settings!$C$9)+(N52*Settings!$C$10)+(O52*Settings!$C$11)+(P52*Settings!$C$12)+(Q52*Settings!$C$13)+(T52*Settings!$C$16)+(K52*Settings!$C$7)+(L52*Settings!$C$8)+(R52*Settings!$C$14)+(S52*Settings!$C$15)</f>
        <v>6.5829961654160432</v>
      </c>
      <c r="E52" s="67"/>
      <c r="F52" s="118">
        <f>(VLOOKUP($A52,Hitters!$A1:$R401,4,FALSE)-AVERAGE(Rankings!M2:M651))/STDEV(Rankings!M2:M651)</f>
        <v>1.6579605475089458</v>
      </c>
      <c r="G52" s="118">
        <f>(VLOOKUP($A52,Hitters!$A1:$R401,5,FALSE)-AVERAGE(Rankings!N2:N651))/STDEV(Rankings!N2:N651)</f>
        <v>1.8132424913254024</v>
      </c>
      <c r="H52" s="118">
        <f>(VLOOKUP($A52,Hitters!$A1:$R401,6,FALSE)-AVERAGE(Rankings!O2:O651))/STDEV(Rankings!O2:O651)</f>
        <v>1.4869607007464496</v>
      </c>
      <c r="I52" s="118">
        <f>(VLOOKUP($A52,Hitters!$A1:$R401,7,FALSE)-AVERAGE(Rankings!P2:P651))/STDEV(Rankings!P2:P651)</f>
        <v>1.1586316186595884</v>
      </c>
      <c r="J52" s="118">
        <f>(VLOOKUP($A52,Hitters!$A1:$R401,8,FALSE)-AVERAGE(Rankings!Q2:Q651))/STDEV(Rankings!Q2:Q651)</f>
        <v>1.889035172797124</v>
      </c>
      <c r="K52" s="157">
        <f>(VLOOKUP($A52,Hitters!$A$1:$R$401,14,FALSE)-AVERAGE(Rankings!R$2:R$651))/STDEV(Rankings!R$2:R$651)</f>
        <v>0.23512618188747897</v>
      </c>
      <c r="L52" s="157">
        <f>(VLOOKUP($A52,Hitters!$A$1:$R$401,15,FALSE)-AVERAGE(Rankings!S$2:S$651))/STDEV(Rankings!S$2:S$651)</f>
        <v>0.23879894624172579</v>
      </c>
      <c r="M52" s="157">
        <f>(VLOOKUP($A52,Hitters!$A$1:$R$401,9,FALSE)-AVERAGE(Rankings!T$2:T$651))/STDEV(Rankings!T$2:T$651)</f>
        <v>1.4898873587118349</v>
      </c>
      <c r="N52" s="157">
        <f>(VLOOKUP($A52,Hitters!$A$1:$R$401,10,FALSE)-AVERAGE(Rankings!U$2:U$651))/STDEV(Rankings!U$2:U$651)</f>
        <v>1.4838635112685894</v>
      </c>
      <c r="O52" s="157">
        <f>(VLOOKUP($A52,Hitters!$A$1:$R$401,11,FALSE)-AVERAGE(Rankings!V$2:V$651))/STDEV(Rankings!V$2:V$651)</f>
        <v>1.1813672173717829</v>
      </c>
      <c r="P52" s="157">
        <f>(VLOOKUP($A52,Hitters!$A$1:$R$401,12,FALSE)-AVERAGE(Rankings!W$2:W$651))/STDEV(Rankings!W$2:W$651)</f>
        <v>1.158250913941548</v>
      </c>
      <c r="Q52" s="157">
        <f>(VLOOKUP($A52,Hitters!$A$1:$R$401,13,FALSE)-AVERAGE(Rankings!X$2:X$651))/STDEV(Rankings!X$2:X$651)</f>
        <v>0.83175947156903918</v>
      </c>
      <c r="R52" s="118">
        <f>(VLOOKUP($A52,Hitters!$A1:$R401,16,FALSE)-AVERAGE(Rankings!Y2:Y651))/STDEV(Rankings!Y2:Y651)</f>
        <v>0.75013881458062004</v>
      </c>
      <c r="S52" s="118">
        <f>(VLOOKUP($A52,Hitters!$A1:$R401,17,FALSE)-AVERAGE(Rankings!Z2:Z651))/STDEV(Rankings!Z2:Z651)</f>
        <v>0.63832412359279966</v>
      </c>
      <c r="T52" s="118">
        <f>IFERROR((VLOOKUP($A52,Hitters!$A1:$R401,18,FALSE)-AVERAGE(Rankings!AA2:AA651))/STDEV(Rankings!AA2:AA651),0)</f>
        <v>0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ht="18.600000000000001" customHeight="1">
      <c r="A53" s="26" t="s">
        <v>160</v>
      </c>
      <c r="B53" s="27" t="s">
        <v>134</v>
      </c>
      <c r="C53" s="119" t="s">
        <v>11</v>
      </c>
      <c r="D53" s="67">
        <f>(F53*Settings!$C$2)+(G53*Settings!$C$3)+(H53*Settings!$C$4)+(I53*Settings!$C$5)+(J53*Settings!$C$6)+(M53*Settings!$C$9)+(N53*Settings!$C$10)+(O53*Settings!$C$11)+(P53*Settings!$C$12)+(Q53*Settings!$C$13)+(T53*Settings!$C$16)+(K53*Settings!$C$7)+(L53*Settings!$C$8)+(R53*Settings!$C$14)+(S53*Settings!$C$15)</f>
        <v>6.5904317601746918</v>
      </c>
      <c r="E53" s="67"/>
      <c r="F53" s="118">
        <f>(VLOOKUP($A53,Hitters!$A1:$R401,4,FALSE)-AVERAGE(Rankings!M2:M651))/STDEV(Rankings!M2:M651)</f>
        <v>0.93117457406468596</v>
      </c>
      <c r="G53" s="118">
        <f>(VLOOKUP($A53,Hitters!$A1:$R401,5,FALSE)-AVERAGE(Rankings!N2:N651))/STDEV(Rankings!N2:N651)</f>
        <v>1.2887629702071912</v>
      </c>
      <c r="H53" s="118">
        <f>(VLOOKUP($A53,Hitters!$A1:$R401,6,FALSE)-AVERAGE(Rankings!O2:O651))/STDEV(Rankings!O2:O651)</f>
        <v>1.2670489412418287</v>
      </c>
      <c r="I53" s="118">
        <f>(VLOOKUP($A53,Hitters!$A1:$R401,7,FALSE)-AVERAGE(Rankings!P2:P651))/STDEV(Rankings!P2:P651)</f>
        <v>0.86407508906173947</v>
      </c>
      <c r="J53" s="118">
        <f>(VLOOKUP($A53,Hitters!$A1:$R401,8,FALSE)-AVERAGE(Rankings!Q2:Q651))/STDEV(Rankings!Q2:Q651)</f>
        <v>3.298543336878129</v>
      </c>
      <c r="K53" s="157">
        <f>(VLOOKUP($A53,Hitters!$A$1:$R$401,14,FALSE)-AVERAGE(Rankings!R$2:R$651))/STDEV(Rankings!R$2:R$651)</f>
        <v>-0.12799857721419633</v>
      </c>
      <c r="L53" s="157">
        <f>(VLOOKUP($A53,Hitters!$A$1:$R$401,15,FALSE)-AVERAGE(Rankings!S$2:S$651))/STDEV(Rankings!S$2:S$651)</f>
        <v>-0.19278739923124016</v>
      </c>
      <c r="M53" s="157">
        <f>(VLOOKUP($A53,Hitters!$A$1:$R$401,9,FALSE)-AVERAGE(Rankings!T$2:T$651))/STDEV(Rankings!T$2:T$651)</f>
        <v>0.7468026486119016</v>
      </c>
      <c r="N53" s="157">
        <f>(VLOOKUP($A53,Hitters!$A$1:$R$401,10,FALSE)-AVERAGE(Rankings!U$2:U$651))/STDEV(Rankings!U$2:U$651)</f>
        <v>0.34083930492010756</v>
      </c>
      <c r="O53" s="157">
        <f>(VLOOKUP($A53,Hitters!$A$1:$R$401,11,FALSE)-AVERAGE(Rankings!V$2:V$651))/STDEV(Rankings!V$2:V$651)</f>
        <v>2.89245530822659</v>
      </c>
      <c r="P53" s="157">
        <f>(VLOOKUP($A53,Hitters!$A$1:$R$401,12,FALSE)-AVERAGE(Rankings!W$2:W$651))/STDEV(Rankings!W$2:W$651)</f>
        <v>0.48813815038477171</v>
      </c>
      <c r="Q53" s="157">
        <f>(VLOOKUP($A53,Hitters!$A$1:$R$401,13,FALSE)-AVERAGE(Rankings!X$2:X$651))/STDEV(Rankings!X$2:X$651)</f>
        <v>1.5831670185994764</v>
      </c>
      <c r="R53" s="118">
        <f>(VLOOKUP($A53,Hitters!$A1:$R401,16,FALSE)-AVERAGE(Rankings!Y2:Y651))/STDEV(Rankings!Y2:Y651)</f>
        <v>0.95325299887982029</v>
      </c>
      <c r="S53" s="118">
        <f>(VLOOKUP($A53,Hitters!$A1:$R401,17,FALSE)-AVERAGE(Rankings!Z2:Z651))/STDEV(Rankings!Z2:Z651)</f>
        <v>0.62436278233195053</v>
      </c>
      <c r="T53" s="118">
        <f>IFERROR((VLOOKUP($A53,Hitters!$A1:$R401,18,FALSE)-AVERAGE(Rankings!AA2:AA651))/STDEV(Rankings!AA2:AA651),0)</f>
        <v>0</v>
      </c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ht="18.600000000000001" customHeight="1">
      <c r="A54" s="26" t="s">
        <v>196</v>
      </c>
      <c r="B54" s="27" t="s">
        <v>73</v>
      </c>
      <c r="C54" s="119" t="s">
        <v>11</v>
      </c>
      <c r="D54" s="67">
        <f>(F54*Settings!$C$2)+(G54*Settings!$C$3)+(H54*Settings!$C$4)+(I54*Settings!$C$5)+(J54*Settings!$C$6)+(M54*Settings!$C$9)+(N54*Settings!$C$10)+(O54*Settings!$C$11)+(P54*Settings!$C$12)+(Q54*Settings!$C$13)+(T54*Settings!$C$16)+(K54*Settings!$C$7)+(L54*Settings!$C$8)+(R54*Settings!$C$14)+(S54*Settings!$C$15)</f>
        <v>5.4976121273017373</v>
      </c>
      <c r="E54" s="67"/>
      <c r="F54" s="118">
        <f>(VLOOKUP($A54,Hitters!$A1:$R401,4,FALSE)-AVERAGE(Rankings!M2:M651))/STDEV(Rankings!M2:M651)</f>
        <v>1.1505537626310673</v>
      </c>
      <c r="G54" s="118">
        <f>(VLOOKUP($A54,Hitters!$A1:$R401,5,FALSE)-AVERAGE(Rankings!N2:N651))/STDEV(Rankings!N2:N651)</f>
        <v>1.2069152595874384</v>
      </c>
      <c r="H54" s="118">
        <f>(VLOOKUP($A54,Hitters!$A1:$R401,6,FALSE)-AVERAGE(Rankings!O2:O651))/STDEV(Rankings!O2:O651)</f>
        <v>0.92140366070273216</v>
      </c>
      <c r="I54" s="118">
        <f>(VLOOKUP($A54,Hitters!$A1:$R401,7,FALSE)-AVERAGE(Rankings!P2:P651))/STDEV(Rankings!P2:P651)</f>
        <v>1.1368955712840969</v>
      </c>
      <c r="J54" s="118">
        <f>(VLOOKUP($A54,Hitters!$A1:$R401,8,FALSE)-AVERAGE(Rankings!Q2:Q651))/STDEV(Rankings!Q2:Q651)</f>
        <v>1.4455445716703892</v>
      </c>
      <c r="K54" s="157">
        <f>(VLOOKUP($A54,Hitters!$A$1:$R$401,14,FALSE)-AVERAGE(Rankings!R$2:R$651))/STDEV(Rankings!R$2:R$651)</f>
        <v>0.78685306405707989</v>
      </c>
      <c r="L54" s="157">
        <f>(VLOOKUP($A54,Hitters!$A$1:$R$401,15,FALSE)-AVERAGE(Rankings!S$2:S$651))/STDEV(Rankings!S$2:S$651)</f>
        <v>3.7855511171652825E-2</v>
      </c>
      <c r="M54" s="157">
        <f>(VLOOKUP($A54,Hitters!$A$1:$R$401,9,FALSE)-AVERAGE(Rankings!T$2:T$651))/STDEV(Rankings!T$2:T$651)</f>
        <v>1.1899216116670195</v>
      </c>
      <c r="N54" s="157">
        <f>(VLOOKUP($A54,Hitters!$A$1:$R$401,10,FALSE)-AVERAGE(Rankings!U$2:U$651))/STDEV(Rankings!U$2:U$651)</f>
        <v>1.5940924110777008</v>
      </c>
      <c r="O54" s="157">
        <f>(VLOOKUP($A54,Hitters!$A$1:$R$401,11,FALSE)-AVERAGE(Rankings!V$2:V$651))/STDEV(Rankings!V$2:V$651)</f>
        <v>1.4870549169921652</v>
      </c>
      <c r="P54" s="157">
        <f>(VLOOKUP($A54,Hitters!$A$1:$R$401,12,FALSE)-AVERAGE(Rankings!W$2:W$651))/STDEV(Rankings!W$2:W$651)</f>
        <v>0.11380058321827394</v>
      </c>
      <c r="Q54" s="157">
        <f>(VLOOKUP($A54,Hitters!$A$1:$R$401,13,FALSE)-AVERAGE(Rankings!X$2:X$651))/STDEV(Rankings!X$2:X$651)</f>
        <v>0.35304167813251119</v>
      </c>
      <c r="R54" s="118">
        <f>(VLOOKUP($A54,Hitters!$A1:$R401,16,FALSE)-AVERAGE(Rankings!Y2:Y651))/STDEV(Rankings!Y2:Y651)</f>
        <v>1.0242915095345277</v>
      </c>
      <c r="S54" s="118">
        <f>(VLOOKUP($A54,Hitters!$A1:$R401,17,FALSE)-AVERAGE(Rankings!Z2:Z651))/STDEV(Rankings!Z2:Z651)</f>
        <v>0.76311710019272605</v>
      </c>
      <c r="T54" s="118">
        <f>IFERROR((VLOOKUP($A54,Hitters!$A1:$R401,18,FALSE)-AVERAGE(Rankings!AA2:AA651))/STDEV(Rankings!AA2:AA651),0)</f>
        <v>0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ht="18.600000000000001" customHeight="1">
      <c r="A55" s="26" t="s">
        <v>186</v>
      </c>
      <c r="B55" s="27" t="s">
        <v>76</v>
      </c>
      <c r="C55" s="119" t="s">
        <v>11</v>
      </c>
      <c r="D55" s="67">
        <f>(F55*Settings!$C$2)+(G55*Settings!$C$3)+(H55*Settings!$C$4)+(I55*Settings!$C$5)+(J55*Settings!$C$6)+(M55*Settings!$C$9)+(N55*Settings!$C$10)+(O55*Settings!$C$11)+(P55*Settings!$C$12)+(Q55*Settings!$C$13)+(T55*Settings!$C$16)+(K55*Settings!$C$7)+(L55*Settings!$C$8)+(R55*Settings!$C$14)+(S55*Settings!$C$15)</f>
        <v>5.5818789062243432</v>
      </c>
      <c r="E55" s="67"/>
      <c r="F55" s="118">
        <f>(VLOOKUP($A55,Hitters!$A1:$R401,4,FALSE)-AVERAGE(Rankings!M2:M651))/STDEV(Rankings!M2:M651)</f>
        <v>1.1421469730056661</v>
      </c>
      <c r="G55" s="118">
        <f>(VLOOKUP($A55,Hitters!$A1:$R401,5,FALSE)-AVERAGE(Rankings!N2:N651))/STDEV(Rankings!N2:N651)</f>
        <v>0.96624039304385367</v>
      </c>
      <c r="H55" s="118">
        <f>(VLOOKUP($A55,Hitters!$A1:$R401,6,FALSE)-AVERAGE(Rankings!O2:O651))/STDEV(Rankings!O2:O651)</f>
        <v>0.35584662065901457</v>
      </c>
      <c r="I55" s="118">
        <f>(VLOOKUP($A55,Hitters!$A1:$R401,7,FALSE)-AVERAGE(Rankings!P2:P651))/STDEV(Rankings!P2:P651)</f>
        <v>0.85873015937924113</v>
      </c>
      <c r="J55" s="118">
        <f>(VLOOKUP($A55,Hitters!$A1:$R401,8,FALSE)-AVERAGE(Rankings!Q2:Q651))/STDEV(Rankings!Q2:Q651)</f>
        <v>2.3561258094838169</v>
      </c>
      <c r="K55" s="157">
        <f>(VLOOKUP($A55,Hitters!$A$1:$R$401,14,FALSE)-AVERAGE(Rankings!R$2:R$651))/STDEV(Rankings!R$2:R$651)</f>
        <v>1.0449359236584166</v>
      </c>
      <c r="L55" s="157">
        <f>(VLOOKUP($A55,Hitters!$A$1:$R$401,15,FALSE)-AVERAGE(Rankings!S$2:S$651))/STDEV(Rankings!S$2:S$651)</f>
        <v>0.1175366806694987</v>
      </c>
      <c r="M55" s="157">
        <f>(VLOOKUP($A55,Hitters!$A$1:$R$401,9,FALSE)-AVERAGE(Rankings!T$2:T$651))/STDEV(Rankings!T$2:T$651)</f>
        <v>1.2533056261214657</v>
      </c>
      <c r="N55" s="157">
        <f>(VLOOKUP($A55,Hitters!$A$1:$R$401,10,FALSE)-AVERAGE(Rankings!U$2:U$651))/STDEV(Rankings!U$2:U$651)</f>
        <v>1.1984301858032265</v>
      </c>
      <c r="O55" s="157">
        <f>(VLOOKUP($A55,Hitters!$A$1:$R$401,11,FALSE)-AVERAGE(Rankings!V$2:V$651))/STDEV(Rankings!V$2:V$651)</f>
        <v>1.1627684337755351</v>
      </c>
      <c r="P55" s="157">
        <f>(VLOOKUP($A55,Hitters!$A$1:$R$401,12,FALSE)-AVERAGE(Rankings!W$2:W$651))/STDEV(Rankings!W$2:W$651)</f>
        <v>-2.1988534283298704E-2</v>
      </c>
      <c r="Q55" s="157">
        <f>(VLOOKUP($A55,Hitters!$A$1:$R$401,13,FALSE)-AVERAGE(Rankings!X$2:X$651))/STDEV(Rankings!X$2:X$651)</f>
        <v>0.81321947904020409</v>
      </c>
      <c r="R55" s="118">
        <f>(VLOOKUP($A55,Hitters!$A1:$R401,16,FALSE)-AVERAGE(Rankings!Y2:Y651))/STDEV(Rankings!Y2:Y651)</f>
        <v>0.39314675894211032</v>
      </c>
      <c r="S55" s="118">
        <f>(VLOOKUP($A55,Hitters!$A1:$R401,17,FALSE)-AVERAGE(Rankings!Z2:Z651))/STDEV(Rankings!Z2:Z651)</f>
        <v>0.33168330872769242</v>
      </c>
      <c r="T55" s="118">
        <f>IFERROR((VLOOKUP($A55,Hitters!$A1:$R401,18,FALSE)-AVERAGE(Rankings!AA2:AA651))/STDEV(Rankings!AA2:AA651),0)</f>
        <v>0</v>
      </c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ht="18.600000000000001" customHeight="1">
      <c r="A56" s="26" t="s">
        <v>199</v>
      </c>
      <c r="B56" s="27" t="s">
        <v>73</v>
      </c>
      <c r="C56" s="119" t="s">
        <v>11</v>
      </c>
      <c r="D56" s="67">
        <f>(F56*Settings!$C$2)+(G56*Settings!$C$3)+(H56*Settings!$C$4)+(I56*Settings!$C$5)+(J56*Settings!$C$6)+(M56*Settings!$C$9)+(N56*Settings!$C$10)+(O56*Settings!$C$11)+(P56*Settings!$C$12)+(Q56*Settings!$C$13)+(T56*Settings!$C$16)+(K56*Settings!$C$7)+(L56*Settings!$C$8)+(R56*Settings!$C$14)+(S56*Settings!$C$15)</f>
        <v>1.9673240229341662</v>
      </c>
      <c r="E56" s="67"/>
      <c r="F56" s="118">
        <f>(VLOOKUP($A56,Hitters!$A1:$R401,4,FALSE)-AVERAGE(Rankings!M2:M651))/STDEV(Rankings!M2:M651)</f>
        <v>0.24845031709928816</v>
      </c>
      <c r="G56" s="118">
        <f>(VLOOKUP($A56,Hitters!$A1:$R401,5,FALSE)-AVERAGE(Rankings!N2:N651))/STDEV(Rankings!N2:N651)</f>
        <v>0.25547365695559243</v>
      </c>
      <c r="H56" s="118">
        <f>(VLOOKUP($A56,Hitters!$A1:$R401,6,FALSE)-AVERAGE(Rankings!O2:O651))/STDEV(Rankings!O2:O651)</f>
        <v>-0.38782710264517667</v>
      </c>
      <c r="I56" s="118">
        <f>(VLOOKUP($A56,Hitters!$A1:$R401,7,FALSE)-AVERAGE(Rankings!P2:P651))/STDEV(Rankings!P2:P651)</f>
        <v>1.1100667873394681E-2</v>
      </c>
      <c r="J56" s="118">
        <f>(VLOOKUP($A56,Hitters!$A1:$R401,8,FALSE)-AVERAGE(Rankings!Q2:Q651))/STDEV(Rankings!Q2:Q651)</f>
        <v>0.85269267166418572</v>
      </c>
      <c r="K56" s="157">
        <f>(VLOOKUP($A56,Hitters!$A$1:$R$401,14,FALSE)-AVERAGE(Rankings!R$2:R$651))/STDEV(Rankings!R$2:R$651)</f>
        <v>1.2358841290861702</v>
      </c>
      <c r="L56" s="157">
        <f>(VLOOKUP($A56,Hitters!$A$1:$R$401,15,FALSE)-AVERAGE(Rankings!S$2:S$651))/STDEV(Rankings!S$2:S$651)</f>
        <v>0.4535394876879475</v>
      </c>
      <c r="M56" s="157">
        <f>(VLOOKUP($A56,Hitters!$A$1:$R$401,9,FALSE)-AVERAGE(Rankings!T$2:T$651))/STDEV(Rankings!T$2:T$651)</f>
        <v>0.448274724201213</v>
      </c>
      <c r="N56" s="157">
        <f>(VLOOKUP($A56,Hitters!$A$1:$R$401,10,FALSE)-AVERAGE(Rankings!U$2:U$651))/STDEV(Rankings!U$2:U$651)</f>
        <v>0.14376121990030394</v>
      </c>
      <c r="O56" s="157">
        <f>(VLOOKUP($A56,Hitters!$A$1:$R$401,11,FALSE)-AVERAGE(Rankings!V$2:V$651))/STDEV(Rankings!V$2:V$651)</f>
        <v>0.29959411815479919</v>
      </c>
      <c r="P56" s="157">
        <f>(VLOOKUP($A56,Hitters!$A$1:$R$401,12,FALSE)-AVERAGE(Rankings!W$2:W$651))/STDEV(Rankings!W$2:W$651)</f>
        <v>-0.3038302619056652</v>
      </c>
      <c r="Q56" s="157">
        <f>(VLOOKUP($A56,Hitters!$A$1:$R$401,13,FALSE)-AVERAGE(Rankings!X$2:X$651))/STDEV(Rankings!X$2:X$651)</f>
        <v>-0.36717059136647279</v>
      </c>
      <c r="R56" s="118">
        <f>(VLOOKUP($A56,Hitters!$A1:$R401,16,FALSE)-AVERAGE(Rankings!Y2:Y651))/STDEV(Rankings!Y2:Y651)</f>
        <v>-4.4964349331109023E-2</v>
      </c>
      <c r="S56" s="118">
        <f>(VLOOKUP($A56,Hitters!$A1:$R401,17,FALSE)-AVERAGE(Rankings!Z2:Z651))/STDEV(Rankings!Z2:Z651)</f>
        <v>0.13785992582354914</v>
      </c>
      <c r="T56" s="118">
        <f>IFERROR((VLOOKUP($A56,Hitters!$A1:$R401,18,FALSE)-AVERAGE(Rankings!AA2:AA651))/STDEV(Rankings!AA2:AA651),0)</f>
        <v>0</v>
      </c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ht="18.600000000000001" customHeight="1">
      <c r="A57" s="26" t="s">
        <v>192</v>
      </c>
      <c r="B57" s="27" t="s">
        <v>123</v>
      </c>
      <c r="C57" s="119" t="s">
        <v>11</v>
      </c>
      <c r="D57" s="67">
        <f>(F57*Settings!$C$2)+(G57*Settings!$C$3)+(H57*Settings!$C$4)+(I57*Settings!$C$5)+(J57*Settings!$C$6)+(M57*Settings!$C$9)+(N57*Settings!$C$10)+(O57*Settings!$C$11)+(P57*Settings!$C$12)+(Q57*Settings!$C$13)+(T57*Settings!$C$16)+(K57*Settings!$C$7)+(L57*Settings!$C$8)+(R57*Settings!$C$14)+(S57*Settings!$C$15)</f>
        <v>5.6664609415588236</v>
      </c>
      <c r="E57" s="67"/>
      <c r="F57" s="118">
        <f>(VLOOKUP($A57,Hitters!$A1:$R401,4,FALSE)-AVERAGE(Rankings!M2:M651))/STDEV(Rankings!M2:M651)</f>
        <v>1.4089674919706718</v>
      </c>
      <c r="G57" s="118">
        <f>(VLOOKUP($A57,Hitters!$A1:$R401,5,FALSE)-AVERAGE(Rankings!N2:N651))/STDEV(Rankings!N2:N651)</f>
        <v>1.4587972785764793</v>
      </c>
      <c r="H57" s="118">
        <f>(VLOOKUP($A57,Hitters!$A1:$R401,6,FALSE)-AVERAGE(Rankings!O2:O651))/STDEV(Rankings!O2:O651)</f>
        <v>-0.22064679766858808</v>
      </c>
      <c r="I57" s="118">
        <f>(VLOOKUP($A57,Hitters!$A1:$R401,7,FALSE)-AVERAGE(Rankings!P2:P651))/STDEV(Rankings!P2:P651)</f>
        <v>0.38868177187271158</v>
      </c>
      <c r="J57" s="118">
        <f>(VLOOKUP($A57,Hitters!$A1:$R401,8,FALSE)-AVERAGE(Rankings!Q2:Q651))/STDEV(Rankings!Q2:Q651)</f>
        <v>3.229168735701875</v>
      </c>
      <c r="K57" s="157">
        <f>(VLOOKUP($A57,Hitters!$A$1:$R$401,14,FALSE)-AVERAGE(Rankings!R$2:R$651))/STDEV(Rankings!R$2:R$651)</f>
        <v>0.81045995307634555</v>
      </c>
      <c r="L57" s="157">
        <f>(VLOOKUP($A57,Hitters!$A$1:$R$401,15,FALSE)-AVERAGE(Rankings!S$2:S$651))/STDEV(Rankings!S$2:S$651)</f>
        <v>4.5004240612405481E-2</v>
      </c>
      <c r="M57" s="157">
        <f>(VLOOKUP($A57,Hitters!$A$1:$R$401,9,FALSE)-AVERAGE(Rankings!T$2:T$651))/STDEV(Rankings!T$2:T$651)</f>
        <v>1.4369874676312335</v>
      </c>
      <c r="N57" s="157">
        <f>(VLOOKUP($A57,Hitters!$A$1:$R$401,10,FALSE)-AVERAGE(Rankings!U$2:U$651))/STDEV(Rankings!U$2:U$651)</f>
        <v>1.4936170118372551</v>
      </c>
      <c r="O57" s="157">
        <f>(VLOOKUP($A57,Hitters!$A$1:$R$401,11,FALSE)-AVERAGE(Rankings!V$2:V$651))/STDEV(Rankings!V$2:V$651)</f>
        <v>2.0020981550421073</v>
      </c>
      <c r="P57" s="157">
        <f>(VLOOKUP($A57,Hitters!$A$1:$R$401,12,FALSE)-AVERAGE(Rankings!W$2:W$651))/STDEV(Rankings!W$2:W$651)</f>
        <v>0.2372424080839958</v>
      </c>
      <c r="Q57" s="157">
        <f>(VLOOKUP($A57,Hitters!$A$1:$R$401,13,FALSE)-AVERAGE(Rankings!X$2:X$651))/STDEV(Rankings!X$2:X$651)</f>
        <v>0.2273430598440091</v>
      </c>
      <c r="R57" s="118">
        <f>(VLOOKUP($A57,Hitters!$A1:$R401,16,FALSE)-AVERAGE(Rankings!Y2:Y651))/STDEV(Rankings!Y2:Y651)</f>
        <v>-0.3281575105884495</v>
      </c>
      <c r="S57" s="118">
        <f>(VLOOKUP($A57,Hitters!$A1:$R401,17,FALSE)-AVERAGE(Rankings!Z2:Z651))/STDEV(Rankings!Z2:Z651)</f>
        <v>-0.22296181585281991</v>
      </c>
      <c r="T57" s="118">
        <f>IFERROR((VLOOKUP($A57,Hitters!$A1:$R401,18,FALSE)-AVERAGE(Rankings!AA2:AA651))/STDEV(Rankings!AA2:AA651),0)</f>
        <v>0</v>
      </c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ht="18.600000000000001" customHeight="1">
      <c r="A58" s="26" t="s">
        <v>239</v>
      </c>
      <c r="B58" s="27" t="s">
        <v>68</v>
      </c>
      <c r="C58" s="119" t="s">
        <v>11</v>
      </c>
      <c r="D58" s="67">
        <f>(F58*Settings!$C$2)+(G58*Settings!$C$3)+(H58*Settings!$C$4)+(I58*Settings!$C$5)+(J58*Settings!$C$6)+(M58*Settings!$C$9)+(N58*Settings!$C$10)+(O58*Settings!$C$11)+(P58*Settings!$C$12)+(Q58*Settings!$C$13)+(T58*Settings!$C$16)+(K58*Settings!$C$7)+(L58*Settings!$C$8)+(R58*Settings!$C$14)+(S58*Settings!$C$15)</f>
        <v>4.4555441807887473</v>
      </c>
      <c r="E58" s="67"/>
      <c r="F58" s="118">
        <f>(VLOOKUP($A58,Hitters!$A1:$R401,4,FALSE)-AVERAGE(Rankings!M2:M651))/STDEV(Rankings!M2:M651)</f>
        <v>1.0522492427400663</v>
      </c>
      <c r="G58" s="118">
        <f>(VLOOKUP($A58,Hitters!$A1:$R401,5,FALSE)-AVERAGE(Rankings!N2:N651))/STDEV(Rankings!N2:N651)</f>
        <v>1.0144666463272398</v>
      </c>
      <c r="H58" s="118">
        <f>(VLOOKUP($A58,Hitters!$A1:$R401,6,FALSE)-AVERAGE(Rankings!O2:O651))/STDEV(Rankings!O2:O651)</f>
        <v>0.94501787878067511</v>
      </c>
      <c r="I58" s="118">
        <f>(VLOOKUP($A58,Hitters!$A1:$R401,7,FALSE)-AVERAGE(Rankings!P2:P651))/STDEV(Rankings!P2:P651)</f>
        <v>0.94091481625917317</v>
      </c>
      <c r="J58" s="118">
        <f>(VLOOKUP($A58,Hitters!$A1:$R401,8,FALSE)-AVERAGE(Rankings!Q2:Q651))/STDEV(Rankings!Q2:Q651)</f>
        <v>0.93790622288067993</v>
      </c>
      <c r="K58" s="157">
        <f>(VLOOKUP($A58,Hitters!$A$1:$R$401,14,FALSE)-AVERAGE(Rankings!R$2:R$651))/STDEV(Rankings!R$2:R$651)</f>
        <v>0.61723861654097867</v>
      </c>
      <c r="L58" s="157">
        <f>(VLOOKUP($A58,Hitters!$A$1:$R$401,15,FALSE)-AVERAGE(Rankings!S$2:S$651))/STDEV(Rankings!S$2:S$651)</f>
        <v>0.43306868724855296</v>
      </c>
      <c r="M58" s="157">
        <f>(VLOOKUP($A58,Hitters!$A$1:$R$401,9,FALSE)-AVERAGE(Rankings!T$2:T$651))/STDEV(Rankings!T$2:T$651)</f>
        <v>1.0528192325753361</v>
      </c>
      <c r="N58" s="157">
        <f>(VLOOKUP($A58,Hitters!$A$1:$R$401,10,FALSE)-AVERAGE(Rankings!U$2:U$651))/STDEV(Rankings!U$2:U$651)</f>
        <v>0.77128423442842697</v>
      </c>
      <c r="O58" s="157">
        <f>(VLOOKUP($A58,Hitters!$A$1:$R$401,11,FALSE)-AVERAGE(Rankings!V$2:V$651))/STDEV(Rankings!V$2:V$651)</f>
        <v>-0.53544357612802351</v>
      </c>
      <c r="P58" s="157">
        <f>(VLOOKUP($A58,Hitters!$A$1:$R$401,12,FALSE)-AVERAGE(Rankings!W$2:W$651))/STDEV(Rankings!W$2:W$651)</f>
        <v>0.63033417540016112</v>
      </c>
      <c r="Q58" s="157">
        <f>(VLOOKUP($A58,Hitters!$A$1:$R$401,13,FALSE)-AVERAGE(Rankings!X$2:X$651))/STDEV(Rankings!X$2:X$651)</f>
        <v>0.84817970385993624</v>
      </c>
      <c r="R58" s="118">
        <f>(VLOOKUP($A58,Hitters!$A1:$R401,16,FALSE)-AVERAGE(Rankings!Y2:Y651))/STDEV(Rankings!Y2:Y651)</f>
        <v>0.58998840491973337</v>
      </c>
      <c r="S58" s="118">
        <f>(VLOOKUP($A58,Hitters!$A1:$R401,17,FALSE)-AVERAGE(Rankings!Z2:Z651))/STDEV(Rankings!Z2:Z651)</f>
        <v>0.59436563707161683</v>
      </c>
      <c r="T58" s="118">
        <f>IFERROR((VLOOKUP($A58,Hitters!$A1:$R401,18,FALSE)-AVERAGE(Rankings!AA2:AA651))/STDEV(Rankings!AA2:AA651),0)</f>
        <v>0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ht="18.600000000000001" customHeight="1">
      <c r="A59" s="26" t="s">
        <v>262</v>
      </c>
      <c r="B59" s="27" t="s">
        <v>223</v>
      </c>
      <c r="C59" s="119" t="s">
        <v>11</v>
      </c>
      <c r="D59" s="67">
        <f>(F59*Settings!$C$2)+(G59*Settings!$C$3)+(H59*Settings!$C$4)+(I59*Settings!$C$5)+(J59*Settings!$C$6)+(M59*Settings!$C$9)+(N59*Settings!$C$10)+(O59*Settings!$C$11)+(P59*Settings!$C$12)+(Q59*Settings!$C$13)+(T59*Settings!$C$16)+(K59*Settings!$C$7)+(L59*Settings!$C$8)+(R59*Settings!$C$14)+(S59*Settings!$C$15)</f>
        <v>2.9489555525928361</v>
      </c>
      <c r="E59" s="67"/>
      <c r="F59" s="118">
        <f>(VLOOKUP($A59,Hitters!$A1:$R401,4,FALSE)-AVERAGE(Rankings!M2:M651))/STDEV(Rankings!M2:M651)</f>
        <v>1.1310618393488563</v>
      </c>
      <c r="G59" s="118">
        <f>(VLOOKUP($A59,Hitters!$A1:$R401,5,FALSE)-AVERAGE(Rankings!N2:N651))/STDEV(Rankings!N2:N651)</f>
        <v>1.2188881495981716</v>
      </c>
      <c r="H59" s="118">
        <f>(VLOOKUP($A59,Hitters!$A1:$R401,6,FALSE)-AVERAGE(Rankings!O2:O651))/STDEV(Rankings!O2:O651)</f>
        <v>0.39865174457906161</v>
      </c>
      <c r="I59" s="118">
        <f>(VLOOKUP($A59,Hitters!$A1:$R401,7,FALSE)-AVERAGE(Rankings!P2:P651))/STDEV(Rankings!P2:P651)</f>
        <v>0.57455551938849247</v>
      </c>
      <c r="J59" s="118">
        <f>(VLOOKUP($A59,Hitters!$A1:$R401,8,FALSE)-AVERAGE(Rankings!Q2:Q651))/STDEV(Rankings!Q2:Q651)</f>
        <v>0.40202702616922203</v>
      </c>
      <c r="K59" s="157">
        <f>(VLOOKUP($A59,Hitters!$A$1:$R$401,14,FALSE)-AVERAGE(Rankings!R$2:R$651))/STDEV(Rankings!R$2:R$651)</f>
        <v>0.35483311285788871</v>
      </c>
      <c r="L59" s="157">
        <f>(VLOOKUP($A59,Hitters!$A$1:$R$401,15,FALSE)-AVERAGE(Rankings!S$2:S$651))/STDEV(Rankings!S$2:S$651)</f>
        <v>0.57191961989219919</v>
      </c>
      <c r="M59" s="157">
        <f>(VLOOKUP($A59,Hitters!$A$1:$R$401,9,FALSE)-AVERAGE(Rankings!T$2:T$651))/STDEV(Rankings!T$2:T$651)</f>
        <v>1.0529555261791959</v>
      </c>
      <c r="N59" s="157">
        <f>(VLOOKUP($A59,Hitters!$A$1:$R$401,10,FALSE)-AVERAGE(Rankings!U$2:U$651))/STDEV(Rankings!U$2:U$651)</f>
        <v>1.236576413394942</v>
      </c>
      <c r="O59" s="157">
        <f>(VLOOKUP($A59,Hitters!$A$1:$R$401,11,FALSE)-AVERAGE(Rankings!V$2:V$651))/STDEV(Rankings!V$2:V$651)</f>
        <v>0.36359300940137507</v>
      </c>
      <c r="P59" s="157">
        <f>(VLOOKUP($A59,Hitters!$A$1:$R$401,12,FALSE)-AVERAGE(Rankings!W$2:W$651))/STDEV(Rankings!W$2:W$651)</f>
        <v>1.0642279911016475</v>
      </c>
      <c r="Q59" s="157">
        <f>(VLOOKUP($A59,Hitters!$A$1:$R$401,13,FALSE)-AVERAGE(Rankings!X$2:X$651))/STDEV(Rankings!X$2:X$651)</f>
        <v>1.1419183602344487</v>
      </c>
      <c r="R59" s="118">
        <f>(VLOOKUP($A59,Hitters!$A1:$R401,16,FALSE)-AVERAGE(Rankings!Y2:Y651))/STDEV(Rankings!Y2:Y651)</f>
        <v>7.2193621963805424E-2</v>
      </c>
      <c r="S59" s="118">
        <f>(VLOOKUP($A59,Hitters!$A1:$R401,17,FALSE)-AVERAGE(Rankings!Z2:Z651))/STDEV(Rankings!Z2:Z651)</f>
        <v>0.26807415316668304</v>
      </c>
      <c r="T59" s="118">
        <f>IFERROR((VLOOKUP($A59,Hitters!$A1:$R401,18,FALSE)-AVERAGE(Rankings!AA2:AA651))/STDEV(Rankings!AA2:AA651),0)</f>
        <v>0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ht="18.600000000000001" customHeight="1">
      <c r="A60" s="26" t="s">
        <v>265</v>
      </c>
      <c r="B60" s="27" t="s">
        <v>156</v>
      </c>
      <c r="C60" s="119" t="s">
        <v>11</v>
      </c>
      <c r="D60" s="67">
        <f>(F60*Settings!$C$2)+(G60*Settings!$C$3)+(H60*Settings!$C$4)+(I60*Settings!$C$5)+(J60*Settings!$C$6)+(M60*Settings!$C$9)+(N60*Settings!$C$10)+(O60*Settings!$C$11)+(P60*Settings!$C$12)+(Q60*Settings!$C$13)+(T60*Settings!$C$16)+(K60*Settings!$C$7)+(L60*Settings!$C$8)+(R60*Settings!$C$14)+(S60*Settings!$C$15)</f>
        <v>3.5075922132708373</v>
      </c>
      <c r="E60" s="67"/>
      <c r="F60" s="118">
        <f>(VLOOKUP($A60,Hitters!$A1:$R401,4,FALSE)-AVERAGE(Rankings!M2:M651))/STDEV(Rankings!M2:M651)</f>
        <v>0.95842271129274559</v>
      </c>
      <c r="G60" s="118">
        <f>(VLOOKUP($A60,Hitters!$A1:$R401,5,FALSE)-AVERAGE(Rankings!N2:N651))/STDEV(Rankings!N2:N651)</f>
        <v>1.0076206482270742</v>
      </c>
      <c r="H60" s="118">
        <f>(VLOOKUP($A60,Hitters!$A1:$R401,6,FALSE)-AVERAGE(Rankings!O2:O651))/STDEV(Rankings!O2:O651)</f>
        <v>0.88504194437032424</v>
      </c>
      <c r="I60" s="118">
        <f>(VLOOKUP($A60,Hitters!$A1:$R401,7,FALSE)-AVERAGE(Rankings!P2:P651))/STDEV(Rankings!P2:P651)</f>
        <v>0.97494420190440978</v>
      </c>
      <c r="J60" s="118">
        <f>(VLOOKUP($A60,Hitters!$A1:$R401,8,FALSE)-AVERAGE(Rankings!Q2:Q651))/STDEV(Rankings!Q2:Q651)</f>
        <v>0.15910504940205308</v>
      </c>
      <c r="K60" s="157">
        <f>(VLOOKUP($A60,Hitters!$A$1:$R$401,14,FALSE)-AVERAGE(Rankings!R$2:R$651))/STDEV(Rankings!R$2:R$651)</f>
        <v>0.48088036936697587</v>
      </c>
      <c r="L60" s="157">
        <f>(VLOOKUP($A60,Hitters!$A$1:$R$401,15,FALSE)-AVERAGE(Rankings!S$2:S$651))/STDEV(Rankings!S$2:S$651)</f>
        <v>0.83291541515621126</v>
      </c>
      <c r="M60" s="157">
        <f>(VLOOKUP($A60,Hitters!$A$1:$R$401,9,FALSE)-AVERAGE(Rankings!T$2:T$651))/STDEV(Rankings!T$2:T$651)</f>
        <v>0.93079901382288333</v>
      </c>
      <c r="N60" s="157">
        <f>(VLOOKUP($A60,Hitters!$A$1:$R$401,10,FALSE)-AVERAGE(Rankings!U$2:U$651))/STDEV(Rankings!U$2:U$651)</f>
        <v>0.90023124929946241</v>
      </c>
      <c r="O60" s="157">
        <f>(VLOOKUP($A60,Hitters!$A$1:$R$401,11,FALSE)-AVERAGE(Rankings!V$2:V$651))/STDEV(Rankings!V$2:V$651)</f>
        <v>0.27956465889730137</v>
      </c>
      <c r="P60" s="157">
        <f>(VLOOKUP($A60,Hitters!$A$1:$R$401,12,FALSE)-AVERAGE(Rankings!W$2:W$651))/STDEV(Rankings!W$2:W$651)</f>
        <v>1.1146777225490367</v>
      </c>
      <c r="Q60" s="157">
        <f>(VLOOKUP($A60,Hitters!$A$1:$R$401,13,FALSE)-AVERAGE(Rankings!X$2:X$651))/STDEV(Rankings!X$2:X$651)</f>
        <v>0.57324363717806237</v>
      </c>
      <c r="R60" s="118">
        <f>(VLOOKUP($A60,Hitters!$A1:$R401,16,FALSE)-AVERAGE(Rankings!Y2:Y651))/STDEV(Rankings!Y2:Y651)</f>
        <v>0.69433094494711611</v>
      </c>
      <c r="S60" s="118">
        <f>(VLOOKUP($A60,Hitters!$A1:$R401,17,FALSE)-AVERAGE(Rankings!Z2:Z651))/STDEV(Rankings!Z2:Z651)</f>
        <v>0.82115991297678093</v>
      </c>
      <c r="T60" s="118">
        <f>IFERROR((VLOOKUP($A60,Hitters!$A1:$R401,18,FALSE)-AVERAGE(Rankings!AA2:AA651))/STDEV(Rankings!AA2:AA651),0)</f>
        <v>0</v>
      </c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ht="18.600000000000001" customHeight="1">
      <c r="A61" s="26" t="s">
        <v>299</v>
      </c>
      <c r="B61" s="27" t="s">
        <v>101</v>
      </c>
      <c r="C61" s="119" t="s">
        <v>11</v>
      </c>
      <c r="D61" s="67">
        <f>(F61*Settings!$C$2)+(G61*Settings!$C$3)+(H61*Settings!$C$4)+(I61*Settings!$C$5)+(J61*Settings!$C$6)+(M61*Settings!$C$9)+(N61*Settings!$C$10)+(O61*Settings!$C$11)+(P61*Settings!$C$12)+(Q61*Settings!$C$13)+(T61*Settings!$C$16)+(K61*Settings!$C$7)+(L61*Settings!$C$8)+(R61*Settings!$C$14)+(S61*Settings!$C$15)</f>
        <v>2.6955188693450811</v>
      </c>
      <c r="E61" s="67"/>
      <c r="F61" s="118">
        <f>(VLOOKUP($A61,Hitters!$A1:$R401,4,FALSE)-AVERAGE(Rankings!M2:M651))/STDEV(Rankings!M2:M651)</f>
        <v>0.71014782371242036</v>
      </c>
      <c r="G61" s="118">
        <f>(VLOOKUP($A61,Hitters!$A1:$R401,5,FALSE)-AVERAGE(Rankings!N2:N651))/STDEV(Rankings!N2:N651)</f>
        <v>0.8221701663581551</v>
      </c>
      <c r="H61" s="118">
        <f>(VLOOKUP($A61,Hitters!$A1:$R401,6,FALSE)-AVERAGE(Rankings!O2:O651))/STDEV(Rankings!O2:O651)</f>
        <v>1.2981862730437184</v>
      </c>
      <c r="I61" s="118">
        <f>(VLOOKUP($A61,Hitters!$A1:$R401,7,FALSE)-AVERAGE(Rankings!P2:P651))/STDEV(Rankings!P2:P651)</f>
        <v>1.1110871965314641</v>
      </c>
      <c r="J61" s="118">
        <f>(VLOOKUP($A61,Hitters!$A1:$R401,8,FALSE)-AVERAGE(Rankings!Q2:Q651))/STDEV(Rankings!Q2:Q651)</f>
        <v>-0.27694124520576879</v>
      </c>
      <c r="K61" s="157">
        <f>(VLOOKUP($A61,Hitters!$A$1:$R$401,14,FALSE)-AVERAGE(Rankings!R$2:R$651))/STDEV(Rankings!R$2:R$651)</f>
        <v>-0.25898352138248754</v>
      </c>
      <c r="L61" s="157">
        <f>(VLOOKUP($A61,Hitters!$A$1:$R$401,15,FALSE)-AVERAGE(Rankings!S$2:S$651))/STDEV(Rankings!S$2:S$651)</f>
        <v>0.2781830463353332</v>
      </c>
      <c r="M61" s="157">
        <f>(VLOOKUP($A61,Hitters!$A$1:$R$401,9,FALSE)-AVERAGE(Rankings!T$2:T$651))/STDEV(Rankings!T$2:T$651)</f>
        <v>0.52286177334656891</v>
      </c>
      <c r="N61" s="157">
        <f>(VLOOKUP($A61,Hitters!$A$1:$R$401,10,FALSE)-AVERAGE(Rankings!U$2:U$651))/STDEV(Rankings!U$2:U$651)</f>
        <v>0.63860793992819564</v>
      </c>
      <c r="O61" s="157">
        <f>(VLOOKUP($A61,Hitters!$A$1:$R$401,11,FALSE)-AVERAGE(Rankings!V$2:V$651))/STDEV(Rankings!V$2:V$651)</f>
        <v>0.3100857396706313</v>
      </c>
      <c r="P61" s="157">
        <f>(VLOOKUP($A61,Hitters!$A$1:$R$401,12,FALSE)-AVERAGE(Rankings!W$2:W$651))/STDEV(Rankings!W$2:W$651)</f>
        <v>0.91230030899366965</v>
      </c>
      <c r="Q61" s="157">
        <f>(VLOOKUP($A61,Hitters!$A$1:$R$401,13,FALSE)-AVERAGE(Rankings!X$2:X$651))/STDEV(Rankings!X$2:X$651)</f>
        <v>1.1457054542714824</v>
      </c>
      <c r="R61" s="118">
        <f>(VLOOKUP($A61,Hitters!$A1:$R401,16,FALSE)-AVERAGE(Rankings!Y2:Y651))/STDEV(Rankings!Y2:Y651)</f>
        <v>1.040470616344483</v>
      </c>
      <c r="S61" s="118">
        <f>(VLOOKUP($A61,Hitters!$A1:$R401,17,FALSE)-AVERAGE(Rankings!Z2:Z651))/STDEV(Rankings!Z2:Z651)</f>
        <v>0.86540941305963404</v>
      </c>
      <c r="T61" s="118">
        <f>IFERROR((VLOOKUP($A61,Hitters!$A1:$R401,18,FALSE)-AVERAGE(Rankings!AA2:AA651))/STDEV(Rankings!AA2:AA651),0)</f>
        <v>0</v>
      </c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ht="18.600000000000001" customHeight="1">
      <c r="A62" s="26" t="s">
        <v>275</v>
      </c>
      <c r="B62" s="27" t="s">
        <v>94</v>
      </c>
      <c r="C62" s="119" t="s">
        <v>11</v>
      </c>
      <c r="D62" s="67">
        <f>(F62*Settings!$C$2)+(G62*Settings!$C$3)+(H62*Settings!$C$4)+(I62*Settings!$C$5)+(J62*Settings!$C$6)+(M62*Settings!$C$9)+(N62*Settings!$C$10)+(O62*Settings!$C$11)+(P62*Settings!$C$12)+(Q62*Settings!$C$13)+(T62*Settings!$C$16)+(K62*Settings!$C$7)+(L62*Settings!$C$8)+(R62*Settings!$C$14)+(S62*Settings!$C$15)</f>
        <v>2.6348581938689555</v>
      </c>
      <c r="E62" s="67"/>
      <c r="F62" s="118">
        <f>(VLOOKUP($A62,Hitters!$A1:$R401,4,FALSE)-AVERAGE(Rankings!M2:M651))/STDEV(Rankings!M2:M651)</f>
        <v>0.62219337145068176</v>
      </c>
      <c r="G62" s="118">
        <f>(VLOOKUP($A62,Hitters!$A1:$R401,5,FALSE)-AVERAGE(Rankings!N2:N651))/STDEV(Rankings!N2:N651)</f>
        <v>0.50700069826536531</v>
      </c>
      <c r="H62" s="118">
        <f>(VLOOKUP($A62,Hitters!$A1:$R401,6,FALSE)-AVERAGE(Rankings!O2:O651))/STDEV(Rankings!O2:O651)</f>
        <v>-0.51794910668528815</v>
      </c>
      <c r="I62" s="118">
        <f>(VLOOKUP($A62,Hitters!$A1:$R401,7,FALSE)-AVERAGE(Rankings!P2:P651))/STDEV(Rankings!P2:P651)</f>
        <v>8.3231766541009028E-2</v>
      </c>
      <c r="J62" s="118">
        <f>(VLOOKUP($A62,Hitters!$A1:$R401,8,FALSE)-AVERAGE(Rankings!Q2:Q651))/STDEV(Rankings!Q2:Q651)</f>
        <v>1.9389278654238817</v>
      </c>
      <c r="K62" s="157">
        <f>(VLOOKUP($A62,Hitters!$A$1:$R$401,14,FALSE)-AVERAGE(Rankings!R$2:R$651))/STDEV(Rankings!R$2:R$651)</f>
        <v>0.62364697032398764</v>
      </c>
      <c r="L62" s="157">
        <f>(VLOOKUP($A62,Hitters!$A$1:$R$401,15,FALSE)-AVERAGE(Rankings!S$2:S$651))/STDEV(Rankings!S$2:S$651)</f>
        <v>-0.21684832082105773</v>
      </c>
      <c r="M62" s="157">
        <f>(VLOOKUP($A62,Hitters!$A$1:$R$401,9,FALSE)-AVERAGE(Rankings!T$2:T$651))/STDEV(Rankings!T$2:T$651)</f>
        <v>0.65969456069435362</v>
      </c>
      <c r="N62" s="157">
        <f>(VLOOKUP($A62,Hitters!$A$1:$R$401,10,FALSE)-AVERAGE(Rankings!U$2:U$651))/STDEV(Rankings!U$2:U$651)</f>
        <v>0.80578007099848681</v>
      </c>
      <c r="O62" s="157">
        <f>(VLOOKUP($A62,Hitters!$A$1:$R$401,11,FALSE)-AVERAGE(Rankings!V$2:V$651))/STDEV(Rankings!V$2:V$651)</f>
        <v>0.28910249663896692</v>
      </c>
      <c r="P62" s="157">
        <f>(VLOOKUP($A62,Hitters!$A$1:$R$401,12,FALSE)-AVERAGE(Rankings!W$2:W$651))/STDEV(Rankings!W$2:W$651)</f>
        <v>-0.28591580206120648</v>
      </c>
      <c r="Q62" s="157">
        <f>(VLOOKUP($A62,Hitters!$A$1:$R$401,13,FALSE)-AVERAGE(Rankings!X$2:X$651))/STDEV(Rankings!X$2:X$651)</f>
        <v>-0.36293107089059573</v>
      </c>
      <c r="R62" s="118">
        <f>(VLOOKUP($A62,Hitters!$A1:$R401,16,FALSE)-AVERAGE(Rankings!Y2:Y651))/STDEV(Rankings!Y2:Y651)</f>
        <v>-0.55132211281867949</v>
      </c>
      <c r="S62" s="118">
        <f>(VLOOKUP($A62,Hitters!$A1:$R401,17,FALSE)-AVERAGE(Rankings!Z2:Z651))/STDEV(Rankings!Z2:Z651)</f>
        <v>-0.48468278793335651</v>
      </c>
      <c r="T62" s="118">
        <f>IFERROR((VLOOKUP($A62,Hitters!$A1:$R401,18,FALSE)-AVERAGE(Rankings!AA2:AA651))/STDEV(Rankings!AA2:AA651),0)</f>
        <v>0</v>
      </c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ht="18.600000000000001" customHeight="1">
      <c r="A63" s="26" t="s">
        <v>310</v>
      </c>
      <c r="B63" s="27" t="s">
        <v>134</v>
      </c>
      <c r="C63" s="119" t="s">
        <v>11</v>
      </c>
      <c r="D63" s="67">
        <f>(F63*Settings!$C$2)+(G63*Settings!$C$3)+(H63*Settings!$C$4)+(I63*Settings!$C$5)+(J63*Settings!$C$6)+(M63*Settings!$C$9)+(N63*Settings!$C$10)+(O63*Settings!$C$11)+(P63*Settings!$C$12)+(Q63*Settings!$C$13)+(T63*Settings!$C$16)+(K63*Settings!$C$7)+(L63*Settings!$C$8)+(R63*Settings!$C$14)+(S63*Settings!$C$15)</f>
        <v>2.9663182443754246</v>
      </c>
      <c r="E63" s="67"/>
      <c r="F63" s="118">
        <f>(VLOOKUP($A63,Hitters!$A1:$R401,4,FALSE)-AVERAGE(Rankings!M2:M651))/STDEV(Rankings!M2:M651)</f>
        <v>1.0538545593519519</v>
      </c>
      <c r="G63" s="118">
        <f>(VLOOKUP($A63,Hitters!$A1:$R401,5,FALSE)-AVERAGE(Rankings!N2:N651))/STDEV(Rankings!N2:N651)</f>
        <v>0.91816627305158283</v>
      </c>
      <c r="H63" s="118">
        <f>(VLOOKUP($A63,Hitters!$A1:$R401,6,FALSE)-AVERAGE(Rankings!O2:O651))/STDEV(Rankings!O2:O651)</f>
        <v>-0.89159708830796336</v>
      </c>
      <c r="I63" s="118">
        <f>(VLOOKUP($A63,Hitters!$A1:$R401,7,FALSE)-AVERAGE(Rankings!P2:P651))/STDEV(Rankings!P2:P651)</f>
        <v>0.28384479395743051</v>
      </c>
      <c r="J63" s="118">
        <f>(VLOOKUP($A63,Hitters!$A1:$R401,8,FALSE)-AVERAGE(Rankings!Q2:Q651))/STDEV(Rankings!Q2:Q651)</f>
        <v>-0.2432042816200565</v>
      </c>
      <c r="K63" s="157">
        <f>(VLOOKUP($A63,Hitters!$A$1:$R$401,14,FALSE)-AVERAGE(Rankings!R$2:R$651))/STDEV(Rankings!R$2:R$651)</f>
        <v>2.8991085472944311</v>
      </c>
      <c r="L63" s="157">
        <f>(VLOOKUP($A63,Hitters!$A$1:$R$401,15,FALSE)-AVERAGE(Rankings!S$2:S$651))/STDEV(Rankings!S$2:S$651)</f>
        <v>2.2662588081232178</v>
      </c>
      <c r="M63" s="157">
        <f>(VLOOKUP($A63,Hitters!$A$1:$R$401,9,FALSE)-AVERAGE(Rankings!T$2:T$651))/STDEV(Rankings!T$2:T$651)</f>
        <v>1.6700944621891274</v>
      </c>
      <c r="N63" s="157">
        <f>(VLOOKUP($A63,Hitters!$A$1:$R$401,10,FALSE)-AVERAGE(Rankings!U$2:U$651))/STDEV(Rankings!U$2:U$651)</f>
        <v>1.1410566530463699</v>
      </c>
      <c r="O63" s="157">
        <f>(VLOOKUP($A63,Hitters!$A$1:$R$401,11,FALSE)-AVERAGE(Rankings!V$2:V$651))/STDEV(Rankings!V$2:V$651)</f>
        <v>1.1618146500013682</v>
      </c>
      <c r="P63" s="157">
        <f>(VLOOKUP($A63,Hitters!$A$1:$R$401,12,FALSE)-AVERAGE(Rankings!W$2:W$651))/STDEV(Rankings!W$2:W$651)</f>
        <v>0.74348140615387648</v>
      </c>
      <c r="Q63" s="157">
        <f>(VLOOKUP($A63,Hitters!$A$1:$R$401,13,FALSE)-AVERAGE(Rankings!X$2:X$651))/STDEV(Rankings!X$2:X$651)</f>
        <v>-1.2831917580684618</v>
      </c>
      <c r="R63" s="118">
        <f>(VLOOKUP($A63,Hitters!$A1:$R401,16,FALSE)-AVERAGE(Rankings!Y2:Y651))/STDEV(Rankings!Y2:Y651)</f>
        <v>-4.7104255945941101E-2</v>
      </c>
      <c r="S63" s="118">
        <f>(VLOOKUP($A63,Hitters!$A1:$R401,17,FALSE)-AVERAGE(Rankings!Z2:Z651))/STDEV(Rankings!Z2:Z651)</f>
        <v>0.81863732942587375</v>
      </c>
      <c r="T63" s="118">
        <f>IFERROR((VLOOKUP($A63,Hitters!$A1:$R401,18,FALSE)-AVERAGE(Rankings!AA2:AA651))/STDEV(Rankings!AA2:AA651),0)</f>
        <v>0</v>
      </c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ht="18.600000000000001" customHeight="1">
      <c r="A64" s="26" t="s">
        <v>322</v>
      </c>
      <c r="B64" s="27" t="s">
        <v>120</v>
      </c>
      <c r="C64" s="119" t="s">
        <v>11</v>
      </c>
      <c r="D64" s="67">
        <f>(F64*Settings!$C$2)+(G64*Settings!$C$3)+(H64*Settings!$C$4)+(I64*Settings!$C$5)+(J64*Settings!$C$6)+(M64*Settings!$C$9)+(N64*Settings!$C$10)+(O64*Settings!$C$11)+(P64*Settings!$C$12)+(Q64*Settings!$C$13)+(T64*Settings!$C$16)+(K64*Settings!$C$7)+(L64*Settings!$C$8)+(R64*Settings!$C$14)+(S64*Settings!$C$15)</f>
        <v>3.1071190177129555</v>
      </c>
      <c r="E64" s="67"/>
      <c r="F64" s="118">
        <f>(VLOOKUP($A64,Hitters!$A1:$R401,4,FALSE)-AVERAGE(Rankings!M2:M651))/STDEV(Rankings!M2:M651)</f>
        <v>1.1199260114832481</v>
      </c>
      <c r="G64" s="118">
        <f>(VLOOKUP($A64,Hitters!$A1:$R401,5,FALSE)-AVERAGE(Rankings!N2:N651))/STDEV(Rankings!N2:N651)</f>
        <v>1.0419013498249388</v>
      </c>
      <c r="H64" s="118">
        <f>(VLOOKUP($A64,Hitters!$A1:$R401,6,FALSE)-AVERAGE(Rankings!O2:O651))/STDEV(Rankings!O2:O651)</f>
        <v>0.27713256039920409</v>
      </c>
      <c r="I64" s="118">
        <f>(VLOOKUP($A64,Hitters!$A1:$R401,7,FALSE)-AVERAGE(Rankings!P2:P651))/STDEV(Rankings!P2:P651)</f>
        <v>0.79700894756944429</v>
      </c>
      <c r="J64" s="118">
        <f>(VLOOKUP($A64,Hitters!$A1:$R401,8,FALSE)-AVERAGE(Rankings!Q2:Q651))/STDEV(Rankings!Q2:Q651)</f>
        <v>-0.20107267451301669</v>
      </c>
      <c r="K64" s="157">
        <f>(VLOOKUP($A64,Hitters!$A$1:$R$401,14,FALSE)-AVERAGE(Rankings!R$2:R$651))/STDEV(Rankings!R$2:R$651)</f>
        <v>1.1921488344323852</v>
      </c>
      <c r="L64" s="157">
        <f>(VLOOKUP($A64,Hitters!$A$1:$R$401,15,FALSE)-AVERAGE(Rankings!S$2:S$651))/STDEV(Rankings!S$2:S$651)</f>
        <v>1.035881873876991</v>
      </c>
      <c r="M64" s="157">
        <f>(VLOOKUP($A64,Hitters!$A$1:$R$401,9,FALSE)-AVERAGE(Rankings!T$2:T$651))/STDEV(Rankings!T$2:T$651)</f>
        <v>1.2726563224057634</v>
      </c>
      <c r="N64" s="157">
        <f>(VLOOKUP($A64,Hitters!$A$1:$R$401,10,FALSE)-AVERAGE(Rankings!U$2:U$651))/STDEV(Rankings!U$2:U$651)</f>
        <v>2.0783967444615201</v>
      </c>
      <c r="O64" s="157">
        <f>(VLOOKUP($A64,Hitters!$A$1:$R$401,11,FALSE)-AVERAGE(Rankings!V$2:V$651))/STDEV(Rankings!V$2:V$651)</f>
        <v>1.0893270831647104</v>
      </c>
      <c r="P64" s="157">
        <f>(VLOOKUP($A64,Hitters!$A$1:$R$401,12,FALSE)-AVERAGE(Rankings!W$2:W$651))/STDEV(Rankings!W$2:W$651)</f>
        <v>0.86387528472661723</v>
      </c>
      <c r="Q64" s="157">
        <f>(VLOOKUP($A64,Hitters!$A$1:$R$401,13,FALSE)-AVERAGE(Rankings!X$2:X$651))/STDEV(Rankings!X$2:X$651)</f>
        <v>0.22756452733155444</v>
      </c>
      <c r="R64" s="118">
        <f>(VLOOKUP($A64,Hitters!$A1:$R401,16,FALSE)-AVERAGE(Rankings!Y2:Y651))/STDEV(Rankings!Y2:Y651)</f>
        <v>0.6873640877731092</v>
      </c>
      <c r="S64" s="118">
        <f>(VLOOKUP($A64,Hitters!$A1:$R401,17,FALSE)-AVERAGE(Rankings!Z2:Z651))/STDEV(Rankings!Z2:Z651)</f>
        <v>0.89246689149685976</v>
      </c>
      <c r="T64" s="118">
        <f>IFERROR((VLOOKUP($A64,Hitters!$A1:$R401,18,FALSE)-AVERAGE(Rankings!AA2:AA651))/STDEV(Rankings!AA2:AA651),0)</f>
        <v>0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ht="18.600000000000001" customHeight="1">
      <c r="A65" s="26" t="s">
        <v>338</v>
      </c>
      <c r="B65" s="27" t="s">
        <v>63</v>
      </c>
      <c r="C65" s="119" t="s">
        <v>11</v>
      </c>
      <c r="D65" s="67">
        <f>(F65*Settings!$C$2)+(G65*Settings!$C$3)+(H65*Settings!$C$4)+(I65*Settings!$C$5)+(J65*Settings!$C$6)+(M65*Settings!$C$9)+(N65*Settings!$C$10)+(O65*Settings!$C$11)+(P65*Settings!$C$12)+(Q65*Settings!$C$13)+(T65*Settings!$C$16)+(K65*Settings!$C$7)+(L65*Settings!$C$8)+(R65*Settings!$C$14)+(S65*Settings!$C$15)</f>
        <v>2.5221677707675729</v>
      </c>
      <c r="E65" s="67"/>
      <c r="F65" s="118">
        <f>(VLOOKUP($A65,Hitters!$A1:$R401,4,FALSE)-AVERAGE(Rankings!M2:M651))/STDEV(Rankings!M2:M651)</f>
        <v>1.1989667320316209</v>
      </c>
      <c r="G65" s="118">
        <f>(VLOOKUP($A65,Hitters!$A1:$R401,5,FALSE)-AVERAGE(Rankings!N2:N651))/STDEV(Rankings!N2:N651)</f>
        <v>1.1797848226719694</v>
      </c>
      <c r="H65" s="118">
        <f>(VLOOKUP($A65,Hitters!$A1:$R401,6,FALSE)-AVERAGE(Rankings!O2:O651))/STDEV(Rankings!O2:O651)</f>
        <v>0.33453113177449934</v>
      </c>
      <c r="I65" s="118">
        <f>(VLOOKUP($A65,Hitters!$A1:$R401,7,FALSE)-AVERAGE(Rankings!P2:P651))/STDEV(Rankings!P2:P651)</f>
        <v>1.0443010275463473</v>
      </c>
      <c r="J65" s="118">
        <f>(VLOOKUP($A65,Hitters!$A1:$R401,8,FALSE)-AVERAGE(Rankings!Q2:Q651))/STDEV(Rankings!Q2:Q651)</f>
        <v>-0.32825944333614815</v>
      </c>
      <c r="K65" s="157">
        <f>(VLOOKUP($A65,Hitters!$A$1:$R$401,14,FALSE)-AVERAGE(Rankings!R$2:R$651))/STDEV(Rankings!R$2:R$651)</f>
        <v>0.2918102321109049</v>
      </c>
      <c r="L65" s="157">
        <f>(VLOOKUP($A65,Hitters!$A$1:$R$401,15,FALSE)-AVERAGE(Rankings!S$2:S$651))/STDEV(Rankings!S$2:S$651)</f>
        <v>0.63048055650361379</v>
      </c>
      <c r="M65" s="157">
        <f>(VLOOKUP($A65,Hitters!$A$1:$R$401,9,FALSE)-AVERAGE(Rankings!T$2:T$651))/STDEV(Rankings!T$2:T$651)</f>
        <v>1.0964331858105318</v>
      </c>
      <c r="N65" s="157">
        <f>(VLOOKUP($A65,Hitters!$A$1:$R$401,10,FALSE)-AVERAGE(Rankings!U$2:U$651))/STDEV(Rankings!U$2:U$651)</f>
        <v>1.2942439855071775</v>
      </c>
      <c r="O65" s="157">
        <f>(VLOOKUP($A65,Hitters!$A$1:$R$401,11,FALSE)-AVERAGE(Rankings!V$2:V$651))/STDEV(Rankings!V$2:V$651)</f>
        <v>2.3178005842912381</v>
      </c>
      <c r="P65" s="157">
        <f>(VLOOKUP($A65,Hitters!$A$1:$R$401,12,FALSE)-AVERAGE(Rankings!W$2:W$651))/STDEV(Rankings!W$2:W$651)</f>
        <v>1.2390525921983244</v>
      </c>
      <c r="Q65" s="157">
        <f>(VLOOKUP($A65,Hitters!$A$1:$R$401,13,FALSE)-AVERAGE(Rankings!X$2:X$651))/STDEV(Rankings!X$2:X$651)</f>
        <v>0.37455566263696133</v>
      </c>
      <c r="R65" s="118">
        <f>(VLOOKUP($A65,Hitters!$A1:$R401,16,FALSE)-AVERAGE(Rankings!Y2:Y651))/STDEV(Rankings!Y2:Y651)</f>
        <v>0.13244795860534606</v>
      </c>
      <c r="S65" s="118">
        <f>(VLOOKUP($A65,Hitters!$A1:$R401,17,FALSE)-AVERAGE(Rankings!Z2:Z651))/STDEV(Rankings!Z2:Z651)</f>
        <v>0.33416929270235418</v>
      </c>
      <c r="T65" s="118">
        <f>IFERROR((VLOOKUP($A65,Hitters!$A1:$R401,18,FALSE)-AVERAGE(Rankings!AA2:AA651))/STDEV(Rankings!AA2:AA651),0)</f>
        <v>0</v>
      </c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ht="18.600000000000001" customHeight="1">
      <c r="A66" s="26" t="s">
        <v>330</v>
      </c>
      <c r="B66" s="27" t="s">
        <v>176</v>
      </c>
      <c r="C66" s="119" t="s">
        <v>11</v>
      </c>
      <c r="D66" s="67">
        <f>(F66*Settings!$C$2)+(G66*Settings!$C$3)+(H66*Settings!$C$4)+(I66*Settings!$C$5)+(J66*Settings!$C$6)+(M66*Settings!$C$9)+(N66*Settings!$C$10)+(O66*Settings!$C$11)+(P66*Settings!$C$12)+(Q66*Settings!$C$13)+(T66*Settings!$C$16)+(K66*Settings!$C$7)+(L66*Settings!$C$8)+(R66*Settings!$C$14)+(S66*Settings!$C$15)</f>
        <v>-1.615827535943178</v>
      </c>
      <c r="E66" s="67"/>
      <c r="F66" s="118">
        <f>(VLOOKUP($A66,Hitters!$A1:$R401,4,FALSE)-AVERAGE(Rankings!M2:M651))/STDEV(Rankings!M2:M651)</f>
        <v>-0.94714725025919788</v>
      </c>
      <c r="G66" s="118">
        <f>(VLOOKUP($A66,Hitters!$A1:$R401,5,FALSE)-AVERAGE(Rankings!N2:N651))/STDEV(Rankings!N2:N651)</f>
        <v>-0.79561525135643618</v>
      </c>
      <c r="H66" s="118">
        <f>(VLOOKUP($A66,Hitters!$A1:$R401,6,FALSE)-AVERAGE(Rankings!O2:O651))/STDEV(Rankings!O2:O651)</f>
        <v>-0.76607254265470814</v>
      </c>
      <c r="I66" s="118">
        <f>(VLOOKUP($A66,Hitters!$A1:$R401,7,FALSE)-AVERAGE(Rankings!P2:P651))/STDEV(Rankings!P2:P651)</f>
        <v>-0.75417109283899164</v>
      </c>
      <c r="J66" s="118">
        <f>(VLOOKUP($A66,Hitters!$A1:$R401,8,FALSE)-AVERAGE(Rankings!Q2:Q651))/STDEV(Rankings!Q2:Q651)</f>
        <v>-0.90492393640122537</v>
      </c>
      <c r="K66" s="157">
        <f>(VLOOKUP($A66,Hitters!$A$1:$R$401,14,FALSE)-AVERAGE(Rankings!R$2:R$651))/STDEV(Rankings!R$2:R$651)</f>
        <v>1.6049552873081832</v>
      </c>
      <c r="L66" s="157">
        <f>(VLOOKUP($A66,Hitters!$A$1:$R$401,15,FALSE)-AVERAGE(Rankings!S$2:S$651))/STDEV(Rankings!S$2:S$651)</f>
        <v>0.74852421187327123</v>
      </c>
      <c r="M66" s="157">
        <f>(VLOOKUP($A66,Hitters!$A$1:$R$401,9,FALSE)-AVERAGE(Rankings!T$2:T$651))/STDEV(Rankings!T$2:T$651)</f>
        <v>-0.6497365031330532</v>
      </c>
      <c r="N66" s="157">
        <f>(VLOOKUP($A66,Hitters!$A$1:$R$401,10,FALSE)-AVERAGE(Rankings!U$2:U$651))/STDEV(Rankings!U$2:U$651)</f>
        <v>-0.55418780608686025</v>
      </c>
      <c r="O66" s="157">
        <f>(VLOOKUP($A66,Hitters!$A$1:$R$401,11,FALSE)-AVERAGE(Rankings!V$2:V$651))/STDEV(Rankings!V$2:V$651)</f>
        <v>-0.33944101053679543</v>
      </c>
      <c r="P66" s="157">
        <f>(VLOOKUP($A66,Hitters!$A$1:$R$401,12,FALSE)-AVERAGE(Rankings!W$2:W$651))/STDEV(Rankings!W$2:W$651)</f>
        <v>-0.95158727244821084</v>
      </c>
      <c r="Q66" s="157">
        <f>(VLOOKUP($A66,Hitters!$A$1:$R$401,13,FALSE)-AVERAGE(Rankings!X$2:X$651))/STDEV(Rankings!X$2:X$651)</f>
        <v>-1.4725084940651239</v>
      </c>
      <c r="R66" s="118">
        <f>(VLOOKUP($A66,Hitters!$A1:$R401,16,FALSE)-AVERAGE(Rankings!Y2:Y651))/STDEV(Rankings!Y2:Y651)</f>
        <v>0.60332737393825264</v>
      </c>
      <c r="S66" s="118">
        <f>(VLOOKUP($A66,Hitters!$A1:$R401,17,FALSE)-AVERAGE(Rankings!Z2:Z651))/STDEV(Rankings!Z2:Z651)</f>
        <v>0.72286113501622506</v>
      </c>
      <c r="T66" s="118">
        <f>IFERROR((VLOOKUP($A66,Hitters!$A1:$R401,18,FALSE)-AVERAGE(Rankings!AA2:AA651))/STDEV(Rankings!AA2:AA651),0)</f>
        <v>0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ht="18.600000000000001" customHeight="1">
      <c r="A67" s="26" t="s">
        <v>324</v>
      </c>
      <c r="B67" s="27" t="s">
        <v>95</v>
      </c>
      <c r="C67" s="119" t="s">
        <v>11</v>
      </c>
      <c r="D67" s="67">
        <f>(F67*Settings!$C$2)+(G67*Settings!$C$3)+(H67*Settings!$C$4)+(I67*Settings!$C$5)+(J67*Settings!$C$6)+(M67*Settings!$C$9)+(N67*Settings!$C$10)+(O67*Settings!$C$11)+(P67*Settings!$C$12)+(Q67*Settings!$C$13)+(T67*Settings!$C$16)+(K67*Settings!$C$7)+(L67*Settings!$C$8)+(R67*Settings!$C$14)+(S67*Settings!$C$15)</f>
        <v>2.644872810477529</v>
      </c>
      <c r="E67" s="67"/>
      <c r="F67" s="118">
        <f>(VLOOKUP($A67,Hitters!$A1:$R401,4,FALSE)-AVERAGE(Rankings!M2:M651))/STDEV(Rankings!M2:M651)</f>
        <v>1.1172223203474412</v>
      </c>
      <c r="G67" s="118">
        <f>(VLOOKUP($A67,Hitters!$A1:$R401,5,FALSE)-AVERAGE(Rankings!N2:N651))/STDEV(Rankings!N2:N651)</f>
        <v>0.72916601438998518</v>
      </c>
      <c r="H67" s="118">
        <f>(VLOOKUP($A67,Hitters!$A1:$R401,6,FALSE)-AVERAGE(Rankings!O2:O651))/STDEV(Rankings!O2:O651)</f>
        <v>-0.47113862129184336</v>
      </c>
      <c r="I67" s="118">
        <f>(VLOOKUP($A67,Hitters!$A1:$R401,7,FALSE)-AVERAGE(Rankings!P2:P651))/STDEV(Rankings!P2:P651)</f>
        <v>0.659109761760998</v>
      </c>
      <c r="J67" s="118">
        <f>(VLOOKUP($A67,Hitters!$A1:$R401,8,FALSE)-AVERAGE(Rankings!Q2:Q651))/STDEV(Rankings!Q2:Q651)</f>
        <v>-0.40175217152286419</v>
      </c>
      <c r="K67" s="157">
        <f>(VLOOKUP($A67,Hitters!$A$1:$R$401,14,FALSE)-AVERAGE(Rankings!R$2:R$651))/STDEV(Rankings!R$2:R$651)</f>
        <v>2.1294878271412534</v>
      </c>
      <c r="L67" s="157">
        <f>(VLOOKUP($A67,Hitters!$A$1:$R$401,15,FALSE)-AVERAGE(Rankings!S$2:S$651))/STDEV(Rankings!S$2:S$651)</f>
        <v>1.195672859779628</v>
      </c>
      <c r="M67" s="157">
        <f>(VLOOKUP($A67,Hitters!$A$1:$R$401,9,FALSE)-AVERAGE(Rankings!T$2:T$651))/STDEV(Rankings!T$2:T$651)</f>
        <v>1.5270610647316689</v>
      </c>
      <c r="N67" s="157">
        <f>(VLOOKUP($A67,Hitters!$A$1:$R$401,10,FALSE)-AVERAGE(Rankings!U$2:U$651))/STDEV(Rankings!U$2:U$651)</f>
        <v>1.7211030692181932</v>
      </c>
      <c r="O67" s="157">
        <f>(VLOOKUP($A67,Hitters!$A$1:$R$401,11,FALSE)-AVERAGE(Rankings!V$2:V$651))/STDEV(Rankings!V$2:V$651)</f>
        <v>0.14698871428814952</v>
      </c>
      <c r="P67" s="157">
        <f>(VLOOKUP($A67,Hitters!$A$1:$R$401,12,FALSE)-AVERAGE(Rankings!W$2:W$651))/STDEV(Rankings!W$2:W$651)</f>
        <v>0.22875170055354946</v>
      </c>
      <c r="Q67" s="157">
        <f>(VLOOKUP($A67,Hitters!$A$1:$R$401,13,FALSE)-AVERAGE(Rankings!X$2:X$651))/STDEV(Rankings!X$2:X$651)</f>
        <v>-0.66029863023960933</v>
      </c>
      <c r="R67" s="118">
        <f>(VLOOKUP($A67,Hitters!$A1:$R401,16,FALSE)-AVERAGE(Rankings!Y2:Y651))/STDEV(Rankings!Y2:Y651)</f>
        <v>0.10603987030629509</v>
      </c>
      <c r="S67" s="118">
        <f>(VLOOKUP($A67,Hitters!$A1:$R401,17,FALSE)-AVERAGE(Rankings!Z2:Z651))/STDEV(Rankings!Z2:Z651)</f>
        <v>0.52761153580394338</v>
      </c>
      <c r="T67" s="118">
        <f>IFERROR((VLOOKUP($A67,Hitters!$A1:$R401,18,FALSE)-AVERAGE(Rankings!AA2:AA651))/STDEV(Rankings!AA2:AA651),0)</f>
        <v>0</v>
      </c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</row>
    <row r="68" spans="1:37" ht="18.600000000000001" customHeight="1">
      <c r="A68" s="26" t="s">
        <v>307</v>
      </c>
      <c r="B68" s="27" t="s">
        <v>134</v>
      </c>
      <c r="C68" s="119" t="s">
        <v>11</v>
      </c>
      <c r="D68" s="67">
        <f>(F68*Settings!$C$2)+(G68*Settings!$C$3)+(H68*Settings!$C$4)+(I68*Settings!$C$5)+(J68*Settings!$C$6)+(M68*Settings!$C$9)+(N68*Settings!$C$10)+(O68*Settings!$C$11)+(P68*Settings!$C$12)+(Q68*Settings!$C$13)+(T68*Settings!$C$16)+(K68*Settings!$C$7)+(L68*Settings!$C$8)+(R68*Settings!$C$14)+(S68*Settings!$C$15)</f>
        <v>2.3737585531304783</v>
      </c>
      <c r="E68" s="67"/>
      <c r="F68" s="118">
        <f>(VLOOKUP($A68,Hitters!$A1:$R401,4,FALSE)-AVERAGE(Rankings!M2:M651))/STDEV(Rankings!M2:M651)</f>
        <v>0.81723933979479679</v>
      </c>
      <c r="G68" s="118">
        <f>(VLOOKUP($A68,Hitters!$A1:$R401,5,FALSE)-AVERAGE(Rankings!N2:N651))/STDEV(Rankings!N2:N651)</f>
        <v>0.47216217460007986</v>
      </c>
      <c r="H68" s="118">
        <f>(VLOOKUP($A68,Hitters!$A1:$R401,6,FALSE)-AVERAGE(Rankings!O2:O651))/STDEV(Rankings!O2:O651)</f>
        <v>-0.40224640394940747</v>
      </c>
      <c r="I68" s="118">
        <f>(VLOOKUP($A68,Hitters!$A1:$R401,7,FALSE)-AVERAGE(Rankings!P2:P651))/STDEV(Rankings!P2:P651)</f>
        <v>0.13138703777570451</v>
      </c>
      <c r="J68" s="118">
        <f>(VLOOKUP($A68,Hitters!$A1:$R401,8,FALSE)-AVERAGE(Rankings!Q2:Q651))/STDEV(Rankings!Q2:Q651)</f>
        <v>0.8468322601492968</v>
      </c>
      <c r="K68" s="157">
        <f>(VLOOKUP($A68,Hitters!$A$1:$R$401,14,FALSE)-AVERAGE(Rankings!R$2:R$651))/STDEV(Rankings!R$2:R$651)</f>
        <v>1.3256234845548047</v>
      </c>
      <c r="L68" s="157">
        <f>(VLOOKUP($A68,Hitters!$A$1:$R$401,15,FALSE)-AVERAGE(Rankings!S$2:S$651))/STDEV(Rankings!S$2:S$651)</f>
        <v>0.46908864341765466</v>
      </c>
      <c r="M68" s="157">
        <f>(VLOOKUP($A68,Hitters!$A$1:$R$401,9,FALSE)-AVERAGE(Rankings!T$2:T$651))/STDEV(Rankings!T$2:T$651)</f>
        <v>1.0169335759985747</v>
      </c>
      <c r="N68" s="157">
        <f>(VLOOKUP($A68,Hitters!$A$1:$R$401,10,FALSE)-AVERAGE(Rankings!U$2:U$651))/STDEV(Rankings!U$2:U$651)</f>
        <v>0.37038667428988892</v>
      </c>
      <c r="O68" s="157">
        <f>(VLOOKUP($A68,Hitters!$A$1:$R$401,11,FALSE)-AVERAGE(Rankings!V$2:V$651))/STDEV(Rankings!V$2:V$651)</f>
        <v>0.30627060457396499</v>
      </c>
      <c r="P68" s="157">
        <f>(VLOOKUP($A68,Hitters!$A$1:$R$401,12,FALSE)-AVERAGE(Rankings!W$2:W$651))/STDEV(Rankings!W$2:W$651)</f>
        <v>-4.7989382251992049E-2</v>
      </c>
      <c r="Q68" s="157">
        <f>(VLOOKUP($A68,Hitters!$A$1:$R$401,13,FALSE)-AVERAGE(Rankings!X$2:X$651))/STDEV(Rankings!X$2:X$651)</f>
        <v>-0.32923637457112553</v>
      </c>
      <c r="R68" s="118">
        <f>(VLOOKUP($A68,Hitters!$A1:$R401,16,FALSE)-AVERAGE(Rankings!Y2:Y651))/STDEV(Rankings!Y2:Y651)</f>
        <v>-0.41791947358384146</v>
      </c>
      <c r="S68" s="118">
        <f>(VLOOKUP($A68,Hitters!$A1:$R401,17,FALSE)-AVERAGE(Rankings!Z2:Z651))/STDEV(Rankings!Z2:Z651)</f>
        <v>-0.12895301204182588</v>
      </c>
      <c r="T68" s="118">
        <f>IFERROR((VLOOKUP($A68,Hitters!$A1:$R401,18,FALSE)-AVERAGE(Rankings!AA2:AA651))/STDEV(Rankings!AA2:AA651),0)</f>
        <v>0</v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ht="18.600000000000001" customHeight="1">
      <c r="A69" s="26" t="s">
        <v>314</v>
      </c>
      <c r="B69" s="27" t="s">
        <v>217</v>
      </c>
      <c r="C69" s="119" t="s">
        <v>11</v>
      </c>
      <c r="D69" s="67">
        <f>(F69*Settings!$C$2)+(G69*Settings!$C$3)+(H69*Settings!$C$4)+(I69*Settings!$C$5)+(J69*Settings!$C$6)+(M69*Settings!$C$9)+(N69*Settings!$C$10)+(O69*Settings!$C$11)+(P69*Settings!$C$12)+(Q69*Settings!$C$13)+(T69*Settings!$C$16)+(K69*Settings!$C$7)+(L69*Settings!$C$8)+(R69*Settings!$C$14)+(S69*Settings!$C$15)</f>
        <v>3.8116962512700994</v>
      </c>
      <c r="E69" s="67"/>
      <c r="F69" s="118">
        <f>(VLOOKUP($A69,Hitters!$A1:$R401,4,FALSE)-AVERAGE(Rankings!M2:M651))/STDEV(Rankings!M2:M651)</f>
        <v>0.89357636920736205</v>
      </c>
      <c r="G69" s="118">
        <f>(VLOOKUP($A69,Hitters!$A1:$R401,5,FALSE)-AVERAGE(Rankings!N2:N651))/STDEV(Rankings!N2:N651)</f>
        <v>0.79159137484408382</v>
      </c>
      <c r="H69" s="118">
        <f>(VLOOKUP($A69,Hitters!$A1:$R401,6,FALSE)-AVERAGE(Rankings!O2:O651))/STDEV(Rankings!O2:O651)</f>
        <v>0.11009157234342956</v>
      </c>
      <c r="I69" s="118">
        <f>(VLOOKUP($A69,Hitters!$A1:$R401,7,FALSE)-AVERAGE(Rankings!P2:P651))/STDEV(Rankings!P2:P651)</f>
        <v>0.43788057699779875</v>
      </c>
      <c r="J69" s="118">
        <f>(VLOOKUP($A69,Hitters!$A1:$R401,8,FALSE)-AVERAGE(Rankings!Q2:Q651))/STDEV(Rankings!Q2:Q651)</f>
        <v>1.6487583006866751</v>
      </c>
      <c r="K69" s="157">
        <f>(VLOOKUP($A69,Hitters!$A$1:$R$401,14,FALSE)-AVERAGE(Rankings!R$2:R$651))/STDEV(Rankings!R$2:R$651)</f>
        <v>0.82337442639811198</v>
      </c>
      <c r="L69" s="157">
        <f>(VLOOKUP($A69,Hitters!$A$1:$R$401,15,FALSE)-AVERAGE(Rankings!S$2:S$651))/STDEV(Rankings!S$2:S$651)</f>
        <v>-4.0526177351687252E-2</v>
      </c>
      <c r="M69" s="157">
        <f>(VLOOKUP($A69,Hitters!$A$1:$R$401,9,FALSE)-AVERAGE(Rankings!T$2:T$651))/STDEV(Rankings!T$2:T$651)</f>
        <v>0.96058890152370957</v>
      </c>
      <c r="N69" s="157">
        <f>(VLOOKUP($A69,Hitters!$A$1:$R$401,10,FALSE)-AVERAGE(Rankings!U$2:U$651))/STDEV(Rankings!U$2:U$651)</f>
        <v>0.45443889977868457</v>
      </c>
      <c r="O69" s="157">
        <f>(VLOOKUP($A69,Hitters!$A$1:$R$401,11,FALSE)-AVERAGE(Rankings!V$2:V$651))/STDEV(Rankings!V$2:V$651)</f>
        <v>0.46746006240811333</v>
      </c>
      <c r="P69" s="157">
        <f>(VLOOKUP($A69,Hitters!$A$1:$R$401,12,FALSE)-AVERAGE(Rankings!W$2:W$651))/STDEV(Rankings!W$2:W$651)</f>
        <v>-0.13065715007589956</v>
      </c>
      <c r="Q69" s="157">
        <f>(VLOOKUP($A69,Hitters!$A$1:$R$401,13,FALSE)-AVERAGE(Rankings!X$2:X$651))/STDEV(Rankings!X$2:X$651)</f>
        <v>4.2480984168267871E-2</v>
      </c>
      <c r="R69" s="118">
        <f>(VLOOKUP($A69,Hitters!$A1:$R401,16,FALSE)-AVERAGE(Rankings!Y2:Y651))/STDEV(Rankings!Y2:Y651)</f>
        <v>-8.0603465260746798E-2</v>
      </c>
      <c r="S69" s="118">
        <f>(VLOOKUP($A69,Hitters!$A1:$R401,17,FALSE)-AVERAGE(Rankings!Z2:Z651))/STDEV(Rankings!Z2:Z651)</f>
        <v>-7.4171355705131517E-2</v>
      </c>
      <c r="T69" s="118">
        <f>IFERROR((VLOOKUP($A69,Hitters!$A1:$R401,18,FALSE)-AVERAGE(Rankings!AA2:AA651))/STDEV(Rankings!AA2:AA651),0)</f>
        <v>0</v>
      </c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</row>
    <row r="70" spans="1:37" ht="18.600000000000001" customHeight="1">
      <c r="A70" s="26" t="s">
        <v>381</v>
      </c>
      <c r="B70" s="27" t="s">
        <v>120</v>
      </c>
      <c r="C70" s="119" t="s">
        <v>11</v>
      </c>
      <c r="D70" s="67">
        <f>(F70*Settings!$C$2)+(G70*Settings!$C$3)+(H70*Settings!$C$4)+(I70*Settings!$C$5)+(J70*Settings!$C$6)+(M70*Settings!$C$9)+(N70*Settings!$C$10)+(O70*Settings!$C$11)+(P70*Settings!$C$12)+(Q70*Settings!$C$13)+(T70*Settings!$C$16)+(K70*Settings!$C$7)+(L70*Settings!$C$8)+(R70*Settings!$C$14)+(S70*Settings!$C$15)</f>
        <v>1.6064665252558252</v>
      </c>
      <c r="E70" s="67"/>
      <c r="F70" s="118">
        <f>(VLOOKUP($A70,Hitters!$A1:$R401,4,FALSE)-AVERAGE(Rankings!M2:M651))/STDEV(Rankings!M2:M651)</f>
        <v>0.37134152825653993</v>
      </c>
      <c r="G70" s="118">
        <f>(VLOOKUP($A70,Hitters!$A1:$R401,5,FALSE)-AVERAGE(Rankings!N2:N651))/STDEV(Rankings!N2:N651)</f>
        <v>0.35425887398612405</v>
      </c>
      <c r="H70" s="118">
        <f>(VLOOKUP($A70,Hitters!$A1:$R401,6,FALSE)-AVERAGE(Rankings!O2:O651))/STDEV(Rankings!O2:O651)</f>
        <v>-0.53968254633224466</v>
      </c>
      <c r="I70" s="118">
        <f>(VLOOKUP($A70,Hitters!$A1:$R401,7,FALSE)-AVERAGE(Rankings!P2:P651))/STDEV(Rankings!P2:P651)</f>
        <v>-8.4446313212782342E-2</v>
      </c>
      <c r="J70" s="118">
        <f>(VLOOKUP($A70,Hitters!$A1:$R401,8,FALSE)-AVERAGE(Rankings!Q2:Q651))/STDEV(Rankings!Q2:Q651)</f>
        <v>1.4813405987613326</v>
      </c>
      <c r="K70" s="157">
        <f>(VLOOKUP($A70,Hitters!$A$1:$R$401,14,FALSE)-AVERAGE(Rankings!R$2:R$651))/STDEV(Rankings!R$2:R$651)</f>
        <v>0.39499591205339568</v>
      </c>
      <c r="L70" s="157">
        <f>(VLOOKUP($A70,Hitters!$A$1:$R$401,15,FALSE)-AVERAGE(Rankings!S$2:S$651))/STDEV(Rankings!S$2:S$651)</f>
        <v>0.96980752056471653</v>
      </c>
      <c r="M70" s="157">
        <f>(VLOOKUP($A70,Hitters!$A$1:$R$401,9,FALSE)-AVERAGE(Rankings!T$2:T$651))/STDEV(Rankings!T$2:T$651)</f>
        <v>0.3782707347021384</v>
      </c>
      <c r="N70" s="157">
        <f>(VLOOKUP($A70,Hitters!$A$1:$R$401,10,FALSE)-AVERAGE(Rankings!U$2:U$651))/STDEV(Rankings!U$2:U$651)</f>
        <v>0.60561815859300239</v>
      </c>
      <c r="O70" s="157">
        <f>(VLOOKUP($A70,Hitters!$A$1:$R$401,11,FALSE)-AVERAGE(Rankings!V$2:V$651))/STDEV(Rankings!V$2:V$651)</f>
        <v>0.30531682079979833</v>
      </c>
      <c r="P70" s="157">
        <f>(VLOOKUP($A70,Hitters!$A$1:$R$401,12,FALSE)-AVERAGE(Rankings!W$2:W$651))/STDEV(Rankings!W$2:W$651)</f>
        <v>0.82748653816756135</v>
      </c>
      <c r="Q70" s="157">
        <f>(VLOOKUP($A70,Hitters!$A$1:$R$401,13,FALSE)-AVERAGE(Rankings!X$2:X$651))/STDEV(Rankings!X$2:X$651)</f>
        <v>0.23351251128278538</v>
      </c>
      <c r="R70" s="118">
        <f>(VLOOKUP($A70,Hitters!$A1:$R401,16,FALSE)-AVERAGE(Rankings!Y2:Y651))/STDEV(Rankings!Y2:Y651)</f>
        <v>-0.53959694481447851</v>
      </c>
      <c r="S70" s="118">
        <f>(VLOOKUP($A70,Hitters!$A1:$R401,17,FALSE)-AVERAGE(Rankings!Z2:Z651))/STDEV(Rankings!Z2:Z651)</f>
        <v>-2.9430835679435857E-2</v>
      </c>
      <c r="T70" s="118">
        <f>IFERROR((VLOOKUP($A70,Hitters!$A1:$R401,18,FALSE)-AVERAGE(Rankings!AA2:AA651))/STDEV(Rankings!AA2:AA651),0)</f>
        <v>0</v>
      </c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ht="18.600000000000001" customHeight="1">
      <c r="A71" s="26" t="s">
        <v>390</v>
      </c>
      <c r="B71" s="27" t="s">
        <v>71</v>
      </c>
      <c r="C71" s="119" t="s">
        <v>11</v>
      </c>
      <c r="D71" s="67">
        <f>(F71*Settings!$C$2)+(G71*Settings!$C$3)+(H71*Settings!$C$4)+(I71*Settings!$C$5)+(J71*Settings!$C$6)+(M71*Settings!$C$9)+(N71*Settings!$C$10)+(O71*Settings!$C$11)+(P71*Settings!$C$12)+(Q71*Settings!$C$13)+(T71*Settings!$C$16)+(K71*Settings!$C$7)+(L71*Settings!$C$8)+(R71*Settings!$C$14)+(S71*Settings!$C$15)</f>
        <v>1.6937487371033115</v>
      </c>
      <c r="E71" s="67"/>
      <c r="F71" s="118">
        <f>(VLOOKUP($A71,Hitters!$A1:$R401,4,FALSE)-AVERAGE(Rankings!M2:M651))/STDEV(Rankings!M2:M651)</f>
        <v>0.53871690763262414</v>
      </c>
      <c r="G71" s="118">
        <f>(VLOOKUP($A71,Hitters!$A1:$R401,5,FALSE)-AVERAGE(Rankings!N2:N651))/STDEV(Rankings!N2:N651)</f>
        <v>0.48499208215076034</v>
      </c>
      <c r="H71" s="118">
        <f>(VLOOKUP($A71,Hitters!$A1:$R401,6,FALSE)-AVERAGE(Rankings!O2:O651))/STDEV(Rankings!O2:O651)</f>
        <v>-0.2284485452341623</v>
      </c>
      <c r="I71" s="118">
        <f>(VLOOKUP($A71,Hitters!$A1:$R401,7,FALSE)-AVERAGE(Rankings!P2:P651))/STDEV(Rankings!P2:P651)</f>
        <v>-0.10335718347038203</v>
      </c>
      <c r="J71" s="118">
        <f>(VLOOKUP($A71,Hitters!$A1:$R401,8,FALSE)-AVERAGE(Rankings!Q2:Q651))/STDEV(Rankings!Q2:Q651)</f>
        <v>1.4542559941925213</v>
      </c>
      <c r="K71" s="157">
        <f>(VLOOKUP($A71,Hitters!$A$1:$R$401,14,FALSE)-AVERAGE(Rankings!R$2:R$651))/STDEV(Rankings!R$2:R$651)</f>
        <v>8.6306389464574418E-2</v>
      </c>
      <c r="L71" s="157">
        <f>(VLOOKUP($A71,Hitters!$A$1:$R$401,15,FALSE)-AVERAGE(Rankings!S$2:S$651))/STDEV(Rankings!S$2:S$651)</f>
        <v>-4.6470541473575329E-2</v>
      </c>
      <c r="M71" s="157">
        <f>(VLOOKUP($A71,Hitters!$A$1:$R$401,9,FALSE)-AVERAGE(Rankings!T$2:T$651))/STDEV(Rankings!T$2:T$651)</f>
        <v>0.45684175072955502</v>
      </c>
      <c r="N71" s="157">
        <f>(VLOOKUP($A71,Hitters!$A$1:$R$401,10,FALSE)-AVERAGE(Rankings!U$2:U$651))/STDEV(Rankings!U$2:U$651)</f>
        <v>0.49287916672577831</v>
      </c>
      <c r="O71" s="157">
        <f>(VLOOKUP($A71,Hitters!$A$1:$R$401,11,FALSE)-AVERAGE(Rankings!V$2:V$651))/STDEV(Rankings!V$2:V$651)</f>
        <v>0.35014465818562657</v>
      </c>
      <c r="P71" s="157">
        <f>(VLOOKUP($A71,Hitters!$A$1:$R$401,12,FALSE)-AVERAGE(Rankings!W$2:W$651))/STDEV(Rankings!W$2:W$651)</f>
        <v>0.21494263775677919</v>
      </c>
      <c r="Q71" s="157">
        <f>(VLOOKUP($A71,Hitters!$A$1:$R$401,13,FALSE)-AVERAGE(Rankings!X$2:X$651))/STDEV(Rankings!X$2:X$651)</f>
        <v>-3.9098146779857124E-2</v>
      </c>
      <c r="R71" s="118">
        <f>(VLOOKUP($A71,Hitters!$A1:$R401,16,FALSE)-AVERAGE(Rankings!Y2:Y651))/STDEV(Rankings!Y2:Y651)</f>
        <v>-0.48264754780228014</v>
      </c>
      <c r="S71" s="118">
        <f>(VLOOKUP($A71,Hitters!$A1:$R401,17,FALSE)-AVERAGE(Rankings!Z2:Z651))/STDEV(Rankings!Z2:Z651)</f>
        <v>-0.37034167745503593</v>
      </c>
      <c r="T71" s="118">
        <f>IFERROR((VLOOKUP($A71,Hitters!$A1:$R401,18,FALSE)-AVERAGE(Rankings!AA2:AA651))/STDEV(Rankings!AA2:AA651),0)</f>
        <v>0</v>
      </c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ht="18.600000000000001" customHeight="1">
      <c r="A72" s="26" t="s">
        <v>414</v>
      </c>
      <c r="B72" s="27" t="s">
        <v>97</v>
      </c>
      <c r="C72" s="119" t="s">
        <v>11</v>
      </c>
      <c r="D72" s="67">
        <f>(F72*Settings!$C$2)+(G72*Settings!$C$3)+(H72*Settings!$C$4)+(I72*Settings!$C$5)+(J72*Settings!$C$6)+(M72*Settings!$C$9)+(N72*Settings!$C$10)+(O72*Settings!$C$11)+(P72*Settings!$C$12)+(Q72*Settings!$C$13)+(T72*Settings!$C$16)+(K72*Settings!$C$7)+(L72*Settings!$C$8)+(R72*Settings!$C$14)+(S72*Settings!$C$15)</f>
        <v>1.2386777547438559</v>
      </c>
      <c r="E72" s="67"/>
      <c r="F72" s="118">
        <f>(VLOOKUP($A72,Hitters!$A1:$R401,4,FALSE)-AVERAGE(Rankings!M2:M651))/STDEV(Rankings!M2:M651)</f>
        <v>0.82978615647190346</v>
      </c>
      <c r="G72" s="118">
        <f>(VLOOKUP($A72,Hitters!$A1:$R401,5,FALSE)-AVERAGE(Rankings!N2:N651))/STDEV(Rankings!N2:N651)</f>
        <v>0.6745248073312593</v>
      </c>
      <c r="H72" s="118">
        <f>(VLOOKUP($A72,Hitters!$A1:$R401,6,FALSE)-AVERAGE(Rankings!O2:O651))/STDEV(Rankings!O2:O651)</f>
        <v>0.58829690303687954</v>
      </c>
      <c r="I72" s="118">
        <f>(VLOOKUP($A72,Hitters!$A1:$R401,7,FALSE)-AVERAGE(Rankings!P2:P651))/STDEV(Rankings!P2:P651)</f>
        <v>0.64172601426982623</v>
      </c>
      <c r="J72" s="118">
        <f>(VLOOKUP($A72,Hitters!$A1:$R401,8,FALSE)-AVERAGE(Rankings!Q2:Q651))/STDEV(Rankings!Q2:Q651)</f>
        <v>-0.40016827651884013</v>
      </c>
      <c r="K72" s="157">
        <f>(VLOOKUP($A72,Hitters!$A$1:$R$401,14,FALSE)-AVERAGE(Rankings!R$2:R$651))/STDEV(Rankings!R$2:R$651)</f>
        <v>-0.26570169337526894</v>
      </c>
      <c r="L72" s="157">
        <f>(VLOOKUP($A72,Hitters!$A$1:$R$401,15,FALSE)-AVERAGE(Rankings!S$2:S$651))/STDEV(Rankings!S$2:S$651)</f>
        <v>0.41706896924464104</v>
      </c>
      <c r="M72" s="157">
        <f>(VLOOKUP($A72,Hitters!$A$1:$R$401,9,FALSE)-AVERAGE(Rankings!T$2:T$651))/STDEV(Rankings!T$2:T$651)</f>
        <v>0.62382388143669709</v>
      </c>
      <c r="N72" s="157">
        <f>(VLOOKUP($A72,Hitters!$A$1:$R$401,10,FALSE)-AVERAGE(Rankings!U$2:U$651))/STDEV(Rankings!U$2:U$651)</f>
        <v>0.51102354646013459</v>
      </c>
      <c r="O72" s="157">
        <f>(VLOOKUP($A72,Hitters!$A$1:$R$401,11,FALSE)-AVERAGE(Rankings!V$2:V$651))/STDEV(Rankings!V$2:V$651)</f>
        <v>0.29291763173563318</v>
      </c>
      <c r="P72" s="157">
        <f>(VLOOKUP($A72,Hitters!$A$1:$R$401,12,FALSE)-AVERAGE(Rankings!W$2:W$651))/STDEV(Rankings!W$2:W$651)</f>
        <v>1.1610500482922443</v>
      </c>
      <c r="Q72" s="157">
        <f>(VLOOKUP($A72,Hitters!$A$1:$R$401,13,FALSE)-AVERAGE(Rankings!X$2:X$651))/STDEV(Rankings!X$2:X$651)</f>
        <v>0.67701697419952911</v>
      </c>
      <c r="R72" s="118">
        <f>(VLOOKUP($A72,Hitters!$A1:$R401,16,FALSE)-AVERAGE(Rankings!Y2:Y651))/STDEV(Rankings!Y2:Y651)</f>
        <v>3.1545173688255775E-2</v>
      </c>
      <c r="S72" s="118">
        <f>(VLOOKUP($A72,Hitters!$A1:$R401,17,FALSE)-AVERAGE(Rankings!Z2:Z651))/STDEV(Rankings!Z2:Z651)</f>
        <v>0.18006752493631994</v>
      </c>
      <c r="T72" s="118">
        <f>IFERROR((VLOOKUP($A72,Hitters!$A1:$R401,18,FALSE)-AVERAGE(Rankings!AA2:AA651))/STDEV(Rankings!AA2:AA651),0)</f>
        <v>0</v>
      </c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</row>
    <row r="73" spans="1:37" ht="18.600000000000001" customHeight="1">
      <c r="A73" s="26" t="s">
        <v>405</v>
      </c>
      <c r="B73" s="27" t="s">
        <v>158</v>
      </c>
      <c r="C73" s="119" t="s">
        <v>11</v>
      </c>
      <c r="D73" s="67">
        <f>(F73*Settings!$C$2)+(G73*Settings!$C$3)+(H73*Settings!$C$4)+(I73*Settings!$C$5)+(J73*Settings!$C$6)+(M73*Settings!$C$9)+(N73*Settings!$C$10)+(O73*Settings!$C$11)+(P73*Settings!$C$12)+(Q73*Settings!$C$13)+(T73*Settings!$C$16)+(K73*Settings!$C$7)+(L73*Settings!$C$8)+(R73*Settings!$C$14)+(S73*Settings!$C$15)</f>
        <v>-0.37124112611666338</v>
      </c>
      <c r="E73" s="67"/>
      <c r="F73" s="118">
        <f>(VLOOKUP($A73,Hitters!$A1:$R401,4,FALSE)-AVERAGE(Rankings!M2:M651))/STDEV(Rankings!M2:M651)</f>
        <v>-5.6221877767022331E-2</v>
      </c>
      <c r="G73" s="118">
        <f>(VLOOKUP($A73,Hitters!$A1:$R401,5,FALSE)-AVERAGE(Rankings!N2:N651))/STDEV(Rankings!N2:N651)</f>
        <v>-3.8752128060395852E-2</v>
      </c>
      <c r="H73" s="118">
        <f>(VLOOKUP($A73,Hitters!$A1:$R401,6,FALSE)-AVERAGE(Rankings!O2:O651))/STDEV(Rankings!O2:O651)</f>
        <v>7.8814923620725924E-2</v>
      </c>
      <c r="I73" s="118">
        <f>(VLOOKUP($A73,Hitters!$A1:$R401,7,FALSE)-AVERAGE(Rankings!P2:P651))/STDEV(Rankings!P2:P651)</f>
        <v>-0.18986868818852684</v>
      </c>
      <c r="J73" s="118">
        <f>(VLOOKUP($A73,Hitters!$A1:$R401,8,FALSE)-AVERAGE(Rankings!Q2:Q651))/STDEV(Rankings!Q2:Q651)</f>
        <v>0.61851379531922956</v>
      </c>
      <c r="K73" s="157">
        <f>(VLOOKUP($A73,Hitters!$A$1:$R$401,14,FALSE)-AVERAGE(Rankings!R$2:R$651))/STDEV(Rankings!R$2:R$651)</f>
        <v>-0.83994902880769617</v>
      </c>
      <c r="L73" s="157">
        <f>(VLOOKUP($A73,Hitters!$A$1:$R$401,15,FALSE)-AVERAGE(Rankings!S$2:S$651))/STDEV(Rankings!S$2:S$651)</f>
        <v>-0.75637986273394897</v>
      </c>
      <c r="M73" s="157">
        <f>(VLOOKUP($A73,Hitters!$A$1:$R$401,9,FALSE)-AVERAGE(Rankings!T$2:T$651))/STDEV(Rankings!T$2:T$651)</f>
        <v>-0.2478111585456832</v>
      </c>
      <c r="N73" s="157">
        <f>(VLOOKUP($A73,Hitters!$A$1:$R$401,10,FALSE)-AVERAGE(Rankings!U$2:U$651))/STDEV(Rankings!U$2:U$651)</f>
        <v>-0.32053409393456039</v>
      </c>
      <c r="O73" s="157">
        <f>(VLOOKUP($A73,Hitters!$A$1:$R$401,11,FALSE)-AVERAGE(Rankings!V$2:V$651))/STDEV(Rankings!V$2:V$651)</f>
        <v>1.2457476221280257</v>
      </c>
      <c r="P73" s="157">
        <f>(VLOOKUP($A73,Hitters!$A$1:$R$401,12,FALSE)-AVERAGE(Rankings!W$2:W$651))/STDEV(Rankings!W$2:W$651)</f>
        <v>-0.17423034146841079</v>
      </c>
      <c r="Q73" s="157">
        <f>(VLOOKUP($A73,Hitters!$A$1:$R$401,13,FALSE)-AVERAGE(Rankings!X$2:X$651))/STDEV(Rankings!X$2:X$651)</f>
        <v>0.83473346354465461</v>
      </c>
      <c r="R73" s="118">
        <f>(VLOOKUP($A73,Hitters!$A1:$R401,16,FALSE)-AVERAGE(Rankings!Y2:Y651))/STDEV(Rankings!Y2:Y651)</f>
        <v>-3.0266043481484133E-2</v>
      </c>
      <c r="S73" s="118">
        <f>(VLOOKUP($A73,Hitters!$A1:$R401,17,FALSE)-AVERAGE(Rankings!Z2:Z651))/STDEV(Rankings!Z2:Z651)</f>
        <v>-0.30683076034485235</v>
      </c>
      <c r="T73" s="118">
        <f>IFERROR((VLOOKUP($A73,Hitters!$A1:$R401,18,FALSE)-AVERAGE(Rankings!AA2:AA651))/STDEV(Rankings!AA2:AA651),0)</f>
        <v>0</v>
      </c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</row>
    <row r="74" spans="1:37" ht="18.600000000000001" customHeight="1">
      <c r="A74" s="26" t="s">
        <v>747</v>
      </c>
      <c r="B74" s="27" t="s">
        <v>81</v>
      </c>
      <c r="C74" s="119" t="s">
        <v>11</v>
      </c>
      <c r="D74" s="67">
        <f>(F74*Settings!$C$2)+(G74*Settings!$C$3)+(H74*Settings!$C$4)+(I74*Settings!$C$5)+(J74*Settings!$C$6)+(M74*Settings!$C$9)+(N74*Settings!$C$10)+(O74*Settings!$C$11)+(P74*Settings!$C$12)+(Q74*Settings!$C$13)+(T74*Settings!$C$16)+(K74*Settings!$C$7)+(L74*Settings!$C$8)+(R74*Settings!$C$14)+(S74*Settings!$C$15)</f>
        <v>-6.7573270841190656</v>
      </c>
      <c r="E74" s="67"/>
      <c r="F74" s="118">
        <f>(VLOOKUP($A74,Hitters!$A1:$R401,4,FALSE)-AVERAGE(Rankings!M2:M651))/STDEV(Rankings!M2:M651)</f>
        <v>-2.324154043795569</v>
      </c>
      <c r="G74" s="118">
        <f>(VLOOKUP($A74,Hitters!$A1:$R401,5,FALSE)-AVERAGE(Rankings!N2:N651))/STDEV(Rankings!N2:N651)</f>
        <v>-1.9091548756710828</v>
      </c>
      <c r="H74" s="118">
        <f>(VLOOKUP($A74,Hitters!$A1:$R401,6,FALSE)-AVERAGE(Rankings!O2:O651))/STDEV(Rankings!O2:O651)</f>
        <v>-1.6177517088198166</v>
      </c>
      <c r="I74" s="118">
        <f>(VLOOKUP($A74,Hitters!$A1:$R401,7,FALSE)-AVERAGE(Rankings!P2:P651))/STDEV(Rankings!P2:P651)</f>
        <v>-1.9776331327765952</v>
      </c>
      <c r="J74" s="118">
        <f>(VLOOKUP($A74,Hitters!$A1:$R401,8,FALSE)-AVERAGE(Rankings!Q2:Q651))/STDEV(Rankings!Q2:Q651)</f>
        <v>-0.29879899626130074</v>
      </c>
      <c r="K74" s="157">
        <f>(VLOOKUP($A74,Hitters!$A$1:$R$401,14,FALSE)-AVERAGE(Rankings!R$2:R$651))/STDEV(Rankings!R$2:R$651)</f>
        <v>-0.95398837059027053</v>
      </c>
      <c r="L74" s="157">
        <f>(VLOOKUP($A74,Hitters!$A$1:$R$401,15,FALSE)-AVERAGE(Rankings!S$2:S$651))/STDEV(Rankings!S$2:S$651)</f>
        <v>-0.15699654834028701</v>
      </c>
      <c r="M74" s="157">
        <f>(VLOOKUP($A74,Hitters!$A$1:$R$401,9,FALSE)-AVERAGE(Rankings!T$2:T$651))/STDEV(Rankings!T$2:T$651)</f>
        <v>-2.1092522862527852</v>
      </c>
      <c r="N74" s="157">
        <f>(VLOOKUP($A74,Hitters!$A$1:$R$401,10,FALSE)-AVERAGE(Rankings!U$2:U$651))/STDEV(Rankings!U$2:U$651)</f>
        <v>-2.0869217336862929</v>
      </c>
      <c r="O74" s="157">
        <f>(VLOOKUP($A74,Hitters!$A$1:$R$401,11,FALSE)-AVERAGE(Rankings!V$2:V$651))/STDEV(Rankings!V$2:V$651)</f>
        <v>-1.0132892469854695</v>
      </c>
      <c r="P74" s="157">
        <f>(VLOOKUP($A74,Hitters!$A$1:$R$401,12,FALSE)-AVERAGE(Rankings!W$2:W$651))/STDEV(Rankings!W$2:W$651)</f>
        <v>-1.5369422478658927</v>
      </c>
      <c r="Q74" s="157">
        <f>(VLOOKUP($A74,Hitters!$A$1:$R$401,13,FALSE)-AVERAGE(Rankings!X$2:X$651))/STDEV(Rankings!X$2:X$651)</f>
        <v>-2.1505691730416383</v>
      </c>
      <c r="R74" s="118">
        <f>(VLOOKUP($A74,Hitters!$A1:$R401,16,FALSE)-AVERAGE(Rankings!Y2:Y651))/STDEV(Rankings!Y2:Y651)</f>
        <v>-2.1605580934152671</v>
      </c>
      <c r="S74" s="118">
        <f>(VLOOKUP($A74,Hitters!$A1:$R401,17,FALSE)-AVERAGE(Rankings!Z2:Z651))/STDEV(Rankings!Z2:Z651)</f>
        <v>-1.6386591554359293</v>
      </c>
      <c r="T74" s="118">
        <f>IFERROR((VLOOKUP($A74,Hitters!$A1:$R401,18,FALSE)-AVERAGE(Rankings!AA2:AA651))/STDEV(Rankings!AA2:AA651),0)</f>
        <v>0</v>
      </c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ht="18.600000000000001" customHeight="1">
      <c r="A75" s="26" t="s">
        <v>422</v>
      </c>
      <c r="B75" s="27" t="s">
        <v>68</v>
      </c>
      <c r="C75" s="119" t="s">
        <v>11</v>
      </c>
      <c r="D75" s="67">
        <f>(F75*Settings!$C$2)+(G75*Settings!$C$3)+(H75*Settings!$C$4)+(I75*Settings!$C$5)+(J75*Settings!$C$6)+(M75*Settings!$C$9)+(N75*Settings!$C$10)+(O75*Settings!$C$11)+(P75*Settings!$C$12)+(Q75*Settings!$C$13)+(T75*Settings!$C$16)+(K75*Settings!$C$7)+(L75*Settings!$C$8)+(R75*Settings!$C$14)+(S75*Settings!$C$15)</f>
        <v>0.8969446320841129</v>
      </c>
      <c r="E75" s="67"/>
      <c r="F75" s="118">
        <f>(VLOOKUP($A75,Hitters!$A1:$R401,4,FALSE)-AVERAGE(Rankings!M2:M651))/STDEV(Rankings!M2:M651)</f>
        <v>0.40826381032991099</v>
      </c>
      <c r="G75" s="118">
        <f>(VLOOKUP($A75,Hitters!$A1:$R401,5,FALSE)-AVERAGE(Rankings!N2:N651))/STDEV(Rankings!N2:N651)</f>
        <v>0.49346083535614943</v>
      </c>
      <c r="H75" s="118">
        <f>(VLOOKUP($A75,Hitters!$A1:$R401,6,FALSE)-AVERAGE(Rankings!O2:O651))/STDEV(Rankings!O2:O651)</f>
        <v>-0.47894036885741764</v>
      </c>
      <c r="I75" s="118">
        <f>(VLOOKUP($A75,Hitters!$A1:$R401,7,FALSE)-AVERAGE(Rankings!P2:P651))/STDEV(Rankings!P2:P651)</f>
        <v>-0.13239796807862073</v>
      </c>
      <c r="J75" s="118">
        <f>(VLOOKUP($A75,Hitters!$A1:$R401,8,FALSE)-AVERAGE(Rankings!Q2:Q651))/STDEV(Rankings!Q2:Q651)</f>
        <v>-0.39834679726421246</v>
      </c>
      <c r="K75" s="157">
        <f>(VLOOKUP($A75,Hitters!$A$1:$R$401,14,FALSE)-AVERAGE(Rankings!R$2:R$651))/STDEV(Rankings!R$2:R$651)</f>
        <v>1.4131689309282143</v>
      </c>
      <c r="L75" s="157">
        <f>(VLOOKUP($A75,Hitters!$A$1:$R$401,15,FALSE)-AVERAGE(Rankings!S$2:S$651))/STDEV(Rankings!S$2:S$651)</f>
        <v>1.6280431314789714</v>
      </c>
      <c r="M75" s="157">
        <f>(VLOOKUP($A75,Hitters!$A$1:$R$401,9,FALSE)-AVERAGE(Rankings!T$2:T$651))/STDEV(Rankings!T$2:T$651)</f>
        <v>0.64172177776776218</v>
      </c>
      <c r="N75" s="157">
        <f>(VLOOKUP($A75,Hitters!$A$1:$R$401,10,FALSE)-AVERAGE(Rankings!U$2:U$651))/STDEV(Rankings!U$2:U$651)</f>
        <v>-7.5549109062781547E-2</v>
      </c>
      <c r="O75" s="157">
        <f>(VLOOKUP($A75,Hitters!$A$1:$R$401,11,FALSE)-AVERAGE(Rankings!V$2:V$651))/STDEV(Rankings!V$2:V$651)</f>
        <v>-0.55308857595010485</v>
      </c>
      <c r="P75" s="157">
        <f>(VLOOKUP($A75,Hitters!$A$1:$R$401,12,FALSE)-AVERAGE(Rankings!W$2:W$651))/STDEV(Rankings!W$2:W$651)</f>
        <v>0.76251551973861387</v>
      </c>
      <c r="Q75" s="157">
        <f>(VLOOKUP($A75,Hitters!$A$1:$R$401,13,FALSE)-AVERAGE(Rankings!X$2:X$651))/STDEV(Rankings!X$2:X$651)</f>
        <v>-0.73439532392993712</v>
      </c>
      <c r="R75" s="118">
        <f>(VLOOKUP($A75,Hitters!$A1:$R401,16,FALSE)-AVERAGE(Rankings!Y2:Y651))/STDEV(Rankings!Y2:Y651)</f>
        <v>-0.42917195948251519</v>
      </c>
      <c r="S75" s="118">
        <f>(VLOOKUP($A75,Hitters!$A1:$R401,17,FALSE)-AVERAGE(Rankings!Z2:Z651))/STDEV(Rankings!Z2:Z651)</f>
        <v>0.2990727593747684</v>
      </c>
      <c r="T75" s="118">
        <f>IFERROR((VLOOKUP($A75,Hitters!$A1:$R401,18,FALSE)-AVERAGE(Rankings!AA2:AA651))/STDEV(Rankings!AA2:AA651),0)</f>
        <v>0</v>
      </c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ht="18.600000000000001" customHeight="1">
      <c r="A76" s="26" t="s">
        <v>421</v>
      </c>
      <c r="B76" s="27" t="s">
        <v>81</v>
      </c>
      <c r="C76" s="119" t="s">
        <v>11</v>
      </c>
      <c r="D76" s="67">
        <f>(F76*Settings!$C$2)+(G76*Settings!$C$3)+(H76*Settings!$C$4)+(I76*Settings!$C$5)+(J76*Settings!$C$6)+(M76*Settings!$C$9)+(N76*Settings!$C$10)+(O76*Settings!$C$11)+(P76*Settings!$C$12)+(Q76*Settings!$C$13)+(T76*Settings!$C$16)+(K76*Settings!$C$7)+(L76*Settings!$C$8)+(R76*Settings!$C$14)+(S76*Settings!$C$15)</f>
        <v>0.54431716402029318</v>
      </c>
      <c r="E76" s="67"/>
      <c r="F76" s="118">
        <f>(VLOOKUP($A76,Hitters!$A1:$R401,4,FALSE)-AVERAGE(Rankings!M2:M651))/STDEV(Rankings!M2:M651)</f>
        <v>0.52840908517735841</v>
      </c>
      <c r="G76" s="118">
        <f>(VLOOKUP($A76,Hitters!$A1:$R401,5,FALSE)-AVERAGE(Rankings!N2:N651))/STDEV(Rankings!N2:N651)</f>
        <v>0.45390617966630642</v>
      </c>
      <c r="H76" s="118">
        <f>(VLOOKUP($A76,Hitters!$A1:$R401,6,FALSE)-AVERAGE(Rankings!O2:O651))/STDEV(Rankings!O2:O651)</f>
        <v>4.6214764150291188E-2</v>
      </c>
      <c r="I76" s="118">
        <f>(VLOOKUP($A76,Hitters!$A1:$R401,7,FALSE)-AVERAGE(Rankings!P2:P651))/STDEV(Rankings!P2:P651)</f>
        <v>0.28750988859685789</v>
      </c>
      <c r="J76" s="118">
        <f>(VLOOKUP($A76,Hitters!$A1:$R401,8,FALSE)-AVERAGE(Rankings!Q2:Q651))/STDEV(Rankings!Q2:Q651)</f>
        <v>0.48412030422778868</v>
      </c>
      <c r="K76" s="157">
        <f>(VLOOKUP($A76,Hitters!$A$1:$R$401,14,FALSE)-AVERAGE(Rankings!R$2:R$651))/STDEV(Rankings!R$2:R$651)</f>
        <v>-0.727433972620951</v>
      </c>
      <c r="L76" s="157">
        <f>(VLOOKUP($A76,Hitters!$A$1:$R$401,15,FALSE)-AVERAGE(Rankings!S$2:S$651))/STDEV(Rankings!S$2:S$651)</f>
        <v>-0.11999008953675488</v>
      </c>
      <c r="M76" s="157">
        <f>(VLOOKUP($A76,Hitters!$A$1:$R$401,9,FALSE)-AVERAGE(Rankings!T$2:T$651))/STDEV(Rankings!T$2:T$651)</f>
        <v>0.25719408705333241</v>
      </c>
      <c r="N76" s="157">
        <f>(VLOOKUP($A76,Hitters!$A$1:$R$401,10,FALSE)-AVERAGE(Rankings!U$2:U$651))/STDEV(Rankings!U$2:U$651)</f>
        <v>0.6675815739704074</v>
      </c>
      <c r="O76" s="157">
        <f>(VLOOKUP($A76,Hitters!$A$1:$R$401,11,FALSE)-AVERAGE(Rankings!V$2:V$651))/STDEV(Rankings!V$2:V$651)</f>
        <v>1.1742138390655337</v>
      </c>
      <c r="P76" s="157">
        <f>(VLOOKUP($A76,Hitters!$A$1:$R$401,12,FALSE)-AVERAGE(Rankings!W$2:W$651))/STDEV(Rankings!W$2:W$651)</f>
        <v>0.71962656118738388</v>
      </c>
      <c r="Q76" s="157">
        <f>(VLOOKUP($A76,Hitters!$A$1:$R$401,13,FALSE)-AVERAGE(Rankings!X$2:X$651))/STDEV(Rankings!X$2:X$651)</f>
        <v>1.8050774411203807</v>
      </c>
      <c r="R76" s="118">
        <f>(VLOOKUP($A76,Hitters!$A1:$R401,16,FALSE)-AVERAGE(Rankings!Y2:Y651))/STDEV(Rankings!Y2:Y651)</f>
        <v>-0.33063015407472246</v>
      </c>
      <c r="S76" s="118">
        <f>(VLOOKUP($A76,Hitters!$A1:$R401,17,FALSE)-AVERAGE(Rankings!Z2:Z651))/STDEV(Rankings!Z2:Z651)</f>
        <v>-0.28687654561542597</v>
      </c>
      <c r="T76" s="118">
        <f>IFERROR((VLOOKUP($A76,Hitters!$A1:$R401,18,FALSE)-AVERAGE(Rankings!AA2:AA651))/STDEV(Rankings!AA2:AA651),0)</f>
        <v>0</v>
      </c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ht="18.600000000000001" customHeight="1">
      <c r="A77" s="26" t="s">
        <v>477</v>
      </c>
      <c r="B77" s="27" t="s">
        <v>258</v>
      </c>
      <c r="C77" s="119" t="s">
        <v>11</v>
      </c>
      <c r="D77" s="67">
        <f>(F77*Settings!$C$2)+(G77*Settings!$C$3)+(H77*Settings!$C$4)+(I77*Settings!$C$5)+(J77*Settings!$C$6)+(M77*Settings!$C$9)+(N77*Settings!$C$10)+(O77*Settings!$C$11)+(P77*Settings!$C$12)+(Q77*Settings!$C$13)+(T77*Settings!$C$16)+(K77*Settings!$C$7)+(L77*Settings!$C$8)+(R77*Settings!$C$14)+(S77*Settings!$C$15)</f>
        <v>-3.3376029805552127E-2</v>
      </c>
      <c r="E77" s="67"/>
      <c r="F77" s="118">
        <f>(VLOOKUP($A77,Hitters!$A1:$R401,4,FALSE)-AVERAGE(Rankings!M2:M651))/STDEV(Rankings!M2:M651)</f>
        <v>0.83016636303787605</v>
      </c>
      <c r="G77" s="118">
        <f>(VLOOKUP($A77,Hitters!$A1:$R401,5,FALSE)-AVERAGE(Rankings!N2:N651))/STDEV(Rankings!N2:N651)</f>
        <v>0.17403163511214573</v>
      </c>
      <c r="H77" s="118">
        <f>(VLOOKUP($A77,Hitters!$A1:$R401,6,FALSE)-AVERAGE(Rankings!O2:O651))/STDEV(Rankings!O2:O651)</f>
        <v>0.18372056499353512</v>
      </c>
      <c r="I77" s="118">
        <f>(VLOOKUP($A77,Hitters!$A1:$R401,7,FALSE)-AVERAGE(Rankings!P2:P651))/STDEV(Rankings!P2:P651)</f>
        <v>0.34126460997512248</v>
      </c>
      <c r="J77" s="118">
        <f>(VLOOKUP($A77,Hitters!$A1:$R401,8,FALSE)-AVERAGE(Rankings!Q2:Q651))/STDEV(Rankings!Q2:Q651)</f>
        <v>-0.54145171087778576</v>
      </c>
      <c r="K77" s="157">
        <f>(VLOOKUP($A77,Hitters!$A$1:$R$401,14,FALSE)-AVERAGE(Rankings!R$2:R$651))/STDEV(Rankings!R$2:R$651)</f>
        <v>-0.19094112900856977</v>
      </c>
      <c r="L77" s="157">
        <f>(VLOOKUP($A77,Hitters!$A$1:$R$401,15,FALSE)-AVERAGE(Rankings!S$2:S$651))/STDEV(Rankings!S$2:S$651)</f>
        <v>-1.2916331500563454</v>
      </c>
      <c r="M77" s="157">
        <f>(VLOOKUP($A77,Hitters!$A$1:$R$401,9,FALSE)-AVERAGE(Rankings!T$2:T$651))/STDEV(Rankings!T$2:T$651)</f>
        <v>0.6431895550401</v>
      </c>
      <c r="N77" s="157">
        <f>(VLOOKUP($A77,Hitters!$A$1:$R$401,10,FALSE)-AVERAGE(Rankings!U$2:U$651))/STDEV(Rankings!U$2:U$651)</f>
        <v>0.45529950277003756</v>
      </c>
      <c r="O77" s="157">
        <f>(VLOOKUP($A77,Hitters!$A$1:$R$401,11,FALSE)-AVERAGE(Rankings!V$2:V$651))/STDEV(Rankings!V$2:V$651)</f>
        <v>-9.9087499446822699E-2</v>
      </c>
      <c r="P77" s="157">
        <f>(VLOOKUP($A77,Hitters!$A$1:$R$401,12,FALSE)-AVERAGE(Rankings!W$2:W$651))/STDEV(Rankings!W$2:W$651)</f>
        <v>-0.60678990312939851</v>
      </c>
      <c r="Q77" s="157">
        <f>(VLOOKUP($A77,Hitters!$A$1:$R$401,13,FALSE)-AVERAGE(Rankings!X$2:X$651))/STDEV(Rankings!X$2:X$651)</f>
        <v>0.39777811061676571</v>
      </c>
      <c r="R77" s="118">
        <f>(VLOOKUP($A77,Hitters!$A1:$R401,16,FALSE)-AVERAGE(Rankings!Y2:Y651))/STDEV(Rankings!Y2:Y651)</f>
        <v>-0.45533925971664141</v>
      </c>
      <c r="S77" s="118">
        <f>(VLOOKUP($A77,Hitters!$A1:$R401,17,FALSE)-AVERAGE(Rankings!Z2:Z651))/STDEV(Rankings!Z2:Z651)</f>
        <v>-0.81907948803489039</v>
      </c>
      <c r="T77" s="118">
        <f>IFERROR((VLOOKUP($A77,Hitters!$A1:$R401,18,FALSE)-AVERAGE(Rankings!AA2:AA651))/STDEV(Rankings!AA2:AA651),0)</f>
        <v>0</v>
      </c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ht="18.600000000000001" customHeight="1">
      <c r="A78" s="26" t="s">
        <v>466</v>
      </c>
      <c r="B78" s="27" t="s">
        <v>117</v>
      </c>
      <c r="C78" s="119" t="s">
        <v>11</v>
      </c>
      <c r="D78" s="67">
        <f>(F78*Settings!$C$2)+(G78*Settings!$C$3)+(H78*Settings!$C$4)+(I78*Settings!$C$5)+(J78*Settings!$C$6)+(M78*Settings!$C$9)+(N78*Settings!$C$10)+(O78*Settings!$C$11)+(P78*Settings!$C$12)+(Q78*Settings!$C$13)+(T78*Settings!$C$16)+(K78*Settings!$C$7)+(L78*Settings!$C$8)+(R78*Settings!$C$14)+(S78*Settings!$C$15)</f>
        <v>-1.1845978688709327</v>
      </c>
      <c r="E78" s="67"/>
      <c r="F78" s="118">
        <f>(VLOOKUP($A78,Hitters!$A1:$R401,4,FALSE)-AVERAGE(Rankings!M2:M651))/STDEV(Rankings!M2:M651)</f>
        <v>-7.7133238895533654E-2</v>
      </c>
      <c r="G78" s="118">
        <f>(VLOOKUP($A78,Hitters!$A1:$R401,5,FALSE)-AVERAGE(Rankings!N2:N651))/STDEV(Rankings!N2:N651)</f>
        <v>-0.39793882838239625</v>
      </c>
      <c r="H78" s="118">
        <f>(VLOOKUP($A78,Hitters!$A1:$R401,6,FALSE)-AVERAGE(Rankings!O2:O651))/STDEV(Rankings!O2:O651)</f>
        <v>-0.45219152006116331</v>
      </c>
      <c r="I78" s="118">
        <f>(VLOOKUP($A78,Hitters!$A1:$R401,7,FALSE)-AVERAGE(Rankings!P2:P651))/STDEV(Rankings!P2:P651)</f>
        <v>-0.2903533662194876</v>
      </c>
      <c r="J78" s="118">
        <f>(VLOOKUP($A78,Hitters!$A1:$R401,8,FALSE)-AVERAGE(Rankings!Q2:Q651))/STDEV(Rankings!Q2:Q651)</f>
        <v>-7.7687253699542907E-2</v>
      </c>
      <c r="K78" s="157">
        <f>(VLOOKUP($A78,Hitters!$A$1:$R$401,14,FALSE)-AVERAGE(Rankings!R$2:R$651))/STDEV(Rankings!R$2:R$651)</f>
        <v>3.3573099491657467E-2</v>
      </c>
      <c r="L78" s="157">
        <f>(VLOOKUP($A78,Hitters!$A$1:$R$401,15,FALSE)-AVERAGE(Rankings!S$2:S$651))/STDEV(Rankings!S$2:S$651)</f>
        <v>-0.84019667201925963</v>
      </c>
      <c r="M78" s="157">
        <f>(VLOOKUP($A78,Hitters!$A$1:$R$401,9,FALSE)-AVERAGE(Rankings!T$2:T$651))/STDEV(Rankings!T$2:T$651)</f>
        <v>-9.630059847451547E-2</v>
      </c>
      <c r="N78" s="157">
        <f>(VLOOKUP($A78,Hitters!$A$1:$R$401,10,FALSE)-AVERAGE(Rankings!U$2:U$651))/STDEV(Rankings!U$2:U$651)</f>
        <v>0.21347006219988543</v>
      </c>
      <c r="O78" s="157">
        <f>(VLOOKUP($A78,Hitters!$A$1:$R$401,11,FALSE)-AVERAGE(Rankings!V$2:V$651))/STDEV(Rankings!V$2:V$651)</f>
        <v>-0.52256749517677481</v>
      </c>
      <c r="P78" s="157">
        <f>(VLOOKUP($A78,Hitters!$A$1:$R$401,12,FALSE)-AVERAGE(Rankings!W$2:W$651))/STDEV(Rankings!W$2:W$651)</f>
        <v>-0.75243819384398047</v>
      </c>
      <c r="Q78" s="157">
        <f>(VLOOKUP($A78,Hitters!$A$1:$R$401,13,FALSE)-AVERAGE(Rankings!X$2:X$651))/STDEV(Rankings!X$2:X$651)</f>
        <v>-1.2759334868158325E-2</v>
      </c>
      <c r="R78" s="118">
        <f>(VLOOKUP($A78,Hitters!$A1:$R401,16,FALSE)-AVERAGE(Rankings!Y2:Y651))/STDEV(Rankings!Y2:Y651)</f>
        <v>-0.40026253146992269</v>
      </c>
      <c r="S78" s="118">
        <f>(VLOOKUP($A78,Hitters!$A1:$R401,17,FALSE)-AVERAGE(Rankings!Z2:Z651))/STDEV(Rankings!Z2:Z651)</f>
        <v>-0.60888388255172599</v>
      </c>
      <c r="T78" s="118">
        <f>IFERROR((VLOOKUP($A78,Hitters!$A1:$R401,18,FALSE)-AVERAGE(Rankings!AA2:AA651))/STDEV(Rankings!AA2:AA651),0)</f>
        <v>0</v>
      </c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ht="18.600000000000001" customHeight="1">
      <c r="A79" s="26" t="s">
        <v>348</v>
      </c>
      <c r="B79" s="27" t="s">
        <v>306</v>
      </c>
      <c r="C79" s="119" t="s">
        <v>11</v>
      </c>
      <c r="D79" s="67">
        <f>(F79*Settings!$C$2)+(G79*Settings!$C$3)+(H79*Settings!$C$4)+(I79*Settings!$C$5)+(J79*Settings!$C$6)+(M79*Settings!$C$9)+(N79*Settings!$C$10)+(O79*Settings!$C$11)+(P79*Settings!$C$12)+(Q79*Settings!$C$13)+(T79*Settings!$C$16)+(K79*Settings!$C$7)+(L79*Settings!$C$8)+(R79*Settings!$C$14)+(S79*Settings!$C$15)</f>
        <v>0.79900244475024707</v>
      </c>
      <c r="E79" s="67"/>
      <c r="F79" s="118">
        <f>(VLOOKUP($A79,Hitters!$A1:$R401,4,FALSE)-AVERAGE(Rankings!M2:M651))/STDEV(Rankings!M2:M651)</f>
        <v>0.62405215910654965</v>
      </c>
      <c r="G79" s="118">
        <f>(VLOOKUP($A79,Hitters!$A1:$R401,5,FALSE)-AVERAGE(Rankings!N2:N651))/STDEV(Rankings!N2:N651)</f>
        <v>0.10389818790823145</v>
      </c>
      <c r="H79" s="118">
        <f>(VLOOKUP($A79,Hitters!$A1:$R401,6,FALSE)-AVERAGE(Rankings!O2:O651))/STDEV(Rankings!O2:O651)</f>
        <v>-0.19452487501599627</v>
      </c>
      <c r="I79" s="118">
        <f>(VLOOKUP($A79,Hitters!$A1:$R401,7,FALSE)-AVERAGE(Rankings!P2:P651))/STDEV(Rankings!P2:P651)</f>
        <v>0.18605803281382638</v>
      </c>
      <c r="J79" s="118">
        <f>(VLOOKUP($A79,Hitters!$A1:$R401,8,FALSE)-AVERAGE(Rankings!Q2:Q651))/STDEV(Rankings!Q2:Q651)</f>
        <v>-0.1367665373496402</v>
      </c>
      <c r="K79" s="157">
        <f>(VLOOKUP($A79,Hitters!$A$1:$R$401,14,FALSE)-AVERAGE(Rankings!R$2:R$651))/STDEV(Rankings!R$2:R$651)</f>
        <v>0.84033763639382575</v>
      </c>
      <c r="L79" s="157">
        <f>(VLOOKUP($A79,Hitters!$A$1:$R$401,15,FALSE)-AVERAGE(Rankings!S$2:S$651))/STDEV(Rankings!S$2:S$651)</f>
        <v>-0.44614869060074436</v>
      </c>
      <c r="M79" s="157">
        <f>(VLOOKUP($A79,Hitters!$A$1:$R$401,9,FALSE)-AVERAGE(Rankings!T$2:T$651))/STDEV(Rankings!T$2:T$651)</f>
        <v>0.71355300019770695</v>
      </c>
      <c r="N79" s="157">
        <f>(VLOOKUP($A79,Hitters!$A$1:$R$401,10,FALSE)-AVERAGE(Rankings!U$2:U$651))/STDEV(Rankings!U$2:U$651)</f>
        <v>0.7276803495332157</v>
      </c>
      <c r="O79" s="157">
        <f>(VLOOKUP($A79,Hitters!$A$1:$R$401,11,FALSE)-AVERAGE(Rankings!V$2:V$651))/STDEV(Rankings!V$2:V$651)</f>
        <v>1.1570457311305355</v>
      </c>
      <c r="P79" s="157">
        <f>(VLOOKUP($A79,Hitters!$A$1:$R$401,12,FALSE)-AVERAGE(Rankings!W$2:W$651))/STDEV(Rankings!W$2:W$651)</f>
        <v>-0.65577475426658971</v>
      </c>
      <c r="Q79" s="157">
        <f>(VLOOKUP($A79,Hitters!$A$1:$R$401,13,FALSE)-AVERAGE(Rankings!X$2:X$651))/STDEV(Rankings!X$2:X$651)</f>
        <v>8.3927042551841649E-2</v>
      </c>
      <c r="R79" s="118">
        <f>(VLOOKUP($A79,Hitters!$A1:$R401,16,FALSE)-AVERAGE(Rankings!Y2:Y651))/STDEV(Rankings!Y2:Y651)</f>
        <v>4.0976843416143838E-4</v>
      </c>
      <c r="S79" s="118">
        <f>(VLOOKUP($A79,Hitters!$A1:$R401,17,FALSE)-AVERAGE(Rankings!Z2:Z651))/STDEV(Rankings!Z2:Z651)</f>
        <v>-0.16762691413947675</v>
      </c>
      <c r="T79" s="118">
        <f>IFERROR((VLOOKUP($A79,Hitters!$A1:$R401,18,FALSE)-AVERAGE(Rankings!AA2:AA651))/STDEV(Rankings!AA2:AA651),0)</f>
        <v>0</v>
      </c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ht="18.600000000000001" customHeight="1">
      <c r="A80" s="26" t="s">
        <v>516</v>
      </c>
      <c r="B80" s="27" t="s">
        <v>99</v>
      </c>
      <c r="C80" s="119" t="s">
        <v>11</v>
      </c>
      <c r="D80" s="67">
        <f>(F80*Settings!$C$2)+(G80*Settings!$C$3)+(H80*Settings!$C$4)+(I80*Settings!$C$5)+(J80*Settings!$C$6)+(M80*Settings!$C$9)+(N80*Settings!$C$10)+(O80*Settings!$C$11)+(P80*Settings!$C$12)+(Q80*Settings!$C$13)+(T80*Settings!$C$16)+(K80*Settings!$C$7)+(L80*Settings!$C$8)+(R80*Settings!$C$14)+(S80*Settings!$C$15)</f>
        <v>-0.64389135632438399</v>
      </c>
      <c r="E80" s="67"/>
      <c r="F80" s="118">
        <f>(VLOOKUP($A80,Hitters!$A1:$R401,4,FALSE)-AVERAGE(Rankings!M2:M651))/STDEV(Rankings!M2:M651)</f>
        <v>0.35376753587379084</v>
      </c>
      <c r="G80" s="118">
        <f>(VLOOKUP($A80,Hitters!$A1:$R401,5,FALSE)-AVERAGE(Rankings!N2:N651))/STDEV(Rankings!N2:N651)</f>
        <v>-5.4371145948180301E-2</v>
      </c>
      <c r="H80" s="118">
        <f>(VLOOKUP($A80,Hitters!$A1:$R401,6,FALSE)-AVERAGE(Rankings!O2:O651))/STDEV(Rankings!O2:O651)</f>
        <v>-1.1771967759763022</v>
      </c>
      <c r="I80" s="118">
        <f>(VLOOKUP($A80,Hitters!$A1:$R401,7,FALSE)-AVERAGE(Rankings!P2:P651))/STDEV(Rankings!P2:P651)</f>
        <v>-0.49366431052326509</v>
      </c>
      <c r="J80" s="118">
        <f>(VLOOKUP($A80,Hitters!$A1:$R401,8,FALSE)-AVERAGE(Rankings!Q2:Q651))/STDEV(Rankings!Q2:Q651)</f>
        <v>0.24526893762096164</v>
      </c>
      <c r="K80" s="157">
        <f>(VLOOKUP($A80,Hitters!$A$1:$R$401,14,FALSE)-AVERAGE(Rankings!R$2:R$651))/STDEV(Rankings!R$2:R$651)</f>
        <v>0.83607193850240225</v>
      </c>
      <c r="L80" s="157">
        <f>(VLOOKUP($A80,Hitters!$A$1:$R$401,15,FALSE)-AVERAGE(Rankings!S$2:S$651))/STDEV(Rankings!S$2:S$651)</f>
        <v>0.25668107653053374</v>
      </c>
      <c r="M80" s="157">
        <f>(VLOOKUP($A80,Hitters!$A$1:$R$401,9,FALSE)-AVERAGE(Rankings!T$2:T$651))/STDEV(Rankings!T$2:T$651)</f>
        <v>0.46046626195308465</v>
      </c>
      <c r="N80" s="157">
        <f>(VLOOKUP($A80,Hitters!$A$1:$R$401,10,FALSE)-AVERAGE(Rankings!U$2:U$651))/STDEV(Rankings!U$2:U$651)</f>
        <v>0.33438478248496151</v>
      </c>
      <c r="O80" s="157">
        <f>(VLOOKUP($A80,Hitters!$A$1:$R$401,11,FALSE)-AVERAGE(Rankings!V$2:V$651))/STDEV(Rankings!V$2:V$651)</f>
        <v>1.1756445147267836</v>
      </c>
      <c r="P80" s="157">
        <f>(VLOOKUP($A80,Hitters!$A$1:$R$401,12,FALSE)-AVERAGE(Rankings!W$2:W$651))/STDEV(Rankings!W$2:W$651)</f>
        <v>-0.14689212930994006</v>
      </c>
      <c r="Q80" s="157">
        <f>(VLOOKUP($A80,Hitters!$A$1:$R$401,13,FALSE)-AVERAGE(Rankings!X$2:X$651))/STDEV(Rankings!X$2:X$651)</f>
        <v>-1.0439435950939706</v>
      </c>
      <c r="R80" s="118">
        <f>(VLOOKUP($A80,Hitters!$A1:$R401,16,FALSE)-AVERAGE(Rankings!Y2:Y651))/STDEV(Rankings!Y2:Y651)</f>
        <v>-1.1546201428406064</v>
      </c>
      <c r="S80" s="118">
        <f>(VLOOKUP($A80,Hitters!$A1:$R401,17,FALSE)-AVERAGE(Rankings!Z2:Z651))/STDEV(Rankings!Z2:Z651)</f>
        <v>-0.74750602680366174</v>
      </c>
      <c r="T80" s="118">
        <f>IFERROR((VLOOKUP($A80,Hitters!$A1:$R401,18,FALSE)-AVERAGE(Rankings!AA2:AA651))/STDEV(Rankings!AA2:AA651),0)</f>
        <v>0</v>
      </c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ht="18.600000000000001" customHeight="1">
      <c r="A81" s="26" t="s">
        <v>543</v>
      </c>
      <c r="B81" s="27" t="s">
        <v>99</v>
      </c>
      <c r="C81" s="119" t="s">
        <v>11</v>
      </c>
      <c r="D81" s="67">
        <f>(F81*Settings!$C$2)+(G81*Settings!$C$3)+(H81*Settings!$C$4)+(I81*Settings!$C$5)+(J81*Settings!$C$6)+(M81*Settings!$C$9)+(N81*Settings!$C$10)+(O81*Settings!$C$11)+(P81*Settings!$C$12)+(Q81*Settings!$C$13)+(T81*Settings!$C$16)+(K81*Settings!$C$7)+(L81*Settings!$C$8)+(R81*Settings!$C$14)+(S81*Settings!$C$15)</f>
        <v>-1.3818065689853203</v>
      </c>
      <c r="E81" s="67"/>
      <c r="F81" s="118">
        <f>(VLOOKUP($A81,Hitters!$A1:$R401,4,FALSE)-AVERAGE(Rankings!M2:M651))/STDEV(Rankings!M2:M651)</f>
        <v>-8.7779022742776047E-2</v>
      </c>
      <c r="G81" s="118">
        <f>(VLOOKUP($A81,Hitters!$A1:$R401,5,FALSE)-AVERAGE(Rankings!N2:N651))/STDEV(Rankings!N2:N651)</f>
        <v>-0.29273865757652423</v>
      </c>
      <c r="H81" s="118">
        <f>(VLOOKUP($A81,Hitters!$A1:$R401,6,FALSE)-AVERAGE(Rankings!O2:O651))/STDEV(Rankings!O2:O651)</f>
        <v>-0.220019871524926</v>
      </c>
      <c r="I81" s="118">
        <f>(VLOOKUP($A81,Hitters!$A1:$R401,7,FALSE)-AVERAGE(Rankings!P2:P651))/STDEV(Rankings!P2:P651)</f>
        <v>-0.16100606790303834</v>
      </c>
      <c r="J81" s="118">
        <f>(VLOOKUP($A81,Hitters!$A1:$R401,8,FALSE)-AVERAGE(Rankings!Q2:Q651))/STDEV(Rankings!Q2:Q651)</f>
        <v>-0.68368548223914571</v>
      </c>
      <c r="K81" s="157">
        <f>(VLOOKUP($A81,Hitters!$A$1:$R$401,14,FALSE)-AVERAGE(Rankings!R$2:R$651))/STDEV(Rankings!R$2:R$651)</f>
        <v>-2.4356489741685878E-2</v>
      </c>
      <c r="L81" s="157">
        <f>(VLOOKUP($A81,Hitters!$A$1:$R$401,15,FALSE)-AVERAGE(Rankings!S$2:S$651))/STDEV(Rankings!S$2:S$651)</f>
        <v>-0.23729537701495304</v>
      </c>
      <c r="M81" s="157">
        <f>(VLOOKUP($A81,Hitters!$A$1:$R$401,9,FALSE)-AVERAGE(Rankings!T$2:T$651))/STDEV(Rankings!T$2:T$651)</f>
        <v>-0.11678957101082975</v>
      </c>
      <c r="N81" s="157">
        <f>(VLOOKUP($A81,Hitters!$A$1:$R$401,10,FALSE)-AVERAGE(Rankings!U$2:U$651))/STDEV(Rankings!U$2:U$651)</f>
        <v>-0.2069344990759838</v>
      </c>
      <c r="O81" s="157">
        <f>(VLOOKUP($A81,Hitters!$A$1:$R$401,11,FALSE)-AVERAGE(Rankings!V$2:V$651))/STDEV(Rankings!V$2:V$651)</f>
        <v>-0.54831965707927199</v>
      </c>
      <c r="P81" s="157">
        <f>(VLOOKUP($A81,Hitters!$A$1:$R$401,12,FALSE)-AVERAGE(Rankings!W$2:W$651))/STDEV(Rankings!W$2:W$651)</f>
        <v>-0.27378621987485469</v>
      </c>
      <c r="Q81" s="157">
        <f>(VLOOKUP($A81,Hitters!$A$1:$R$401,13,FALSE)-AVERAGE(Rankings!X$2:X$651))/STDEV(Rankings!X$2:X$651)</f>
        <v>8.0478477388628858E-2</v>
      </c>
      <c r="R81" s="118">
        <f>(VLOOKUP($A81,Hitters!$A1:$R401,16,FALSE)-AVERAGE(Rankings!Y2:Y651))/STDEV(Rankings!Y2:Y651)</f>
        <v>-0.27378064076725106</v>
      </c>
      <c r="S81" s="118">
        <f>(VLOOKUP($A81,Hitters!$A1:$R401,17,FALSE)-AVERAGE(Rankings!Z2:Z651))/STDEV(Rankings!Z2:Z651)</f>
        <v>-0.28947003540250477</v>
      </c>
      <c r="T81" s="118">
        <f>IFERROR((VLOOKUP($A81,Hitters!$A1:$R401,18,FALSE)-AVERAGE(Rankings!AA2:AA651))/STDEV(Rankings!AA2:AA651),0)</f>
        <v>0</v>
      </c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ht="18.600000000000001" customHeight="1">
      <c r="A82" s="26" t="s">
        <v>545</v>
      </c>
      <c r="B82" s="27" t="s">
        <v>140</v>
      </c>
      <c r="C82" s="119" t="s">
        <v>11</v>
      </c>
      <c r="D82" s="67">
        <f>(F82*Settings!$C$2)+(G82*Settings!$C$3)+(H82*Settings!$C$4)+(I82*Settings!$C$5)+(J82*Settings!$C$6)+(M82*Settings!$C$9)+(N82*Settings!$C$10)+(O82*Settings!$C$11)+(P82*Settings!$C$12)+(Q82*Settings!$C$13)+(T82*Settings!$C$16)+(K82*Settings!$C$7)+(L82*Settings!$C$8)+(R82*Settings!$C$14)+(S82*Settings!$C$15)</f>
        <v>-0.57514361286125371</v>
      </c>
      <c r="E82" s="67"/>
      <c r="F82" s="118">
        <f>(VLOOKUP($A82,Hitters!$A1:$R401,4,FALSE)-AVERAGE(Rankings!M2:M651))/STDEV(Rankings!M2:M651)</f>
        <v>0.54501143855817613</v>
      </c>
      <c r="G82" s="118">
        <f>(VLOOKUP($A82,Hitters!$A1:$R401,5,FALSE)-AVERAGE(Rankings!N2:N651))/STDEV(Rankings!N2:N651)</f>
        <v>0.2551186792763247</v>
      </c>
      <c r="H82" s="118">
        <f>(VLOOKUP($A82,Hitters!$A1:$R401,6,FALSE)-AVERAGE(Rankings!O2:O651))/STDEV(Rankings!O2:O651)</f>
        <v>-0.84799089209323664</v>
      </c>
      <c r="I82" s="118">
        <f>(VLOOKUP($A82,Hitters!$A1:$R401,7,FALSE)-AVERAGE(Rankings!P2:P651))/STDEV(Rankings!P2:P651)</f>
        <v>-0.46910308602988182</v>
      </c>
      <c r="J82" s="118">
        <f>(VLOOKUP($A82,Hitters!$A1:$R401,8,FALSE)-AVERAGE(Rankings!Q2:Q651))/STDEV(Rankings!Q2:Q651)</f>
        <v>0.56363183342979617</v>
      </c>
      <c r="K82" s="157">
        <f>(VLOOKUP($A82,Hitters!$A$1:$R$401,14,FALSE)-AVERAGE(Rankings!R$2:R$651))/STDEV(Rankings!R$2:R$651)</f>
        <v>-7.6800147444256034E-2</v>
      </c>
      <c r="L82" s="157">
        <f>(VLOOKUP($A82,Hitters!$A$1:$R$401,15,FALSE)-AVERAGE(Rankings!S$2:S$651))/STDEV(Rankings!S$2:S$651)</f>
        <v>0.28278715487044787</v>
      </c>
      <c r="M82" s="157">
        <f>(VLOOKUP($A82,Hitters!$A$1:$R$401,9,FALSE)-AVERAGE(Rankings!T$2:T$651))/STDEV(Rankings!T$2:T$651)</f>
        <v>0.42401146725031441</v>
      </c>
      <c r="N82" s="157">
        <f>(VLOOKUP($A82,Hitters!$A$1:$R$401,10,FALSE)-AVERAGE(Rankings!U$2:U$651))/STDEV(Rankings!U$2:U$651)</f>
        <v>0.35181199305985655</v>
      </c>
      <c r="O82" s="157">
        <f>(VLOOKUP($A82,Hitters!$A$1:$R$401,11,FALSE)-AVERAGE(Rankings!V$2:V$651))/STDEV(Rankings!V$2:V$651)</f>
        <v>0.67920006027308943</v>
      </c>
      <c r="P82" s="157">
        <f>(VLOOKUP($A82,Hitters!$A$1:$R$401,12,FALSE)-AVERAGE(Rankings!W$2:W$651))/STDEV(Rankings!W$2:W$651)</f>
        <v>0.65048794272517652</v>
      </c>
      <c r="Q82" s="157">
        <f>(VLOOKUP($A82,Hitters!$A$1:$R$401,13,FALSE)-AVERAGE(Rankings!X$2:X$651))/STDEV(Rankings!X$2:X$651)</f>
        <v>-0.73439532392993712</v>
      </c>
      <c r="R82" s="118">
        <f>(VLOOKUP($A82,Hitters!$A1:$R401,16,FALSE)-AVERAGE(Rankings!Y2:Y651))/STDEV(Rankings!Y2:Y651)</f>
        <v>-1.3341862672407028</v>
      </c>
      <c r="S82" s="118">
        <f>(VLOOKUP($A82,Hitters!$A1:$R401,17,FALSE)-AVERAGE(Rankings!Z2:Z651))/STDEV(Rankings!Z2:Z651)</f>
        <v>-0.86895924853486861</v>
      </c>
      <c r="T82" s="118">
        <f>IFERROR((VLOOKUP($A82,Hitters!$A1:$R401,18,FALSE)-AVERAGE(Rankings!AA2:AA651))/STDEV(Rankings!AA2:AA651),0)</f>
        <v>0</v>
      </c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ht="18.600000000000001" customHeight="1">
      <c r="A83" s="26" t="s">
        <v>548</v>
      </c>
      <c r="B83" s="27" t="s">
        <v>94</v>
      </c>
      <c r="C83" s="119" t="s">
        <v>11</v>
      </c>
      <c r="D83" s="67">
        <f>(F83*Settings!$C$2)+(G83*Settings!$C$3)+(H83*Settings!$C$4)+(I83*Settings!$C$5)+(J83*Settings!$C$6)+(M83*Settings!$C$9)+(N83*Settings!$C$10)+(O83*Settings!$C$11)+(P83*Settings!$C$12)+(Q83*Settings!$C$13)+(T83*Settings!$C$16)+(K83*Settings!$C$7)+(L83*Settings!$C$8)+(R83*Settings!$C$14)+(S83*Settings!$C$15)</f>
        <v>-0.39195409279717075</v>
      </c>
      <c r="E83" s="67"/>
      <c r="F83" s="118">
        <f>(VLOOKUP($A83,Hitters!$A1:$R401,4,FALSE)-AVERAGE(Rankings!M2:M651))/STDEV(Rankings!M2:M651)</f>
        <v>9.6240955188123992E-2</v>
      </c>
      <c r="G83" s="118">
        <f>(VLOOKUP($A83,Hitters!$A1:$R401,5,FALSE)-AVERAGE(Rankings!N2:N651))/STDEV(Rankings!N2:N651)</f>
        <v>-0.20036839432133269</v>
      </c>
      <c r="H83" s="118">
        <f>(VLOOKUP($A83,Hitters!$A1:$R401,6,FALSE)-AVERAGE(Rankings!O2:O651))/STDEV(Rankings!O2:O651)</f>
        <v>-0.89243298983284636</v>
      </c>
      <c r="I83" s="118">
        <f>(VLOOKUP($A83,Hitters!$A1:$R401,7,FALSE)-AVERAGE(Rankings!P2:P651))/STDEV(Rankings!P2:P651)</f>
        <v>-0.35288904350471323</v>
      </c>
      <c r="J83" s="118">
        <f>(VLOOKUP($A83,Hitters!$A1:$R401,8,FALSE)-AVERAGE(Rankings!Q2:Q651))/STDEV(Rankings!Q2:Q651)</f>
        <v>0.13217883433364416</v>
      </c>
      <c r="K83" s="157">
        <f>(VLOOKUP($A83,Hitters!$A$1:$R$401,14,FALSE)-AVERAGE(Rankings!R$2:R$651))/STDEV(Rankings!R$2:R$651)</f>
        <v>0.92155750052807739</v>
      </c>
      <c r="L83" s="157">
        <f>(VLOOKUP($A83,Hitters!$A$1:$R$401,15,FALSE)-AVERAGE(Rankings!S$2:S$651))/STDEV(Rankings!S$2:S$651)</f>
        <v>0.37505378038739351</v>
      </c>
      <c r="M83" s="157">
        <f>(VLOOKUP($A83,Hitters!$A$1:$R$401,9,FALSE)-AVERAGE(Rankings!T$2:T$651))/STDEV(Rankings!T$2:T$651)</f>
        <v>0.23781343613082409</v>
      </c>
      <c r="N83" s="157">
        <f>(VLOOKUP($A83,Hitters!$A$1:$R$401,10,FALSE)-AVERAGE(Rankings!U$2:U$651))/STDEV(Rankings!U$2:U$651)</f>
        <v>0.27887588954270198</v>
      </c>
      <c r="O83" s="157">
        <f>(VLOOKUP($A83,Hitters!$A$1:$R$401,11,FALSE)-AVERAGE(Rankings!V$2:V$651))/STDEV(Rankings!V$2:V$651)</f>
        <v>-0.56453398124010357</v>
      </c>
      <c r="P83" s="157">
        <f>(VLOOKUP($A83,Hitters!$A$1:$R$401,12,FALSE)-AVERAGE(Rankings!W$2:W$651))/STDEV(Rankings!W$2:W$651)</f>
        <v>-0.25213958089613375</v>
      </c>
      <c r="Q83" s="157">
        <f>(VLOOKUP($A83,Hitters!$A$1:$R$401,13,FALSE)-AVERAGE(Rankings!X$2:X$651))/STDEV(Rankings!X$2:X$651)</f>
        <v>-0.83671330317610271</v>
      </c>
      <c r="R83" s="118">
        <f>(VLOOKUP($A83,Hitters!$A1:$R401,16,FALSE)-AVERAGE(Rankings!Y2:Y651))/STDEV(Rankings!Y2:Y651)</f>
        <v>-0.79007751577410579</v>
      </c>
      <c r="S83" s="118">
        <f>(VLOOKUP($A83,Hitters!$A1:$R401,17,FALSE)-AVERAGE(Rankings!Z2:Z651))/STDEV(Rankings!Z2:Z651)</f>
        <v>-0.4364327064357732</v>
      </c>
      <c r="T83" s="118">
        <f>IFERROR((VLOOKUP($A83,Hitters!$A1:$R401,18,FALSE)-AVERAGE(Rankings!AA2:AA651))/STDEV(Rankings!AA2:AA651),0)</f>
        <v>0</v>
      </c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ht="18.600000000000001" customHeight="1">
      <c r="A84" s="26" t="s">
        <v>558</v>
      </c>
      <c r="B84" s="27" t="s">
        <v>103</v>
      </c>
      <c r="C84" s="119" t="s">
        <v>11</v>
      </c>
      <c r="D84" s="67">
        <f>(F84*Settings!$C$2)+(G84*Settings!$C$3)+(H84*Settings!$C$4)+(I84*Settings!$C$5)+(J84*Settings!$C$6)+(M84*Settings!$C$9)+(N84*Settings!$C$10)+(O84*Settings!$C$11)+(P84*Settings!$C$12)+(Q84*Settings!$C$13)+(T84*Settings!$C$16)+(K84*Settings!$C$7)+(L84*Settings!$C$8)+(R84*Settings!$C$14)+(S84*Settings!$C$15)</f>
        <v>-2.2432658952028235</v>
      </c>
      <c r="E84" s="67"/>
      <c r="F84" s="118">
        <f>(VLOOKUP($A84,Hitters!$A1:$R401,4,FALSE)-AVERAGE(Rankings!M2:M651))/STDEV(Rankings!M2:M651)</f>
        <v>-1.2501972304440236</v>
      </c>
      <c r="G84" s="118">
        <f>(VLOOKUP($A84,Hitters!$A1:$R401,5,FALSE)-AVERAGE(Rankings!N2:N651))/STDEV(Rankings!N2:N651)</f>
        <v>-0.92502997099807738</v>
      </c>
      <c r="H84" s="118">
        <f>(VLOOKUP($A84,Hitters!$A1:$R401,6,FALSE)-AVERAGE(Rankings!O2:O651))/STDEV(Rankings!O2:O651)</f>
        <v>-0.571725438119424</v>
      </c>
      <c r="I84" s="118">
        <f>(VLOOKUP($A84,Hitters!$A1:$R401,7,FALSE)-AVERAGE(Rankings!P2:P651))/STDEV(Rankings!P2:P651)</f>
        <v>-0.88649119014075428</v>
      </c>
      <c r="J84" s="118">
        <f>(VLOOKUP($A84,Hitters!$A1:$R401,8,FALSE)-AVERAGE(Rankings!Q2:Q651))/STDEV(Rankings!Q2:Q651)</f>
        <v>0.29262739824128065</v>
      </c>
      <c r="K84" s="157">
        <f>(VLOOKUP($A84,Hitters!$A$1:$R$401,14,FALSE)-AVERAGE(Rankings!R$2:R$651))/STDEV(Rankings!R$2:R$651)</f>
        <v>-0.15264669418584878</v>
      </c>
      <c r="L84" s="157">
        <f>(VLOOKUP($A84,Hitters!$A$1:$R$401,15,FALSE)-AVERAGE(Rankings!S$2:S$651))/STDEV(Rankings!S$2:S$651)</f>
        <v>-0.10504620597391184</v>
      </c>
      <c r="M84" s="157">
        <f>(VLOOKUP($A84,Hitters!$A$1:$R$401,9,FALSE)-AVERAGE(Rankings!T$2:T$651))/STDEV(Rankings!T$2:T$651)</f>
        <v>-1.1474388079362305</v>
      </c>
      <c r="N84" s="157">
        <f>(VLOOKUP($A84,Hitters!$A$1:$R$401,10,FALSE)-AVERAGE(Rankings!U$2:U$651))/STDEV(Rankings!U$2:U$651)</f>
        <v>-0.88336845027932698</v>
      </c>
      <c r="O84" s="157">
        <f>(VLOOKUP($A84,Hitters!$A$1:$R$401,11,FALSE)-AVERAGE(Rankings!V$2:V$651))/STDEV(Rankings!V$2:V$651)</f>
        <v>-0.53830492745052305</v>
      </c>
      <c r="P84" s="157">
        <f>(VLOOKUP($A84,Hitters!$A$1:$R$401,12,FALSE)-AVERAGE(Rankings!W$2:W$651))/STDEV(Rankings!W$2:W$651)</f>
        <v>-0.89251931734995471</v>
      </c>
      <c r="Q84" s="157">
        <f>(VLOOKUP($A84,Hitters!$A$1:$R$401,13,FALSE)-AVERAGE(Rankings!X$2:X$651))/STDEV(Rankings!X$2:X$651)</f>
        <v>-0.81295300558368766</v>
      </c>
      <c r="R84" s="118">
        <f>(VLOOKUP($A84,Hitters!$A1:$R401,16,FALSE)-AVERAGE(Rankings!Y2:Y651))/STDEV(Rankings!Y2:Y651)</f>
        <v>0.6547250965300011</v>
      </c>
      <c r="S84" s="118">
        <f>(VLOOKUP($A84,Hitters!$A1:$R401,17,FALSE)-AVERAGE(Rankings!Z2:Z651))/STDEV(Rankings!Z2:Z651)</f>
        <v>0.43913772577844495</v>
      </c>
      <c r="T84" s="118">
        <f>IFERROR((VLOOKUP($A84,Hitters!$A1:$R401,18,FALSE)-AVERAGE(Rankings!AA2:AA651))/STDEV(Rankings!AA2:AA651),0)</f>
        <v>0</v>
      </c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ht="18.600000000000001" customHeight="1">
      <c r="A85" s="26" t="s">
        <v>588</v>
      </c>
      <c r="B85" s="27" t="s">
        <v>103</v>
      </c>
      <c r="C85" s="119" t="s">
        <v>11</v>
      </c>
      <c r="D85" s="67">
        <f>(F85*Settings!$C$2)+(G85*Settings!$C$3)+(H85*Settings!$C$4)+(I85*Settings!$C$5)+(J85*Settings!$C$6)+(M85*Settings!$C$9)+(N85*Settings!$C$10)+(O85*Settings!$C$11)+(P85*Settings!$C$12)+(Q85*Settings!$C$13)+(T85*Settings!$C$16)+(K85*Settings!$C$7)+(L85*Settings!$C$8)+(R85*Settings!$C$14)+(S85*Settings!$C$15)</f>
        <v>-1.4809140689956726</v>
      </c>
      <c r="E85" s="67"/>
      <c r="F85" s="118">
        <f>(VLOOKUP($A85,Hitters!$A1:$R401,4,FALSE)-AVERAGE(Rankings!M2:M651))/STDEV(Rankings!M2:M651)</f>
        <v>-0.67938043939665982</v>
      </c>
      <c r="G85" s="118">
        <f>(VLOOKUP($A85,Hitters!$A1:$R401,5,FALSE)-AVERAGE(Rankings!N2:N651))/STDEV(Rankings!N2:N651)</f>
        <v>-0.71977680573571767</v>
      </c>
      <c r="H85" s="118">
        <f>(VLOOKUP($A85,Hitters!$A1:$R401,6,FALSE)-AVERAGE(Rankings!O2:O651))/STDEV(Rankings!O2:O651)</f>
        <v>-0.71570947578051092</v>
      </c>
      <c r="I85" s="118">
        <f>(VLOOKUP($A85,Hitters!$A1:$R401,7,FALSE)-AVERAGE(Rankings!P2:P651))/STDEV(Rankings!P2:P651)</f>
        <v>-0.63105445540956862</v>
      </c>
      <c r="J85" s="118">
        <f>(VLOOKUP($A85,Hitters!$A1:$R401,8,FALSE)-AVERAGE(Rankings!Q2:Q651))/STDEV(Rankings!Q2:Q651)</f>
        <v>-0.29293858474641182</v>
      </c>
      <c r="K85" s="157">
        <f>(VLOOKUP($A85,Hitters!$A$1:$R$401,14,FALSE)-AVERAGE(Rankings!R$2:R$651))/STDEV(Rankings!R$2:R$651)</f>
        <v>0.87856525267653607</v>
      </c>
      <c r="L85" s="157">
        <f>(VLOOKUP($A85,Hitters!$A$1:$R$401,15,FALSE)-AVERAGE(Rankings!S$2:S$651))/STDEV(Rankings!S$2:S$651)</f>
        <v>-0.28516927114894086</v>
      </c>
      <c r="M85" s="157">
        <f>(VLOOKUP($A85,Hitters!$A$1:$R$401,9,FALSE)-AVERAGE(Rankings!T$2:T$651))/STDEV(Rankings!T$2:T$651)</f>
        <v>-0.49655447424971244</v>
      </c>
      <c r="N85" s="157">
        <f>(VLOOKUP($A85,Hitters!$A$1:$R$401,10,FALSE)-AVERAGE(Rankings!U$2:U$651))/STDEV(Rankings!U$2:U$651)</f>
        <v>-0.42100949317500641</v>
      </c>
      <c r="O85" s="157">
        <f>(VLOOKUP($A85,Hitters!$A$1:$R$401,11,FALSE)-AVERAGE(Rankings!V$2:V$651))/STDEV(Rankings!V$2:V$651)</f>
        <v>-0.53544357612802351</v>
      </c>
      <c r="P85" s="157">
        <f>(VLOOKUP($A85,Hitters!$A$1:$R$401,12,FALSE)-AVERAGE(Rankings!W$2:W$651))/STDEV(Rankings!W$2:W$651)</f>
        <v>-1.0862816174037333</v>
      </c>
      <c r="Q85" s="157">
        <f>(VLOOKUP($A85,Hitters!$A$1:$R$401,13,FALSE)-AVERAGE(Rankings!X$2:X$651))/STDEV(Rankings!X$2:X$651)</f>
        <v>-0.87395147929630568</v>
      </c>
      <c r="R85" s="118">
        <f>(VLOOKUP($A85,Hitters!$A1:$R401,16,FALSE)-AVERAGE(Rankings!Y2:Y651))/STDEV(Rankings!Y2:Y651)</f>
        <v>-1.4815987444400307E-2</v>
      </c>
      <c r="S85" s="118">
        <f>(VLOOKUP($A85,Hitters!$A1:$R401,17,FALSE)-AVERAGE(Rankings!Z2:Z651))/STDEV(Rankings!Z2:Z651)</f>
        <v>-0.11816269869384276</v>
      </c>
      <c r="T85" s="118">
        <f>IFERROR((VLOOKUP($A85,Hitters!$A1:$R401,18,FALSE)-AVERAGE(Rankings!AA2:AA651))/STDEV(Rankings!AA2:AA651),0)</f>
        <v>0</v>
      </c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ht="18.600000000000001" customHeight="1">
      <c r="A86" s="26" t="s">
        <v>544</v>
      </c>
      <c r="B86" s="27" t="s">
        <v>134</v>
      </c>
      <c r="C86" s="119" t="s">
        <v>11</v>
      </c>
      <c r="D86" s="67">
        <f>(F86*Settings!$C$2)+(G86*Settings!$C$3)+(H86*Settings!$C$4)+(I86*Settings!$C$5)+(J86*Settings!$C$6)+(M86*Settings!$C$9)+(N86*Settings!$C$10)+(O86*Settings!$C$11)+(P86*Settings!$C$12)+(Q86*Settings!$C$13)+(T86*Settings!$C$16)+(K86*Settings!$C$7)+(L86*Settings!$C$8)+(R86*Settings!$C$14)+(S86*Settings!$C$15)</f>
        <v>-0.65905462196080034</v>
      </c>
      <c r="E86" s="67"/>
      <c r="F86" s="118">
        <f>(VLOOKUP($A86,Hitters!$A1:$R401,4,FALSE)-AVERAGE(Rankings!M2:M651))/STDEV(Rankings!M2:M651)</f>
        <v>-0.73020138371504151</v>
      </c>
      <c r="G86" s="118">
        <f>(VLOOKUP($A86,Hitters!$A1:$R401,5,FALSE)-AVERAGE(Rankings!N2:N651))/STDEV(Rankings!N2:N651)</f>
        <v>-0.53889032260024161</v>
      </c>
      <c r="H86" s="118">
        <f>(VLOOKUP($A86,Hitters!$A1:$R401,6,FALSE)-AVERAGE(Rankings!O2:O651))/STDEV(Rankings!O2:O651)</f>
        <v>-1.1643796192614304</v>
      </c>
      <c r="I86" s="118">
        <f>(VLOOKUP($A86,Hitters!$A1:$R401,7,FALSE)-AVERAGE(Rankings!P2:P651))/STDEV(Rankings!P2:P651)</f>
        <v>-1.1479091557071162</v>
      </c>
      <c r="J86" s="118">
        <f>(VLOOKUP($A86,Hitters!$A1:$R401,8,FALSE)-AVERAGE(Rankings!Q2:Q651))/STDEV(Rankings!Q2:Q651)</f>
        <v>2.5585475909980908</v>
      </c>
      <c r="K86" s="157">
        <f>(VLOOKUP($A86,Hitters!$A$1:$R$401,14,FALSE)-AVERAGE(Rankings!R$2:R$651))/STDEV(Rankings!R$2:R$651)</f>
        <v>-0.3664231153901033</v>
      </c>
      <c r="L86" s="157">
        <f>(VLOOKUP($A86,Hitters!$A$1:$R$401,15,FALSE)-AVERAGE(Rankings!S$2:S$651))/STDEV(Rankings!S$2:S$651)</f>
        <v>0.29864581769561677</v>
      </c>
      <c r="M86" s="157">
        <f>(VLOOKUP($A86,Hitters!$A$1:$R$401,9,FALSE)-AVERAGE(Rankings!T$2:T$651))/STDEV(Rankings!T$2:T$651)</f>
        <v>-0.72921214923444189</v>
      </c>
      <c r="N86" s="157">
        <f>(VLOOKUP($A86,Hitters!$A$1:$R$401,10,FALSE)-AVERAGE(Rankings!U$2:U$651))/STDEV(Rankings!U$2:U$651)</f>
        <v>-0.86637154120010795</v>
      </c>
      <c r="O86" s="157">
        <f>(VLOOKUP($A86,Hitters!$A$1:$R$401,11,FALSE)-AVERAGE(Rankings!V$2:V$651))/STDEV(Rankings!V$2:V$651)</f>
        <v>0.29959411815479919</v>
      </c>
      <c r="P86" s="157">
        <f>(VLOOKUP($A86,Hitters!$A$1:$R$401,12,FALSE)-AVERAGE(Rankings!W$2:W$651))/STDEV(Rankings!W$2:W$651)</f>
        <v>-0.19513054462027915</v>
      </c>
      <c r="Q86" s="157">
        <f>(VLOOKUP($A86,Hitters!$A$1:$R$401,13,FALSE)-AVERAGE(Rankings!X$2:X$651))/STDEV(Rankings!X$2:X$651)</f>
        <v>-0.58870135533729895</v>
      </c>
      <c r="R86" s="118">
        <f>(VLOOKUP($A86,Hitters!$A1:$R401,16,FALSE)-AVERAGE(Rankings!Y2:Y651))/STDEV(Rankings!Y2:Y651)</f>
        <v>-1.4799905916288068</v>
      </c>
      <c r="S86" s="118">
        <f>(VLOOKUP($A86,Hitters!$A1:$R401,17,FALSE)-AVERAGE(Rankings!Z2:Z651))/STDEV(Rankings!Z2:Z651)</f>
        <v>-0.96958668046577512</v>
      </c>
      <c r="T86" s="118">
        <f>IFERROR((VLOOKUP($A86,Hitters!$A1:$R401,18,FALSE)-AVERAGE(Rankings!AA2:AA651))/STDEV(Rankings!AA2:AA651),0)</f>
        <v>0</v>
      </c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ht="18.600000000000001" customHeight="1">
      <c r="A87" s="26" t="s">
        <v>617</v>
      </c>
      <c r="B87" s="27" t="s">
        <v>123</v>
      </c>
      <c r="C87" s="119" t="s">
        <v>11</v>
      </c>
      <c r="D87" s="67">
        <f>(F87*Settings!$C$2)+(G87*Settings!$C$3)+(H87*Settings!$C$4)+(I87*Settings!$C$5)+(J87*Settings!$C$6)+(M87*Settings!$C$9)+(N87*Settings!$C$10)+(O87*Settings!$C$11)+(P87*Settings!$C$12)+(Q87*Settings!$C$13)+(T87*Settings!$C$16)+(K87*Settings!$C$7)+(L87*Settings!$C$8)+(R87*Settings!$C$14)+(S87*Settings!$C$15)</f>
        <v>-1.85267460618103</v>
      </c>
      <c r="E87" s="67"/>
      <c r="F87" s="118">
        <f>(VLOOKUP($A87,Hitters!$A1:$R401,4,FALSE)-AVERAGE(Rankings!M2:M651))/STDEV(Rankings!M2:M651)</f>
        <v>-0.48767183979830753</v>
      </c>
      <c r="G87" s="118">
        <f>(VLOOKUP($A87,Hitters!$A1:$R401,5,FALSE)-AVERAGE(Rankings!N2:N651))/STDEV(Rankings!N2:N651)</f>
        <v>-0.42177304399037863</v>
      </c>
      <c r="H87" s="118">
        <f>(VLOOKUP($A87,Hitters!$A1:$R401,6,FALSE)-AVERAGE(Rankings!O2:O651))/STDEV(Rankings!O2:O651)</f>
        <v>0.14478148562607154</v>
      </c>
      <c r="I87" s="118">
        <f>(VLOOKUP($A87,Hitters!$A1:$R401,7,FALSE)-AVERAGE(Rankings!P2:P651))/STDEV(Rankings!P2:P651)</f>
        <v>-0.2467794632840761</v>
      </c>
      <c r="J87" s="118">
        <f>(VLOOKUP($A87,Hitters!$A1:$R401,8,FALSE)-AVERAGE(Rankings!Q2:Q651))/STDEV(Rankings!Q2:Q651)</f>
        <v>-0.63632702161882637</v>
      </c>
      <c r="K87" s="157">
        <f>(VLOOKUP($A87,Hitters!$A$1:$R$401,14,FALSE)-AVERAGE(Rankings!R$2:R$651))/STDEV(Rankings!R$2:R$651)</f>
        <v>-0.69257656291382053</v>
      </c>
      <c r="L87" s="157">
        <f>(VLOOKUP($A87,Hitters!$A$1:$R$401,15,FALSE)-AVERAGE(Rankings!S$2:S$651))/STDEV(Rankings!S$2:S$651)</f>
        <v>-0.77979110000430074</v>
      </c>
      <c r="M87" s="157">
        <f>(VLOOKUP($A87,Hitters!$A$1:$R$401,9,FALSE)-AVERAGE(Rankings!T$2:T$651))/STDEV(Rankings!T$2:T$651)</f>
        <v>-0.57671308610231131</v>
      </c>
      <c r="N87" s="157">
        <f>(VLOOKUP($A87,Hitters!$A$1:$R$401,10,FALSE)-AVERAGE(Rankings!U$2:U$651))/STDEV(Rankings!U$2:U$651)</f>
        <v>-0.63393701661889146</v>
      </c>
      <c r="O87" s="157">
        <f>(VLOOKUP($A87,Hitters!$A$1:$R$401,11,FALSE)-AVERAGE(Rankings!V$2:V$651))/STDEV(Rankings!V$2:V$651)</f>
        <v>-0.56548776501427001</v>
      </c>
      <c r="P87" s="157">
        <f>(VLOOKUP($A87,Hitters!$A$1:$R$401,12,FALSE)-AVERAGE(Rankings!W$2:W$651))/STDEV(Rankings!W$2:W$651)</f>
        <v>-0.54212989962830593</v>
      </c>
      <c r="Q87" s="157">
        <f>(VLOOKUP($A87,Hitters!$A$1:$R$401,13,FALSE)-AVERAGE(Rankings!X$2:X$651))/STDEV(Rankings!X$2:X$651)</f>
        <v>0.42043107077145164</v>
      </c>
      <c r="R87" s="118">
        <f>(VLOOKUP($A87,Hitters!$A1:$R401,16,FALSE)-AVERAGE(Rankings!Y2:Y651))/STDEV(Rankings!Y2:Y651)</f>
        <v>0.3934283693817196</v>
      </c>
      <c r="S87" s="118">
        <f>(VLOOKUP($A87,Hitters!$A1:$R401,17,FALSE)-AVERAGE(Rankings!Z2:Z651))/STDEV(Rankings!Z2:Z651)</f>
        <v>-5.8819767528223502E-3</v>
      </c>
      <c r="T87" s="118">
        <f>IFERROR((VLOOKUP($A87,Hitters!$A1:$R401,18,FALSE)-AVERAGE(Rankings!AA2:AA651))/STDEV(Rankings!AA2:AA651),0)</f>
        <v>0</v>
      </c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ht="18.600000000000001" customHeight="1">
      <c r="A88" s="26" t="s">
        <v>635</v>
      </c>
      <c r="B88" s="27" t="s">
        <v>101</v>
      </c>
      <c r="C88" s="119" t="s">
        <v>11</v>
      </c>
      <c r="D88" s="67">
        <f>(F88*Settings!$C$2)+(G88*Settings!$C$3)+(H88*Settings!$C$4)+(I88*Settings!$C$5)+(J88*Settings!$C$6)+(M88*Settings!$C$9)+(N88*Settings!$C$10)+(O88*Settings!$C$11)+(P88*Settings!$C$12)+(Q88*Settings!$C$13)+(T88*Settings!$C$16)+(K88*Settings!$C$7)+(L88*Settings!$C$8)+(R88*Settings!$C$14)+(S88*Settings!$C$15)</f>
        <v>-3.0993179536426099</v>
      </c>
      <c r="E88" s="67"/>
      <c r="F88" s="118">
        <f>(VLOOKUP($A88,Hitters!$A1:$R401,4,FALSE)-AVERAGE(Rankings!M2:M651))/STDEV(Rankings!M2:M651)</f>
        <v>-0.8820939068212289</v>
      </c>
      <c r="G88" s="118">
        <f>(VLOOKUP($A88,Hitters!$A1:$R401,5,FALSE)-AVERAGE(Rankings!N2:N651))/STDEV(Rankings!N2:N651)</f>
        <v>-0.84867173663271656</v>
      </c>
      <c r="H88" s="118">
        <f>(VLOOKUP($A88,Hitters!$A1:$R401,6,FALSE)-AVERAGE(Rankings!O2:O651))/STDEV(Rankings!O2:O651)</f>
        <v>-0.77255077947255091</v>
      </c>
      <c r="I88" s="118">
        <f>(VLOOKUP($A88,Hitters!$A1:$R401,7,FALSE)-AVERAGE(Rankings!P2:P651))/STDEV(Rankings!P2:P651)</f>
        <v>-0.780597952312028</v>
      </c>
      <c r="J88" s="118">
        <f>(VLOOKUP($A88,Hitters!$A1:$R401,8,FALSE)-AVERAGE(Rankings!Q2:Q651))/STDEV(Rankings!Q2:Q651)</f>
        <v>-0.72835132135262404</v>
      </c>
      <c r="K88" s="157">
        <f>(VLOOKUP($A88,Hitters!$A$1:$R$401,14,FALSE)-AVERAGE(Rankings!R$2:R$651))/STDEV(Rankings!R$2:R$651)</f>
        <v>3.0853836127309683E-2</v>
      </c>
      <c r="L88" s="157">
        <f>(VLOOKUP($A88,Hitters!$A$1:$R$401,15,FALSE)-AVERAGE(Rankings!S$2:S$651))/STDEV(Rankings!S$2:S$651)</f>
        <v>-8.0738822806643046E-2</v>
      </c>
      <c r="M88" s="157">
        <f>(VLOOKUP($A88,Hitters!$A$1:$R$401,9,FALSE)-AVERAGE(Rankings!T$2:T$651))/STDEV(Rankings!T$2:T$651)</f>
        <v>-0.80348467467858231</v>
      </c>
      <c r="N88" s="157">
        <f>(VLOOKUP($A88,Hitters!$A$1:$R$401,10,FALSE)-AVERAGE(Rankings!U$2:U$651))/STDEV(Rankings!U$2:U$651)</f>
        <v>-0.77966578982130841</v>
      </c>
      <c r="O88" s="157">
        <f>(VLOOKUP($A88,Hitters!$A$1:$R$401,11,FALSE)-AVERAGE(Rankings!V$2:V$651))/STDEV(Rankings!V$2:V$651)</f>
        <v>-0.54903499490989693</v>
      </c>
      <c r="P88" s="157">
        <f>(VLOOKUP($A88,Hitters!$A$1:$R$401,12,FALSE)-AVERAGE(Rankings!W$2:W$651))/STDEV(Rankings!W$2:W$651)</f>
        <v>-0.70466630092542448</v>
      </c>
      <c r="Q88" s="157">
        <f>(VLOOKUP($A88,Hitters!$A$1:$R$401,13,FALSE)-AVERAGE(Rankings!X$2:X$651))/STDEV(Rankings!X$2:X$651)</f>
        <v>-0.69899216413511345</v>
      </c>
      <c r="R88" s="118">
        <f>(VLOOKUP($A88,Hitters!$A1:$R401,16,FALSE)-AVERAGE(Rankings!Y2:Y651))/STDEV(Rankings!Y2:Y651)</f>
        <v>-0.42134469141258868</v>
      </c>
      <c r="S88" s="118">
        <f>(VLOOKUP($A88,Hitters!$A1:$R401,17,FALSE)-AVERAGE(Rankings!Z2:Z651))/STDEV(Rankings!Z2:Z651)</f>
        <v>-0.3384226450862402</v>
      </c>
      <c r="T88" s="118">
        <f>IFERROR((VLOOKUP($A88,Hitters!$A1:$R401,18,FALSE)-AVERAGE(Rankings!AA2:AA651))/STDEV(Rankings!AA2:AA651),0)</f>
        <v>0</v>
      </c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ht="18.600000000000001" customHeight="1">
      <c r="A89" s="26" t="s">
        <v>639</v>
      </c>
      <c r="B89" s="27" t="s">
        <v>140</v>
      </c>
      <c r="C89" s="119" t="s">
        <v>11</v>
      </c>
      <c r="D89" s="67">
        <f>(F89*Settings!$C$2)+(G89*Settings!$C$3)+(H89*Settings!$C$4)+(I89*Settings!$C$5)+(J89*Settings!$C$6)+(M89*Settings!$C$9)+(N89*Settings!$C$10)+(O89*Settings!$C$11)+(P89*Settings!$C$12)+(Q89*Settings!$C$13)+(T89*Settings!$C$16)+(K89*Settings!$C$7)+(L89*Settings!$C$8)+(R89*Settings!$C$14)+(S89*Settings!$C$15)</f>
        <v>-1.6289227793632748</v>
      </c>
      <c r="E89" s="67"/>
      <c r="F89" s="118">
        <f>(VLOOKUP($A89,Hitters!$A1:$R401,4,FALSE)-AVERAGE(Rankings!M2:M651))/STDEV(Rankings!M2:M651)</f>
        <v>2.1044545473477002E-2</v>
      </c>
      <c r="G89" s="118">
        <f>(VLOOKUP($A89,Hitters!$A1:$R401,5,FALSE)-AVERAGE(Rankings!N2:N651))/STDEV(Rankings!N2:N651)</f>
        <v>-0.42679344259716639</v>
      </c>
      <c r="H89" s="118">
        <f>(VLOOKUP($A89,Hitters!$A1:$R401,6,FALSE)-AVERAGE(Rankings!O2:O651))/STDEV(Rankings!O2:O651)</f>
        <v>-0.25937690165483135</v>
      </c>
      <c r="I89" s="118">
        <f>(VLOOKUP($A89,Hitters!$A1:$R401,7,FALSE)-AVERAGE(Rankings!P2:P651))/STDEV(Rankings!P2:P651)</f>
        <v>-0.12145358825255366</v>
      </c>
      <c r="J89" s="118">
        <f>(VLOOKUP($A89,Hitters!$A1:$R401,8,FALSE)-AVERAGE(Rankings!Q2:Q651))/STDEV(Rankings!Q2:Q651)</f>
        <v>-0.68495259824236487</v>
      </c>
      <c r="K89" s="157">
        <f>(VLOOKUP($A89,Hitters!$A$1:$R$401,14,FALSE)-AVERAGE(Rankings!R$2:R$651))/STDEV(Rankings!R$2:R$651)</f>
        <v>-0.1363462486163585</v>
      </c>
      <c r="L89" s="157">
        <f>(VLOOKUP($A89,Hitters!$A$1:$R$401,15,FALSE)-AVERAGE(Rankings!S$2:S$651))/STDEV(Rankings!S$2:S$651)</f>
        <v>-0.86601893283659481</v>
      </c>
      <c r="M89" s="157">
        <f>(VLOOKUP($A89,Hitters!$A$1:$R$401,9,FALSE)-AVERAGE(Rankings!T$2:T$651))/STDEV(Rankings!T$2:T$651)</f>
        <v>-4.4029754796344779E-2</v>
      </c>
      <c r="N89" s="157">
        <f>(VLOOKUP($A89,Hitters!$A$1:$R$401,10,FALSE)-AVERAGE(Rankings!U$2:U$651))/STDEV(Rankings!U$2:U$651)</f>
        <v>0.14189658008570624</v>
      </c>
      <c r="O89" s="157">
        <f>(VLOOKUP($A89,Hitters!$A$1:$R$401,11,FALSE)-AVERAGE(Rankings!V$2:V$651))/STDEV(Rankings!V$2:V$651)</f>
        <v>-0.56358019746593702</v>
      </c>
      <c r="P89" s="157">
        <f>(VLOOKUP($A89,Hitters!$A$1:$R$401,12,FALSE)-AVERAGE(Rankings!W$2:W$651))/STDEV(Rankings!W$2:W$651)</f>
        <v>-0.62691256896162884</v>
      </c>
      <c r="Q89" s="157">
        <f>(VLOOKUP($A89,Hitters!$A$1:$R$401,13,FALSE)-AVERAGE(Rankings!X$2:X$651))/STDEV(Rankings!X$2:X$651)</f>
        <v>-0.58965050171249478</v>
      </c>
      <c r="R89" s="118">
        <f>(VLOOKUP($A89,Hitters!$A1:$R401,16,FALSE)-AVERAGE(Rankings!Y2:Y651))/STDEV(Rankings!Y2:Y651)</f>
        <v>-0.34905440060126053</v>
      </c>
      <c r="S89" s="118">
        <f>(VLOOKUP($A89,Hitters!$A1:$R401,17,FALSE)-AVERAGE(Rankings!Z2:Z651))/STDEV(Rankings!Z2:Z651)</f>
        <v>-0.58116581980593773</v>
      </c>
      <c r="T89" s="118">
        <f>IFERROR((VLOOKUP($A89,Hitters!$A1:$R401,18,FALSE)-AVERAGE(Rankings!AA2:AA651))/STDEV(Rankings!AA2:AA651),0)</f>
        <v>0</v>
      </c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ht="18.600000000000001" customHeight="1">
      <c r="A90" s="26" t="s">
        <v>622</v>
      </c>
      <c r="B90" s="27" t="s">
        <v>71</v>
      </c>
      <c r="C90" s="119" t="s">
        <v>11</v>
      </c>
      <c r="D90" s="67">
        <f>(F90*Settings!$C$2)+(G90*Settings!$C$3)+(H90*Settings!$C$4)+(I90*Settings!$C$5)+(J90*Settings!$C$6)+(M90*Settings!$C$9)+(N90*Settings!$C$10)+(O90*Settings!$C$11)+(P90*Settings!$C$12)+(Q90*Settings!$C$13)+(T90*Settings!$C$16)+(K90*Settings!$C$7)+(L90*Settings!$C$8)+(R90*Settings!$C$14)+(S90*Settings!$C$15)</f>
        <v>-2.6442413476237698</v>
      </c>
      <c r="E90" s="67"/>
      <c r="F90" s="118">
        <f>(VLOOKUP($A90,Hitters!$A1:$R401,4,FALSE)-AVERAGE(Rankings!M2:M651))/STDEV(Rankings!M2:M651)</f>
        <v>-1.0143424240188141</v>
      </c>
      <c r="G90" s="118">
        <f>(VLOOKUP($A90,Hitters!$A1:$R401,5,FALSE)-AVERAGE(Rankings!N2:N651))/STDEV(Rankings!N2:N651)</f>
        <v>-0.71559314023006071</v>
      </c>
      <c r="H90" s="118">
        <f>(VLOOKUP($A90,Hitters!$A1:$R401,6,FALSE)-AVERAGE(Rankings!O2:O651))/STDEV(Rankings!O2:O651)</f>
        <v>-0.66827206424340413</v>
      </c>
      <c r="I90" s="118">
        <f>(VLOOKUP($A90,Hitters!$A1:$R401,7,FALSE)-AVERAGE(Rankings!P2:P651))/STDEV(Rankings!P2:P651)</f>
        <v>-1.027037388744342</v>
      </c>
      <c r="J90" s="118">
        <f>(VLOOKUP($A90,Hitters!$A1:$R401,8,FALSE)-AVERAGE(Rankings!Q2:Q651))/STDEV(Rankings!Q2:Q651)</f>
        <v>1.7933679145540713</v>
      </c>
      <c r="K90" s="157">
        <f>(VLOOKUP($A90,Hitters!$A$1:$R$401,14,FALSE)-AVERAGE(Rankings!R$2:R$651))/STDEV(Rankings!R$2:R$651)</f>
        <v>-2.0267066689600344</v>
      </c>
      <c r="L90" s="157">
        <f>(VLOOKUP($A90,Hitters!$A$1:$R$401,15,FALSE)-AVERAGE(Rankings!S$2:S$651))/STDEV(Rankings!S$2:S$651)</f>
        <v>-0.79276525554007826</v>
      </c>
      <c r="M90" s="157">
        <f>(VLOOKUP($A90,Hitters!$A$1:$R$401,9,FALSE)-AVERAGE(Rankings!T$2:T$651))/STDEV(Rankings!T$2:T$651)</f>
        <v>-1.1858106994845039</v>
      </c>
      <c r="N90" s="157">
        <f>(VLOOKUP($A90,Hitters!$A$1:$R$401,10,FALSE)-AVERAGE(Rankings!U$2:U$651))/STDEV(Rankings!U$2:U$651)</f>
        <v>-1.0193437229130777</v>
      </c>
      <c r="O90" s="157">
        <f>(VLOOKUP($A90,Hitters!$A$1:$R$401,11,FALSE)-AVERAGE(Rankings!V$2:V$651))/STDEV(Rankings!V$2:V$651)</f>
        <v>-0.40096006397053857</v>
      </c>
      <c r="P90" s="157">
        <f>(VLOOKUP($A90,Hitters!$A$1:$R$401,12,FALSE)-AVERAGE(Rankings!W$2:W$651))/STDEV(Rankings!W$2:W$651)</f>
        <v>-0.35757364143904102</v>
      </c>
      <c r="Q90" s="157">
        <f>(VLOOKUP($A90,Hitters!$A$1:$R$401,13,FALSE)-AVERAGE(Rankings!X$2:X$651))/STDEV(Rankings!X$2:X$651)</f>
        <v>-0.33784196837290581</v>
      </c>
      <c r="R90" s="118">
        <f>(VLOOKUP($A90,Hitters!$A1:$R401,16,FALSE)-AVERAGE(Rankings!Y2:Y651))/STDEV(Rankings!Y2:Y651)</f>
        <v>-1.0162585276904108</v>
      </c>
      <c r="S90" s="118">
        <f>(VLOOKUP($A90,Hitters!$A1:$R401,17,FALSE)-AVERAGE(Rankings!Z2:Z651))/STDEV(Rankings!Z2:Z651)</f>
        <v>-1.0413819006923284</v>
      </c>
      <c r="T90" s="118">
        <f>IFERROR((VLOOKUP($A90,Hitters!$A1:$R401,18,FALSE)-AVERAGE(Rankings!AA2:AA651))/STDEV(Rankings!AA2:AA651),0)</f>
        <v>0</v>
      </c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ht="18.600000000000001" customHeight="1">
      <c r="A91" s="26" t="s">
        <v>664</v>
      </c>
      <c r="B91" s="27" t="s">
        <v>84</v>
      </c>
      <c r="C91" s="119" t="s">
        <v>11</v>
      </c>
      <c r="D91" s="67">
        <f>(F91*Settings!$C$2)+(G91*Settings!$C$3)+(H91*Settings!$C$4)+(I91*Settings!$C$5)+(J91*Settings!$C$6)+(M91*Settings!$C$9)+(N91*Settings!$C$10)+(O91*Settings!$C$11)+(P91*Settings!$C$12)+(Q91*Settings!$C$13)+(T91*Settings!$C$16)+(K91*Settings!$C$7)+(L91*Settings!$C$8)+(R91*Settings!$C$14)+(S91*Settings!$C$15)</f>
        <v>-2.2112405285821652</v>
      </c>
      <c r="E91" s="67"/>
      <c r="F91" s="118">
        <f>(VLOOKUP($A91,Hitters!$A1:$R401,4,FALSE)-AVERAGE(Rankings!M2:M651))/STDEV(Rankings!M2:M651)</f>
        <v>-0.29951183481570282</v>
      </c>
      <c r="G91" s="118">
        <f>(VLOOKUP($A91,Hitters!$A1:$R401,5,FALSE)-AVERAGE(Rankings!N2:N651))/STDEV(Rankings!N2:N651)</f>
        <v>-0.57370349071700766</v>
      </c>
      <c r="H91" s="118">
        <f>(VLOOKUP($A91,Hitters!$A1:$R401,6,FALSE)-AVERAGE(Rankings!O2:O651))/STDEV(Rankings!O2:O651)</f>
        <v>-1.4728272819432362</v>
      </c>
      <c r="I91" s="118">
        <f>(VLOOKUP($A91,Hitters!$A1:$R401,7,FALSE)-AVERAGE(Rankings!P2:P651))/STDEV(Rankings!P2:P651)</f>
        <v>-0.96294913664658144</v>
      </c>
      <c r="J91" s="118">
        <f>(VLOOKUP($A91,Hitters!$A1:$R401,8,FALSE)-AVERAGE(Rankings!Q2:Q651))/STDEV(Rankings!Q2:Q651)</f>
        <v>-8.9249687228918656E-2</v>
      </c>
      <c r="K91" s="157">
        <f>(VLOOKUP($A91,Hitters!$A$1:$R$401,14,FALSE)-AVERAGE(Rankings!R$2:R$651))/STDEV(Rankings!R$2:R$651)</f>
        <v>0.88748906795357885</v>
      </c>
      <c r="L91" s="157">
        <f>(VLOOKUP($A91,Hitters!$A$1:$R$401,15,FALSE)-AVERAGE(Rankings!S$2:S$651))/STDEV(Rankings!S$2:S$651)</f>
        <v>-0.32888215014610894</v>
      </c>
      <c r="M91" s="157">
        <f>(VLOOKUP($A91,Hitters!$A$1:$R$401,9,FALSE)-AVERAGE(Rankings!T$2:T$651))/STDEV(Rankings!T$2:T$651)</f>
        <v>-0.13961500532760152</v>
      </c>
      <c r="N91" s="157">
        <f>(VLOOKUP($A91,Hitters!$A$1:$R$401,10,FALSE)-AVERAGE(Rankings!U$2:U$651))/STDEV(Rankings!U$2:U$651)</f>
        <v>-0.37632985454060375</v>
      </c>
      <c r="O91" s="157">
        <f>(VLOOKUP($A91,Hitters!$A$1:$R$401,11,FALSE)-AVERAGE(Rankings!V$2:V$651))/STDEV(Rankings!V$2:V$651)</f>
        <v>2.2996823646496894E-2</v>
      </c>
      <c r="P91" s="157">
        <f>(VLOOKUP($A91,Hitters!$A$1:$R$401,12,FALSE)-AVERAGE(Rankings!W$2:W$651))/STDEV(Rankings!W$2:W$651)</f>
        <v>-0.96032057162238449</v>
      </c>
      <c r="Q91" s="157">
        <f>(VLOOKUP($A91,Hitters!$A$1:$R$401,13,FALSE)-AVERAGE(Rankings!X$2:X$651))/STDEV(Rankings!X$2:X$651)</f>
        <v>-1.6459555026685033</v>
      </c>
      <c r="R91" s="118">
        <f>(VLOOKUP($A91,Hitters!$A1:$R401,16,FALSE)-AVERAGE(Rankings!Y2:Y651))/STDEV(Rankings!Y2:Y651)</f>
        <v>-1.6070590139569862</v>
      </c>
      <c r="S91" s="118">
        <f>(VLOOKUP($A91,Hitters!$A1:$R401,17,FALSE)-AVERAGE(Rankings!Z2:Z651))/STDEV(Rankings!Z2:Z651)</f>
        <v>-1.2986992844591576</v>
      </c>
      <c r="T91" s="118">
        <f>IFERROR((VLOOKUP($A91,Hitters!$A1:$R401,18,FALSE)-AVERAGE(Rankings!AA2:AA651))/STDEV(Rankings!AA2:AA651),0)</f>
        <v>0</v>
      </c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</row>
    <row r="92" spans="1:37" ht="18.600000000000001" customHeight="1">
      <c r="A92" s="26" t="s">
        <v>691</v>
      </c>
      <c r="B92" s="27" t="s">
        <v>73</v>
      </c>
      <c r="C92" s="119" t="s">
        <v>11</v>
      </c>
      <c r="D92" s="67">
        <f>(F92*Settings!$C$2)+(G92*Settings!$C$3)+(H92*Settings!$C$4)+(I92*Settings!$C$5)+(J92*Settings!$C$6)+(M92*Settings!$C$9)+(N92*Settings!$C$10)+(O92*Settings!$C$11)+(P92*Settings!$C$12)+(Q92*Settings!$C$13)+(T92*Settings!$C$16)+(K92*Settings!$C$7)+(L92*Settings!$C$8)+(R92*Settings!$C$14)+(S92*Settings!$C$15)</f>
        <v>-3.0129091653439564</v>
      </c>
      <c r="E92" s="67"/>
      <c r="F92" s="118">
        <f>(VLOOKUP($A92,Hitters!$A1:$R401,4,FALSE)-AVERAGE(Rankings!M2:M651))/STDEV(Rankings!M2:M651)</f>
        <v>-0.97163255310785412</v>
      </c>
      <c r="G92" s="118">
        <f>(VLOOKUP($A92,Hitters!$A1:$R401,5,FALSE)-AVERAGE(Rankings!N2:N651))/STDEV(Rankings!N2:N651)</f>
        <v>-0.86612903178813738</v>
      </c>
      <c r="H92" s="118">
        <f>(VLOOKUP($A92,Hitters!$A1:$R401,6,FALSE)-AVERAGE(Rankings!O2:O651))/STDEV(Rankings!O2:O651)</f>
        <v>-0.64054799700145304</v>
      </c>
      <c r="I92" s="118">
        <f>(VLOOKUP($A92,Hitters!$A1:$R401,7,FALSE)-AVERAGE(Rankings!P2:P651))/STDEV(Rankings!P2:P651)</f>
        <v>-0.80417927303028647</v>
      </c>
      <c r="J92" s="118">
        <f>(VLOOKUP($A92,Hitters!$A1:$R401,8,FALSE)-AVERAGE(Rankings!Q2:Q651))/STDEV(Rankings!Q2:Q651)</f>
        <v>-0.67156868545836168</v>
      </c>
      <c r="K92" s="157">
        <f>(VLOOKUP($A92,Hitters!$A$1:$R$401,14,FALSE)-AVERAGE(Rankings!R$2:R$651))/STDEV(Rankings!R$2:R$651)</f>
        <v>-3.0484178065717713E-2</v>
      </c>
      <c r="L92" s="157">
        <f>(VLOOKUP($A92,Hitters!$A$1:$R$401,15,FALSE)-AVERAGE(Rankings!S$2:S$651))/STDEV(Rankings!S$2:S$651)</f>
        <v>-0.16504035295940878</v>
      </c>
      <c r="M92" s="157">
        <f>(VLOOKUP($A92,Hitters!$A$1:$R$401,9,FALSE)-AVERAGE(Rankings!T$2:T$651))/STDEV(Rankings!T$2:T$651)</f>
        <v>-0.89020335229938685</v>
      </c>
      <c r="N92" s="157">
        <f>(VLOOKUP($A92,Hitters!$A$1:$R$401,10,FALSE)-AVERAGE(Rankings!U$2:U$651))/STDEV(Rankings!U$2:U$651)</f>
        <v>-1.0718405053856019</v>
      </c>
      <c r="O92" s="157">
        <f>(VLOOKUP($A92,Hitters!$A$1:$R$401,11,FALSE)-AVERAGE(Rankings!V$2:V$651))/STDEV(Rankings!V$2:V$651)</f>
        <v>-1.3881262702329273</v>
      </c>
      <c r="P92" s="157">
        <f>(VLOOKUP($A92,Hitters!$A$1:$R$401,12,FALSE)-AVERAGE(Rankings!W$2:W$651))/STDEV(Rankings!W$2:W$651)</f>
        <v>-0.78285545378821741</v>
      </c>
      <c r="Q92" s="157">
        <f>(VLOOKUP($A92,Hitters!$A$1:$R$401,13,FALSE)-AVERAGE(Rankings!X$2:X$651))/STDEV(Rankings!X$2:X$651)</f>
        <v>-1.1193374554970668</v>
      </c>
      <c r="R92" s="118">
        <f>(VLOOKUP($A92,Hitters!$A1:$R401,16,FALSE)-AVERAGE(Rankings!Y2:Y651))/STDEV(Rankings!Y2:Y651)</f>
        <v>-0.39241979180119202</v>
      </c>
      <c r="S92" s="118">
        <f>(VLOOKUP($A92,Hitters!$A1:$R401,17,FALSE)-AVERAGE(Rankings!Z2:Z651))/STDEV(Rankings!Z2:Z651)</f>
        <v>-0.34900846412037262</v>
      </c>
      <c r="T92" s="118">
        <f>IFERROR((VLOOKUP($A92,Hitters!$A1:$R401,18,FALSE)-AVERAGE(Rankings!AA2:AA651))/STDEV(Rankings!AA2:AA651),0)</f>
        <v>0</v>
      </c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</row>
    <row r="93" spans="1:37" ht="18.600000000000001" customHeight="1">
      <c r="A93" s="26" t="s">
        <v>709</v>
      </c>
      <c r="B93" s="27" t="s">
        <v>114</v>
      </c>
      <c r="C93" s="119" t="s">
        <v>11</v>
      </c>
      <c r="D93" s="67">
        <f>(F93*Settings!$C$2)+(G93*Settings!$C$3)+(H93*Settings!$C$4)+(I93*Settings!$C$5)+(J93*Settings!$C$6)+(M93*Settings!$C$9)+(N93*Settings!$C$10)+(O93*Settings!$C$11)+(P93*Settings!$C$12)+(Q93*Settings!$C$13)+(T93*Settings!$C$16)+(K93*Settings!$C$7)+(L93*Settings!$C$8)+(R93*Settings!$C$14)+(S93*Settings!$C$15)</f>
        <v>-5.8277739800140385</v>
      </c>
      <c r="E93" s="67"/>
      <c r="F93" s="118">
        <f>(VLOOKUP($A93,Hitters!$A1:$R401,4,FALSE)-AVERAGE(Rankings!M2:M651))/STDEV(Rankings!M2:M651)</f>
        <v>-1.7945262973952731</v>
      </c>
      <c r="G93" s="118">
        <f>(VLOOKUP($A93,Hitters!$A1:$R401,5,FALSE)-AVERAGE(Rankings!N2:N651))/STDEV(Rankings!N2:N651)</f>
        <v>-1.5712668361051521</v>
      </c>
      <c r="H93" s="118">
        <f>(VLOOKUP($A93,Hitters!$A1:$R401,6,FALSE)-AVERAGE(Rankings!O2:O651))/STDEV(Rankings!O2:O651)</f>
        <v>-1.1585283085872498</v>
      </c>
      <c r="I93" s="118">
        <f>(VLOOKUP($A93,Hitters!$A1:$R401,7,FALSE)-AVERAGE(Rankings!P2:P651))/STDEV(Rankings!P2:P651)</f>
        <v>-1.5670279989532734</v>
      </c>
      <c r="J93" s="118">
        <f>(VLOOKUP($A93,Hitters!$A1:$R401,8,FALSE)-AVERAGE(Rankings!Q2:Q651))/STDEV(Rankings!Q2:Q651)</f>
        <v>-0.51381274305756597</v>
      </c>
      <c r="K93" s="157">
        <f>(VLOOKUP($A93,Hitters!$A$1:$R$401,14,FALSE)-AVERAGE(Rankings!R$2:R$651))/STDEV(Rankings!R$2:R$651)</f>
        <v>-1.0171380933107974</v>
      </c>
      <c r="L93" s="157">
        <f>(VLOOKUP($A93,Hitters!$A$1:$R$401,15,FALSE)-AVERAGE(Rankings!S$2:S$651))/STDEV(Rankings!S$2:S$651)</f>
        <v>-1.4373517295182692</v>
      </c>
      <c r="M93" s="157">
        <f>(VLOOKUP($A93,Hitters!$A$1:$R$401,9,FALSE)-AVERAGE(Rankings!T$2:T$651))/STDEV(Rankings!T$2:T$651)</f>
        <v>-1.6845554256974236</v>
      </c>
      <c r="N93" s="157">
        <f>(VLOOKUP($A93,Hitters!$A$1:$R$401,10,FALSE)-AVERAGE(Rankings!U$2:U$651))/STDEV(Rankings!U$2:U$651)</f>
        <v>-1.5996052898327398</v>
      </c>
      <c r="O93" s="157">
        <f>(VLOOKUP($A93,Hitters!$A$1:$R$401,11,FALSE)-AVERAGE(Rankings!V$2:V$651))/STDEV(Rankings!V$2:V$651)</f>
        <v>-1.2278905961729454</v>
      </c>
      <c r="P93" s="157">
        <f>(VLOOKUP($A93,Hitters!$A$1:$R$401,12,FALSE)-AVERAGE(Rankings!W$2:W$651))/STDEV(Rankings!W$2:W$651)</f>
        <v>-1.4628584920507886</v>
      </c>
      <c r="Q93" s="157">
        <f>(VLOOKUP($A93,Hitters!$A$1:$R$401,13,FALSE)-AVERAGE(Rankings!X$2:X$651))/STDEV(Rankings!X$2:X$651)</f>
        <v>-1.2759149691919565</v>
      </c>
      <c r="R93" s="118">
        <f>(VLOOKUP($A93,Hitters!$A1:$R401,16,FALSE)-AVERAGE(Rankings!Y2:Y651))/STDEV(Rankings!Y2:Y651)</f>
        <v>-0.89622044631059683</v>
      </c>
      <c r="S93" s="118">
        <f>(VLOOKUP($A93,Hitters!$A1:$R401,17,FALSE)-AVERAGE(Rankings!Z2:Z651))/STDEV(Rankings!Z2:Z651)</f>
        <v>-1.1962571160564042</v>
      </c>
      <c r="T93" s="118">
        <f>IFERROR((VLOOKUP($A93,Hitters!$A1:$R401,18,FALSE)-AVERAGE(Rankings!AA2:AA651))/STDEV(Rankings!AA2:AA651),0)</f>
        <v>0</v>
      </c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</row>
    <row r="94" spans="1:37" ht="18.600000000000001" customHeight="1">
      <c r="A94" s="26" t="s">
        <v>711</v>
      </c>
      <c r="B94" s="27" t="s">
        <v>91</v>
      </c>
      <c r="C94" s="119" t="s">
        <v>11</v>
      </c>
      <c r="D94" s="67">
        <f>(F94*Settings!$C$2)+(G94*Settings!$C$3)+(H94*Settings!$C$4)+(I94*Settings!$C$5)+(J94*Settings!$C$6)+(M94*Settings!$C$9)+(N94*Settings!$C$10)+(O94*Settings!$C$11)+(P94*Settings!$C$12)+(Q94*Settings!$C$13)+(T94*Settings!$C$16)+(K94*Settings!$C$7)+(L94*Settings!$C$8)+(R94*Settings!$C$14)+(S94*Settings!$C$15)</f>
        <v>-4.4086572470344176</v>
      </c>
      <c r="E94" s="67"/>
      <c r="F94" s="118">
        <f>(VLOOKUP($A94,Hitters!$A1:$R401,4,FALSE)-AVERAGE(Rankings!M2:M651))/STDEV(Rankings!M2:M651)</f>
        <v>-1.5127087416613354</v>
      </c>
      <c r="G94" s="118">
        <f>(VLOOKUP($A94,Hitters!$A1:$R401,5,FALSE)-AVERAGE(Rankings!N2:N651))/STDEV(Rankings!N2:N651)</f>
        <v>-1.2999371114019385</v>
      </c>
      <c r="H94" s="118">
        <f>(VLOOKUP($A94,Hitters!$A1:$R401,6,FALSE)-AVERAGE(Rankings!O2:O651))/STDEV(Rankings!O2:O651)</f>
        <v>-1.2305551566479966</v>
      </c>
      <c r="I94" s="118">
        <f>(VLOOKUP($A94,Hitters!$A1:$R401,7,FALSE)-AVERAGE(Rankings!P2:P651))/STDEV(Rankings!P2:P651)</f>
        <v>-1.3651423692314955</v>
      </c>
      <c r="J94" s="118">
        <f>(VLOOKUP($A94,Hitters!$A1:$R401,8,FALSE)-AVERAGE(Rankings!Q2:Q651))/STDEV(Rankings!Q2:Q651)</f>
        <v>-0.39335752800153667</v>
      </c>
      <c r="K94" s="157">
        <f>(VLOOKUP($A94,Hitters!$A$1:$R$401,14,FALSE)-AVERAGE(Rankings!R$2:R$651))/STDEV(Rankings!R$2:R$651)</f>
        <v>-0.11966508175145059</v>
      </c>
      <c r="L94" s="157">
        <f>(VLOOKUP($A94,Hitters!$A$1:$R$401,15,FALSE)-AVERAGE(Rankings!S$2:S$651))/STDEV(Rankings!S$2:S$651)</f>
        <v>-1.3693388875546273</v>
      </c>
      <c r="M94" s="157">
        <f>(VLOOKUP($A94,Hitters!$A$1:$R$401,9,FALSE)-AVERAGE(Rankings!T$2:T$651))/STDEV(Rankings!T$2:T$651)</f>
        <v>-1.371469547116196</v>
      </c>
      <c r="N94" s="157">
        <f>(VLOOKUP($A94,Hitters!$A$1:$R$401,10,FALSE)-AVERAGE(Rankings!U$2:U$651))/STDEV(Rankings!U$2:U$651)</f>
        <v>-1.4862208457220012</v>
      </c>
      <c r="O94" s="157">
        <f>(VLOOKUP($A94,Hitters!$A$1:$R$401,11,FALSE)-AVERAGE(Rankings!V$2:V$651))/STDEV(Rankings!V$2:V$651)</f>
        <v>0.25953519963980376</v>
      </c>
      <c r="P94" s="157">
        <f>(VLOOKUP($A94,Hitters!$A$1:$R$401,12,FALSE)-AVERAGE(Rankings!W$2:W$651))/STDEV(Rankings!W$2:W$651)</f>
        <v>-1.5460860867448352</v>
      </c>
      <c r="Q94" s="157">
        <f>(VLOOKUP($A94,Hitters!$A$1:$R$401,13,FALSE)-AVERAGE(Rankings!X$2:X$651))/STDEV(Rankings!X$2:X$651)</f>
        <v>-1.3529540166453928</v>
      </c>
      <c r="R94" s="118">
        <f>(VLOOKUP($A94,Hitters!$A1:$R401,16,FALSE)-AVERAGE(Rankings!Y2:Y651))/STDEV(Rankings!Y2:Y651)</f>
        <v>-0.82994833364118137</v>
      </c>
      <c r="S94" s="118">
        <f>(VLOOKUP($A94,Hitters!$A1:$R401,17,FALSE)-AVERAGE(Rankings!Z2:Z651))/STDEV(Rankings!Z2:Z651)</f>
        <v>-1.1222045294172502</v>
      </c>
      <c r="T94" s="118">
        <f>IFERROR((VLOOKUP($A94,Hitters!$A1:$R401,18,FALSE)-AVERAGE(Rankings!AA2:AA651))/STDEV(Rankings!AA2:AA651),0)</f>
        <v>0</v>
      </c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spans="1:37" ht="18.600000000000001" customHeight="1">
      <c r="A95" s="26" t="s">
        <v>712</v>
      </c>
      <c r="B95" s="27" t="s">
        <v>258</v>
      </c>
      <c r="C95" s="119" t="s">
        <v>11</v>
      </c>
      <c r="D95" s="67">
        <f>(F95*Settings!$C$2)+(G95*Settings!$C$3)+(H95*Settings!$C$4)+(I95*Settings!$C$5)+(J95*Settings!$C$6)+(M95*Settings!$C$9)+(N95*Settings!$C$10)+(O95*Settings!$C$11)+(P95*Settings!$C$12)+(Q95*Settings!$C$13)+(T95*Settings!$C$16)+(K95*Settings!$C$7)+(L95*Settings!$C$8)+(R95*Settings!$C$14)+(S95*Settings!$C$15)</f>
        <v>-4.7870770927063528</v>
      </c>
      <c r="E95" s="67"/>
      <c r="F95" s="118">
        <f>(VLOOKUP($A95,Hitters!$A1:$R401,4,FALSE)-AVERAGE(Rankings!M2:M651))/STDEV(Rankings!M2:M651)</f>
        <v>-1.4495944517098285</v>
      </c>
      <c r="G95" s="118">
        <f>(VLOOKUP($A95,Hitters!$A1:$R401,5,FALSE)-AVERAGE(Rankings!N2:N651))/STDEV(Rankings!N2:N651)</f>
        <v>-1.3090143977717872</v>
      </c>
      <c r="H95" s="118">
        <f>(VLOOKUP($A95,Hitters!$A1:$R401,6,FALSE)-AVERAGE(Rankings!O2:O651))/STDEV(Rankings!O2:O651)</f>
        <v>-1.3871473756427346</v>
      </c>
      <c r="I95" s="118">
        <f>(VLOOKUP($A95,Hitters!$A1:$R401,7,FALSE)-AVERAGE(Rankings!P2:P651))/STDEV(Rankings!P2:P651)</f>
        <v>-1.5173965090443646</v>
      </c>
      <c r="J95" s="118">
        <f>(VLOOKUP($A95,Hitters!$A1:$R401,8,FALSE)-AVERAGE(Rankings!Q2:Q651))/STDEV(Rankings!Q2:Q651)</f>
        <v>-0.58793902924589159</v>
      </c>
      <c r="K95" s="157">
        <f>(VLOOKUP($A95,Hitters!$A$1:$R$401,14,FALSE)-AVERAGE(Rankings!R$2:R$651))/STDEV(Rankings!R$2:R$651)</f>
        <v>1.4420218998425017E-2</v>
      </c>
      <c r="L95" s="157">
        <f>(VLOOKUP($A95,Hitters!$A$1:$R$401,15,FALSE)-AVERAGE(Rankings!S$2:S$651))/STDEV(Rankings!S$2:S$651)</f>
        <v>-6.247945524763341E-2</v>
      </c>
      <c r="M95" s="157">
        <f>(VLOOKUP($A95,Hitters!$A$1:$R$401,9,FALSE)-AVERAGE(Rankings!T$2:T$651))/STDEV(Rankings!T$2:T$651)</f>
        <v>-1.3033227451862026</v>
      </c>
      <c r="N95" s="157">
        <f>(VLOOKUP($A95,Hitters!$A$1:$R$401,10,FALSE)-AVERAGE(Rankings!U$2:U$651))/STDEV(Rankings!U$2:U$651)</f>
        <v>-1.3980090391083335</v>
      </c>
      <c r="O95" s="157">
        <f>(VLOOKUP($A95,Hitters!$A$1:$R$401,11,FALSE)-AVERAGE(Rankings!V$2:V$651))/STDEV(Rankings!V$2:V$651)</f>
        <v>-0.2335710116043076</v>
      </c>
      <c r="P95" s="157">
        <f>(VLOOKUP($A95,Hitters!$A$1:$R$401,12,FALSE)-AVERAGE(Rankings!W$2:W$651))/STDEV(Rankings!W$2:W$651)</f>
        <v>-1.0627066858723104</v>
      </c>
      <c r="Q95" s="157">
        <f>(VLOOKUP($A95,Hitters!$A$1:$R$401,13,FALSE)-AVERAGE(Rankings!X$2:X$651))/STDEV(Rankings!X$2:X$651)</f>
        <v>-1.5211427543301845</v>
      </c>
      <c r="R95" s="118">
        <f>(VLOOKUP($A95,Hitters!$A1:$R401,16,FALSE)-AVERAGE(Rankings!Y2:Y651))/STDEV(Rankings!Y2:Y651)</f>
        <v>-1.4046031539265293</v>
      </c>
      <c r="S95" s="118">
        <f>(VLOOKUP($A95,Hitters!$A1:$R401,17,FALSE)-AVERAGE(Rankings!Z2:Z651))/STDEV(Rankings!Z2:Z651)</f>
        <v>-1.0504056309540148</v>
      </c>
      <c r="T95" s="118">
        <f>IFERROR((VLOOKUP($A95,Hitters!$A1:$R401,18,FALSE)-AVERAGE(Rankings!AA2:AA651))/STDEV(Rankings!AA2:AA651),0)</f>
        <v>0</v>
      </c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spans="1:37" ht="18.600000000000001" customHeight="1">
      <c r="A96" s="26" t="s">
        <v>716</v>
      </c>
      <c r="B96" s="27" t="s">
        <v>114</v>
      </c>
      <c r="C96" s="119" t="s">
        <v>11</v>
      </c>
      <c r="D96" s="67">
        <f>(F96*Settings!$C$2)+(G96*Settings!$C$3)+(H96*Settings!$C$4)+(I96*Settings!$C$5)+(J96*Settings!$C$6)+(M96*Settings!$C$9)+(N96*Settings!$C$10)+(O96*Settings!$C$11)+(P96*Settings!$C$12)+(Q96*Settings!$C$13)+(T96*Settings!$C$16)+(K96*Settings!$C$7)+(L96*Settings!$C$8)+(R96*Settings!$C$14)+(S96*Settings!$C$15)</f>
        <v>-5.7107690534905311</v>
      </c>
      <c r="E96" s="67"/>
      <c r="F96" s="118">
        <f>(VLOOKUP($A96,Hitters!$A1:$R401,4,FALSE)-AVERAGE(Rankings!M2:M651))/STDEV(Rankings!M2:M651)</f>
        <v>-2.2045157110360862</v>
      </c>
      <c r="G96" s="118">
        <f>(VLOOKUP($A96,Hitters!$A1:$R401,5,FALSE)-AVERAGE(Rankings!N2:N651))/STDEV(Rankings!N2:N651)</f>
        <v>-1.9134906744678541</v>
      </c>
      <c r="H96" s="118">
        <f>(VLOOKUP($A96,Hitters!$A1:$R401,6,FALSE)-AVERAGE(Rankings!O2:O651))/STDEV(Rankings!O2:O651)</f>
        <v>-1.5295292687144624</v>
      </c>
      <c r="I96" s="118">
        <f>(VLOOKUP($A96,Hitters!$A1:$R401,7,FALSE)-AVERAGE(Rankings!P2:P651))/STDEV(Rankings!P2:P651)</f>
        <v>-1.8691946903371557</v>
      </c>
      <c r="J96" s="118">
        <f>(VLOOKUP($A96,Hitters!$A1:$R401,8,FALSE)-AVERAGE(Rankings!Q2:Q651))/STDEV(Rankings!Q2:Q651)</f>
        <v>-0.82100917908803106</v>
      </c>
      <c r="K96" s="157">
        <f>(VLOOKUP($A96,Hitters!$A$1:$R$401,14,FALSE)-AVERAGE(Rankings!R$2:R$651))/STDEV(Rankings!R$2:R$651)</f>
        <v>0.422454759116972</v>
      </c>
      <c r="L96" s="157">
        <f>(VLOOKUP($A96,Hitters!$A$1:$R$401,15,FALSE)-AVERAGE(Rankings!S$2:S$651))/STDEV(Rankings!S$2:S$651)</f>
        <v>-1.5034433494031925</v>
      </c>
      <c r="M96" s="157">
        <f>(VLOOKUP($A96,Hitters!$A$1:$R$401,9,FALSE)-AVERAGE(Rankings!T$2:T$651))/STDEV(Rankings!T$2:T$651)</f>
        <v>-1.945400415238691</v>
      </c>
      <c r="N96" s="157">
        <f>(VLOOKUP($A96,Hitters!$A$1:$R$401,10,FALSE)-AVERAGE(Rankings!U$2:U$651))/STDEV(Rankings!U$2:U$651)</f>
        <v>-1.8585750733140025</v>
      </c>
      <c r="O96" s="157">
        <f>(VLOOKUP($A96,Hitters!$A$1:$R$401,11,FALSE)-AVERAGE(Rankings!V$2:V$651))/STDEV(Rankings!V$2:V$651)</f>
        <v>-1.3652354596529299</v>
      </c>
      <c r="P96" s="157">
        <f>(VLOOKUP($A96,Hitters!$A$1:$R$401,12,FALSE)-AVERAGE(Rankings!W$2:W$651))/STDEV(Rankings!W$2:W$651)</f>
        <v>-1.8867096357318311</v>
      </c>
      <c r="Q96" s="157">
        <f>(VLOOKUP($A96,Hitters!$A$1:$R$401,13,FALSE)-AVERAGE(Rankings!X$2:X$651))/STDEV(Rankings!X$2:X$651)</f>
        <v>-2.2867558587760604</v>
      </c>
      <c r="R96" s="118">
        <f>(VLOOKUP($A96,Hitters!$A1:$R401,16,FALSE)-AVERAGE(Rankings!Y2:Y651))/STDEV(Rankings!Y2:Y651)</f>
        <v>-1.128189068339168</v>
      </c>
      <c r="S96" s="118">
        <f>(VLOOKUP($A96,Hitters!$A1:$R401,17,FALSE)-AVERAGE(Rankings!Z2:Z651))/STDEV(Rankings!Z2:Z651)</f>
        <v>-1.3907265446601478</v>
      </c>
      <c r="T96" s="118">
        <f>IFERROR((VLOOKUP($A96,Hitters!$A1:$R401,18,FALSE)-AVERAGE(Rankings!AA2:AA651))/STDEV(Rankings!AA2:AA651),0)</f>
        <v>0</v>
      </c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</row>
    <row r="97" spans="1:37" ht="18.600000000000001" customHeight="1">
      <c r="A97" s="26" t="s">
        <v>721</v>
      </c>
      <c r="B97" s="27" t="s">
        <v>114</v>
      </c>
      <c r="C97" s="119" t="s">
        <v>11</v>
      </c>
      <c r="D97" s="67">
        <f>(F97*Settings!$C$2)+(G97*Settings!$C$3)+(H97*Settings!$C$4)+(I97*Settings!$C$5)+(J97*Settings!$C$6)+(M97*Settings!$C$9)+(N97*Settings!$C$10)+(O97*Settings!$C$11)+(P97*Settings!$C$12)+(Q97*Settings!$C$13)+(T97*Settings!$C$16)+(K97*Settings!$C$7)+(L97*Settings!$C$8)+(R97*Settings!$C$14)+(S97*Settings!$C$15)</f>
        <v>-5.2093114849762703</v>
      </c>
      <c r="E97" s="67"/>
      <c r="F97" s="118">
        <f>(VLOOKUP($A97,Hitters!$A1:$R401,4,FALSE)-AVERAGE(Rankings!M2:M651))/STDEV(Rankings!M2:M651)</f>
        <v>-1.6736628545898773</v>
      </c>
      <c r="G97" s="118">
        <f>(VLOOKUP($A97,Hitters!$A1:$R401,5,FALSE)-AVERAGE(Rankings!N2:N651))/STDEV(Rankings!N2:N651)</f>
        <v>-1.4746875517957847</v>
      </c>
      <c r="H97" s="118">
        <f>(VLOOKUP($A97,Hitters!$A1:$R401,6,FALSE)-AVERAGE(Rankings!O2:O651))/STDEV(Rankings!O2:O651)</f>
        <v>-1.4296390364909508</v>
      </c>
      <c r="I97" s="118">
        <f>(VLOOKUP($A97,Hitters!$A1:$R401,7,FALSE)-AVERAGE(Rankings!P2:P651))/STDEV(Rankings!P2:P651)</f>
        <v>-1.5841317739372669</v>
      </c>
      <c r="J97" s="118">
        <f>(VLOOKUP($A97,Hitters!$A1:$R401,8,FALSE)-AVERAGE(Rankings!Q2:Q651))/STDEV(Rankings!Q2:Q651)</f>
        <v>-0.68479420874196251</v>
      </c>
      <c r="K97" s="157">
        <f>(VLOOKUP($A97,Hitters!$A$1:$R$401,14,FALSE)-AVERAGE(Rankings!R$2:R$651))/STDEV(Rankings!R$2:R$651)</f>
        <v>-3.6058914010305546E-2</v>
      </c>
      <c r="L97" s="157">
        <f>(VLOOKUP($A97,Hitters!$A$1:$R$401,15,FALSE)-AVERAGE(Rankings!S$2:S$651))/STDEV(Rankings!S$2:S$651)</f>
        <v>-1.0128270390802769</v>
      </c>
      <c r="M97" s="157">
        <f>(VLOOKUP($A97,Hitters!$A$1:$R$401,9,FALSE)-AVERAGE(Rankings!T$2:T$651))/STDEV(Rankings!T$2:T$651)</f>
        <v>-1.5040487758380208</v>
      </c>
      <c r="N97" s="157">
        <f>(VLOOKUP($A97,Hitters!$A$1:$R$401,10,FALSE)-AVERAGE(Rankings!U$2:U$651))/STDEV(Rankings!U$2:U$651)</f>
        <v>-1.6658000032509634</v>
      </c>
      <c r="O97" s="157">
        <f>(VLOOKUP($A97,Hitters!$A$1:$R$401,11,FALSE)-AVERAGE(Rankings!V$2:V$651))/STDEV(Rankings!V$2:V$651)</f>
        <v>-0.5559499272726045</v>
      </c>
      <c r="P97" s="157">
        <f>(VLOOKUP($A97,Hitters!$A$1:$R$401,12,FALSE)-AVERAGE(Rankings!W$2:W$651))/STDEV(Rankings!W$2:W$651)</f>
        <v>-1.5101949640703474</v>
      </c>
      <c r="Q97" s="157">
        <f>(VLOOKUP($A97,Hitters!$A$1:$R$401,13,FALSE)-AVERAGE(Rankings!X$2:X$651))/STDEV(Rankings!X$2:X$651)</f>
        <v>-1.6471261165312456</v>
      </c>
      <c r="R97" s="118">
        <f>(VLOOKUP($A97,Hitters!$A1:$R401,16,FALSE)-AVERAGE(Rankings!Y2:Y651))/STDEV(Rankings!Y2:Y651)</f>
        <v>-1.5513875249165308</v>
      </c>
      <c r="S97" s="118">
        <f>(VLOOKUP($A97,Hitters!$A1:$R401,17,FALSE)-AVERAGE(Rankings!Z2:Z651))/STDEV(Rankings!Z2:Z651)</f>
        <v>-1.5154478995372294</v>
      </c>
      <c r="T97" s="118">
        <f>IFERROR((VLOOKUP($A97,Hitters!$A1:$R401,18,FALSE)-AVERAGE(Rankings!AA2:AA651))/STDEV(Rankings!AA2:AA651),0)</f>
        <v>0</v>
      </c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</row>
    <row r="98" spans="1:37" ht="18.600000000000001" customHeight="1">
      <c r="A98" s="26" t="s">
        <v>726</v>
      </c>
      <c r="B98" s="27" t="s">
        <v>114</v>
      </c>
      <c r="C98" s="119" t="s">
        <v>11</v>
      </c>
      <c r="D98" s="67">
        <f>(F98*Settings!$C$2)+(G98*Settings!$C$3)+(H98*Settings!$C$4)+(I98*Settings!$C$5)+(J98*Settings!$C$6)+(M98*Settings!$C$9)+(N98*Settings!$C$10)+(O98*Settings!$C$11)+(P98*Settings!$C$12)+(Q98*Settings!$C$13)+(T98*Settings!$C$16)+(K98*Settings!$C$7)+(L98*Settings!$C$8)+(R98*Settings!$C$14)+(S98*Settings!$C$15)</f>
        <v>-5.6883304566591484</v>
      </c>
      <c r="E98" s="67"/>
      <c r="F98" s="118">
        <f>(VLOOKUP($A98,Hitters!$A1:$R401,4,FALSE)-AVERAGE(Rankings!M2:M651))/STDEV(Rankings!M2:M651)</f>
        <v>-2.0667541986318931</v>
      </c>
      <c r="G98" s="118">
        <f>(VLOOKUP($A98,Hitters!$A1:$R401,5,FALSE)-AVERAGE(Rankings!N2:N651))/STDEV(Rankings!N2:N651)</f>
        <v>-1.7987061063217511</v>
      </c>
      <c r="H98" s="118">
        <f>(VLOOKUP($A98,Hitters!$A1:$R401,6,FALSE)-AVERAGE(Rankings!O2:O651))/STDEV(Rankings!O2:O651)</f>
        <v>-1.3280073427572665</v>
      </c>
      <c r="I98" s="118">
        <f>(VLOOKUP($A98,Hitters!$A1:$R401,7,FALSE)-AVERAGE(Rankings!P2:P651))/STDEV(Rankings!P2:P651)</f>
        <v>-1.7182131528296432</v>
      </c>
      <c r="J98" s="118">
        <f>(VLOOKUP($A98,Hitters!$A1:$R401,8,FALSE)-AVERAGE(Rankings!Q2:Q651))/STDEV(Rankings!Q2:Q651)</f>
        <v>-0.82528569559889597</v>
      </c>
      <c r="K98" s="157">
        <f>(VLOOKUP($A98,Hitters!$A$1:$R$401,14,FALSE)-AVERAGE(Rankings!R$2:R$651))/STDEV(Rankings!R$2:R$651)</f>
        <v>-1.8118159151591418E-2</v>
      </c>
      <c r="L98" s="157">
        <f>(VLOOKUP($A98,Hitters!$A$1:$R$401,15,FALSE)-AVERAGE(Rankings!S$2:S$651))/STDEV(Rankings!S$2:S$651)</f>
        <v>-1.1368660824748287</v>
      </c>
      <c r="M98" s="157">
        <f>(VLOOKUP($A98,Hitters!$A$1:$R$401,9,FALSE)-AVERAGE(Rankings!T$2:T$651))/STDEV(Rankings!T$2:T$651)</f>
        <v>-1.8463104720367487</v>
      </c>
      <c r="N98" s="157">
        <f>(VLOOKUP($A98,Hitters!$A$1:$R$401,10,FALSE)-AVERAGE(Rankings!U$2:U$651))/STDEV(Rankings!U$2:U$651)</f>
        <v>-1.8235772183323198</v>
      </c>
      <c r="O98" s="157">
        <f>(VLOOKUP($A98,Hitters!$A$1:$R$401,11,FALSE)-AVERAGE(Rankings!V$2:V$651))/STDEV(Rankings!V$2:V$651)</f>
        <v>-1.3881262702329273</v>
      </c>
      <c r="P98" s="157">
        <f>(VLOOKUP($A98,Hitters!$A$1:$R$401,12,FALSE)-AVERAGE(Rankings!W$2:W$651))/STDEV(Rankings!W$2:W$651)</f>
        <v>-1.7055434402561875</v>
      </c>
      <c r="Q98" s="157">
        <f>(VLOOKUP($A98,Hitters!$A$1:$R$401,13,FALSE)-AVERAGE(Rankings!X$2:X$651))/STDEV(Rankings!X$2:X$651)</f>
        <v>-1.993026693865299</v>
      </c>
      <c r="R98" s="118">
        <f>(VLOOKUP($A98,Hitters!$A1:$R401,16,FALSE)-AVERAGE(Rankings!Y2:Y651))/STDEV(Rankings!Y2:Y651)</f>
        <v>-0.67294675603967424</v>
      </c>
      <c r="S98" s="118">
        <f>(VLOOKUP($A98,Hitters!$A1:$R401,17,FALSE)-AVERAGE(Rankings!Z2:Z651))/STDEV(Rankings!Z2:Z651)</f>
        <v>-0.91991416513102753</v>
      </c>
      <c r="T98" s="118">
        <f>IFERROR((VLOOKUP($A98,Hitters!$A1:$R401,18,FALSE)-AVERAGE(Rankings!AA2:AA651))/STDEV(Rankings!AA2:AA651),0)</f>
        <v>0</v>
      </c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</row>
    <row r="99" spans="1:37" ht="18.600000000000001" customHeight="1">
      <c r="A99" s="26" t="s">
        <v>728</v>
      </c>
      <c r="B99" s="27" t="s">
        <v>97</v>
      </c>
      <c r="C99" s="119" t="s">
        <v>11</v>
      </c>
      <c r="D99" s="67">
        <f>(F99*Settings!$C$2)+(G99*Settings!$C$3)+(H99*Settings!$C$4)+(I99*Settings!$C$5)+(J99*Settings!$C$6)+(M99*Settings!$C$9)+(N99*Settings!$C$10)+(O99*Settings!$C$11)+(P99*Settings!$C$12)+(Q99*Settings!$C$13)+(T99*Settings!$C$16)+(K99*Settings!$C$7)+(L99*Settings!$C$8)+(R99*Settings!$C$14)+(S99*Settings!$C$15)</f>
        <v>-5.8288662727016156</v>
      </c>
      <c r="E99" s="67"/>
      <c r="F99" s="118">
        <f>(VLOOKUP($A99,Hitters!$A1:$R401,4,FALSE)-AVERAGE(Rankings!M2:M651))/STDEV(Rankings!M2:M651)</f>
        <v>-1.9747864548404404</v>
      </c>
      <c r="G99" s="118">
        <f>(VLOOKUP($A99,Hitters!$A1:$R401,5,FALSE)-AVERAGE(Rankings!N2:N651))/STDEV(Rankings!N2:N651)</f>
        <v>-1.6526835024000794</v>
      </c>
      <c r="H99" s="118">
        <f>(VLOOKUP($A99,Hitters!$A1:$R401,6,FALSE)-AVERAGE(Rankings!O2:O651))/STDEV(Rankings!O2:O651)</f>
        <v>-1.2109114708132476</v>
      </c>
      <c r="I99" s="118">
        <f>(VLOOKUP($A99,Hitters!$A1:$R401,7,FALSE)-AVERAGE(Rankings!P2:P651))/STDEV(Rankings!P2:P651)</f>
        <v>-1.5866769785479802</v>
      </c>
      <c r="J99" s="118">
        <f>(VLOOKUP($A99,Hitters!$A1:$R401,8,FALSE)-AVERAGE(Rankings!Q2:Q651))/STDEV(Rankings!Q2:Q651)</f>
        <v>-0.68107205548250593</v>
      </c>
      <c r="K99" s="157">
        <f>(VLOOKUP($A99,Hitters!$A$1:$R$401,14,FALSE)-AVERAGE(Rankings!R$2:R$651))/STDEV(Rankings!R$2:R$651)</f>
        <v>-0.69752226545780271</v>
      </c>
      <c r="L99" s="157">
        <f>(VLOOKUP($A99,Hitters!$A$1:$R$401,15,FALSE)-AVERAGE(Rankings!S$2:S$651))/STDEV(Rankings!S$2:S$651)</f>
        <v>-0.72494017565651769</v>
      </c>
      <c r="M99" s="157">
        <f>(VLOOKUP($A99,Hitters!$A$1:$R$401,9,FALSE)-AVERAGE(Rankings!T$2:T$651))/STDEV(Rankings!T$2:T$651)</f>
        <v>-1.8094662670372359</v>
      </c>
      <c r="N99" s="157">
        <f>(VLOOKUP($A99,Hitters!$A$1:$R$401,10,FALSE)-AVERAGE(Rankings!U$2:U$651))/STDEV(Rankings!U$2:U$651)</f>
        <v>-1.7178664842278109</v>
      </c>
      <c r="O99" s="157">
        <f>(VLOOKUP($A99,Hitters!$A$1:$R$401,11,FALSE)-AVERAGE(Rankings!V$2:V$651))/STDEV(Rankings!V$2:V$651)</f>
        <v>-1.3337605951054334</v>
      </c>
      <c r="P99" s="157">
        <f>(VLOOKUP($A99,Hitters!$A$1:$R$401,12,FALSE)-AVERAGE(Rankings!W$2:W$651))/STDEV(Rankings!W$2:W$651)</f>
        <v>-1.4399055903750759</v>
      </c>
      <c r="Q99" s="157">
        <f>(VLOOKUP($A99,Hitters!$A$1:$R$401,13,FALSE)-AVERAGE(Rankings!X$2:X$651))/STDEV(Rankings!X$2:X$651)</f>
        <v>-1.9855284375012476</v>
      </c>
      <c r="R99" s="118">
        <f>(VLOOKUP($A99,Hitters!$A1:$R401,16,FALSE)-AVERAGE(Rankings!Y2:Y651))/STDEV(Rankings!Y2:Y651)</f>
        <v>-0.57473444949120134</v>
      </c>
      <c r="S99" s="118">
        <f>(VLOOKUP($A99,Hitters!$A1:$R401,17,FALSE)-AVERAGE(Rankings!Z2:Z651))/STDEV(Rankings!Z2:Z651)</f>
        <v>-0.6930548456431519</v>
      </c>
      <c r="T99" s="118">
        <f>IFERROR((VLOOKUP($A99,Hitters!$A1:$R401,18,FALSE)-AVERAGE(Rankings!AA2:AA651))/STDEV(Rankings!AA2:AA651),0)</f>
        <v>0</v>
      </c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</row>
    <row r="100" spans="1:37" ht="18.600000000000001" customHeight="1">
      <c r="A100" s="26" t="s">
        <v>75</v>
      </c>
      <c r="B100" s="27" t="s">
        <v>76</v>
      </c>
      <c r="C100" s="120" t="s">
        <v>15</v>
      </c>
      <c r="D100" s="67">
        <f>(F100*Settings!$C$2)+(G100*Settings!$C$3)+(H100*Settings!$C$4)+(I100*Settings!$C$5)+(J100*Settings!$C$6)+(M100*Settings!$C$9)+(N100*Settings!$C$10)+(O100*Settings!$C$11)+(P100*Settings!$C$12)+(Q100*Settings!$C$13)+(T100*Settings!$C$16)+(K100*Settings!$C$7)+(L100*Settings!$C$8)+(R100*Settings!$C$14)+(S100*Settings!$C$15)</f>
        <v>9.8765616764352018</v>
      </c>
      <c r="E100" s="67"/>
      <c r="F100" s="118">
        <f>(VLOOKUP($A100,Hitters!$A1:$R401,4,FALSE)-AVERAGE(Rankings!M2:M651))/STDEV(Rankings!M2:M651)</f>
        <v>1.4060948201388759</v>
      </c>
      <c r="G100" s="118">
        <f>(VLOOKUP($A100,Hitters!$A1:$R401,5,FALSE)-AVERAGE(Rankings!N2:N651))/STDEV(Rankings!N2:N651)</f>
        <v>1.9016572890116104</v>
      </c>
      <c r="H100" s="118">
        <f>(VLOOKUP($A100,Hitters!$A1:$R401,6,FALSE)-AVERAGE(Rankings!O2:O651))/STDEV(Rankings!O2:O651)</f>
        <v>1.9730374374658806</v>
      </c>
      <c r="I100" s="118">
        <f>(VLOOKUP($A100,Hitters!$A1:$R401,7,FALSE)-AVERAGE(Rankings!P2:P651))/STDEV(Rankings!P2:P651)</f>
        <v>2.2887533699085036</v>
      </c>
      <c r="J100" s="118">
        <f>(VLOOKUP($A100,Hitters!$A1:$R401,8,FALSE)-AVERAGE(Rankings!Q2:Q651))/STDEV(Rankings!Q2:Q651)</f>
        <v>2.4806199568001075</v>
      </c>
      <c r="K100" s="157">
        <f>(VLOOKUP($A100,Hitters!$A$1:$R$401,14,FALSE)-AVERAGE(Rankings!R$2:R$651))/STDEV(Rankings!R$2:R$651)</f>
        <v>1.2324936232490977</v>
      </c>
      <c r="L100" s="157">
        <f>(VLOOKUP($A100,Hitters!$A$1:$R$401,15,FALSE)-AVERAGE(Rankings!S$2:S$651))/STDEV(Rankings!S$2:S$651)</f>
        <v>1.6519723480942468</v>
      </c>
      <c r="M100" s="157">
        <f>(VLOOKUP($A100,Hitters!$A$1:$R$401,9,FALSE)-AVERAGE(Rankings!T$2:T$651))/STDEV(Rankings!T$2:T$651)</f>
        <v>1.5583037523857275</v>
      </c>
      <c r="N100" s="157">
        <f>(VLOOKUP($A100,Hitters!$A$1:$R$401,10,FALSE)-AVERAGE(Rankings!U$2:U$651))/STDEV(Rankings!U$2:U$651)</f>
        <v>2.2072003255006627</v>
      </c>
      <c r="O100" s="157">
        <f>(VLOOKUP($A100,Hitters!$A$1:$R$401,11,FALSE)-AVERAGE(Rankings!V$2:V$651))/STDEV(Rankings!V$2:V$651)</f>
        <v>2.028327208831687</v>
      </c>
      <c r="P100" s="157">
        <f>(VLOOKUP($A100,Hitters!$A$1:$R$401,12,FALSE)-AVERAGE(Rankings!W$2:W$651))/STDEV(Rankings!W$2:W$651)</f>
        <v>1.8029848593853408</v>
      </c>
      <c r="Q100" s="157">
        <f>(VLOOKUP($A100,Hitters!$A$1:$R$401,13,FALSE)-AVERAGE(Rankings!X$2:X$651))/STDEV(Rankings!X$2:X$651)</f>
        <v>-0.22394440334934443</v>
      </c>
      <c r="R100" s="118">
        <f>(VLOOKUP($A100,Hitters!$A1:$R401,16,FALSE)-AVERAGE(Rankings!Y2:Y651))/STDEV(Rankings!Y2:Y651)</f>
        <v>2.2353006619550282</v>
      </c>
      <c r="S100" s="118">
        <f>(VLOOKUP($A100,Hitters!$A1:$R401,17,FALSE)-AVERAGE(Rankings!Z2:Z651))/STDEV(Rankings!Z2:Z651)</f>
        <v>2.2560649810905171</v>
      </c>
      <c r="T100" s="118">
        <f>IFERROR((VLOOKUP($A100,Hitters!$A1:$R401,18,FALSE)-AVERAGE(Rankings!AA2:AA651))/STDEV(Rankings!AA2:AA651),0)</f>
        <v>0</v>
      </c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</row>
    <row r="101" spans="1:37" ht="18.600000000000001" customHeight="1">
      <c r="A101" s="26" t="s">
        <v>88</v>
      </c>
      <c r="B101" s="27" t="s">
        <v>63</v>
      </c>
      <c r="C101" s="120" t="s">
        <v>15</v>
      </c>
      <c r="D101" s="67">
        <f>(F101*Settings!$C$2)+(G101*Settings!$C$3)+(H101*Settings!$C$4)+(I101*Settings!$C$5)+(J101*Settings!$C$6)+(M101*Settings!$C$9)+(N101*Settings!$C$10)+(O101*Settings!$C$11)+(P101*Settings!$C$12)+(Q101*Settings!$C$13)+(T101*Settings!$C$16)+(K101*Settings!$C$7)+(L101*Settings!$C$8)+(R101*Settings!$C$14)+(S101*Settings!$C$15)</f>
        <v>7.7832968555906463</v>
      </c>
      <c r="E101" s="67"/>
      <c r="F101" s="118">
        <f>(VLOOKUP($A101,Hitters!$A1:$R401,4,FALSE)-AVERAGE(Rankings!M2:M651))/STDEV(Rankings!M2:M651)</f>
        <v>1.5101024385194719</v>
      </c>
      <c r="G101" s="118">
        <f>(VLOOKUP($A101,Hitters!$A1:$R401,5,FALSE)-AVERAGE(Rankings!N2:N651))/STDEV(Rankings!N2:N651)</f>
        <v>1.7732567913107344</v>
      </c>
      <c r="H101" s="118">
        <f>(VLOOKUP($A101,Hitters!$A1:$R401,6,FALSE)-AVERAGE(Rankings!O2:O651))/STDEV(Rankings!O2:O651)</f>
        <v>2.0284855719497825</v>
      </c>
      <c r="I101" s="118">
        <f>(VLOOKUP($A101,Hitters!$A1:$R401,7,FALSE)-AVERAGE(Rankings!P2:P651))/STDEV(Rankings!P2:P651)</f>
        <v>2.1920355947013981</v>
      </c>
      <c r="J101" s="118">
        <f>(VLOOKUP($A101,Hitters!$A1:$R401,8,FALSE)-AVERAGE(Rankings!Q2:Q651))/STDEV(Rankings!Q2:Q651)</f>
        <v>0.55001033639518926</v>
      </c>
      <c r="K101" s="157">
        <f>(VLOOKUP($A101,Hitters!$A$1:$R$401,14,FALSE)-AVERAGE(Rankings!R$2:R$651))/STDEV(Rankings!R$2:R$651)</f>
        <v>1.2395085612335419</v>
      </c>
      <c r="L101" s="157">
        <f>(VLOOKUP($A101,Hitters!$A$1:$R$401,15,FALSE)-AVERAGE(Rankings!S$2:S$651))/STDEV(Rankings!S$2:S$651)</f>
        <v>1.3883712320992769</v>
      </c>
      <c r="M101" s="157">
        <f>(VLOOKUP($A101,Hitters!$A$1:$R$401,9,FALSE)-AVERAGE(Rankings!T$2:T$651))/STDEV(Rankings!T$2:T$651)</f>
        <v>1.6602094315795024</v>
      </c>
      <c r="N101" s="157">
        <f>(VLOOKUP($A101,Hitters!$A$1:$R$401,10,FALSE)-AVERAGE(Rankings!U$2:U$651))/STDEV(Rankings!U$2:U$651)</f>
        <v>1.4246253386971346</v>
      </c>
      <c r="O101" s="157">
        <f>(VLOOKUP($A101,Hitters!$A$1:$R$401,11,FALSE)-AVERAGE(Rankings!V$2:V$651))/STDEV(Rankings!V$2:V$651)</f>
        <v>-0.53401290046677363</v>
      </c>
      <c r="P101" s="157">
        <f>(VLOOKUP($A101,Hitters!$A$1:$R$401,12,FALSE)-AVERAGE(Rankings!W$2:W$651))/STDEV(Rankings!W$2:W$651)</f>
        <v>1.5464908483831723</v>
      </c>
      <c r="Q101" s="157">
        <f>(VLOOKUP($A101,Hitters!$A$1:$R$401,13,FALSE)-AVERAGE(Rankings!X$2:X$651))/STDEV(Rankings!X$2:X$651)</f>
        <v>0.8329300854317816</v>
      </c>
      <c r="R101" s="118">
        <f>(VLOOKUP($A101,Hitters!$A1:$R401,16,FALSE)-AVERAGE(Rankings!Y2:Y651))/STDEV(Rankings!Y2:Y651)</f>
        <v>1.6834968465529592</v>
      </c>
      <c r="S101" s="118">
        <f>(VLOOKUP($A101,Hitters!$A1:$R401,17,FALSE)-AVERAGE(Rankings!Z2:Z651))/STDEV(Rankings!Z2:Z651)</f>
        <v>1.7534190630240556</v>
      </c>
      <c r="T101" s="118">
        <f>IFERROR((VLOOKUP($A101,Hitters!$A1:$R401,18,FALSE)-AVERAGE(Rankings!AA2:AA651))/STDEV(Rankings!AA2:AA651),0)</f>
        <v>0</v>
      </c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</row>
    <row r="102" spans="1:37" ht="18.600000000000001" customHeight="1">
      <c r="A102" s="26" t="s">
        <v>102</v>
      </c>
      <c r="B102" s="27" t="s">
        <v>103</v>
      </c>
      <c r="C102" s="120" t="s">
        <v>15</v>
      </c>
      <c r="D102" s="67">
        <f>(F102*Settings!$C$2)+(G102*Settings!$C$3)+(H102*Settings!$C$4)+(I102*Settings!$C$5)+(J102*Settings!$C$6)+(M102*Settings!$C$9)+(N102*Settings!$C$10)+(O102*Settings!$C$11)+(P102*Settings!$C$12)+(Q102*Settings!$C$13)+(T102*Settings!$C$16)+(K102*Settings!$C$7)+(L102*Settings!$C$8)+(R102*Settings!$C$14)+(S102*Settings!$C$15)</f>
        <v>7.738938138438896</v>
      </c>
      <c r="E102" s="67"/>
      <c r="F102" s="118">
        <f>(VLOOKUP($A102,Hitters!$A1:$R401,4,FALSE)-AVERAGE(Rankings!M2:M651))/STDEV(Rankings!M2:M651)</f>
        <v>1.5133975620912368</v>
      </c>
      <c r="G102" s="118">
        <f>(VLOOKUP($A102,Hitters!$A1:$R401,5,FALSE)-AVERAGE(Rankings!N2:N651))/STDEV(Rankings!N2:N651)</f>
        <v>1.8561694349682902</v>
      </c>
      <c r="H102" s="118">
        <f>(VLOOKUP($A102,Hitters!$A1:$R401,6,FALSE)-AVERAGE(Rankings!O2:O651))/STDEV(Rankings!O2:O651)</f>
        <v>2.1986611907238687</v>
      </c>
      <c r="I102" s="118">
        <f>(VLOOKUP($A102,Hitters!$A1:$R401,7,FALSE)-AVERAGE(Rankings!P2:P651))/STDEV(Rankings!P2:P651)</f>
        <v>2.153959333725127</v>
      </c>
      <c r="J102" s="118">
        <f>(VLOOKUP($A102,Hitters!$A1:$R401,8,FALSE)-AVERAGE(Rankings!Q2:Q651))/STDEV(Rankings!Q2:Q651)</f>
        <v>-0.26664592767961248</v>
      </c>
      <c r="K102" s="157">
        <f>(VLOOKUP($A102,Hitters!$A$1:$R$401,14,FALSE)-AVERAGE(Rankings!R$2:R$651))/STDEV(Rankings!R$2:R$651)</f>
        <v>1.7967941067012234</v>
      </c>
      <c r="L102" s="157">
        <f>(VLOOKUP($A102,Hitters!$A$1:$R$401,15,FALSE)-AVERAGE(Rankings!S$2:S$651))/STDEV(Rankings!S$2:S$651)</f>
        <v>1.4039716307362688</v>
      </c>
      <c r="M102" s="157">
        <f>(VLOOKUP($A102,Hitters!$A$1:$R$401,9,FALSE)-AVERAGE(Rankings!T$2:T$651))/STDEV(Rankings!T$2:T$651)</f>
        <v>1.8311605518496004</v>
      </c>
      <c r="N102" s="157">
        <f>(VLOOKUP($A102,Hitters!$A$1:$R$401,10,FALSE)-AVERAGE(Rankings!U$2:U$651))/STDEV(Rankings!U$2:U$651)</f>
        <v>2.2695940423737451</v>
      </c>
      <c r="O102" s="157">
        <f>(VLOOKUP($A102,Hitters!$A$1:$R$401,11,FALSE)-AVERAGE(Rankings!V$2:V$651))/STDEV(Rankings!V$2:V$651)</f>
        <v>0.29291763173563318</v>
      </c>
      <c r="P102" s="157">
        <f>(VLOOKUP($A102,Hitters!$A$1:$R$401,12,FALSE)-AVERAGE(Rankings!W$2:W$651))/STDEV(Rankings!W$2:W$651)</f>
        <v>1.0319166502467731</v>
      </c>
      <c r="Q102" s="157">
        <f>(VLOOKUP($A102,Hitters!$A$1:$R$401,13,FALSE)-AVERAGE(Rankings!X$2:X$651))/STDEV(Rankings!X$2:X$651)</f>
        <v>0.93866499162865369</v>
      </c>
      <c r="R102" s="118">
        <f>(VLOOKUP($A102,Hitters!$A1:$R401,16,FALSE)-AVERAGE(Rankings!Y2:Y651))/STDEV(Rankings!Y2:Y651)</f>
        <v>2.4283071226271891</v>
      </c>
      <c r="S102" s="118">
        <f>(VLOOKUP($A102,Hitters!$A1:$R401,17,FALSE)-AVERAGE(Rankings!Z2:Z651))/STDEV(Rankings!Z2:Z651)</f>
        <v>2.3038190323341281</v>
      </c>
      <c r="T102" s="118">
        <f>IFERROR((VLOOKUP($A102,Hitters!$A1:$R401,18,FALSE)-AVERAGE(Rankings!AA2:AA651))/STDEV(Rankings!AA2:AA651),0)</f>
        <v>0</v>
      </c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</row>
    <row r="103" spans="1:37" ht="18.600000000000001" customHeight="1">
      <c r="A103" s="26" t="s">
        <v>106</v>
      </c>
      <c r="B103" s="27" t="s">
        <v>73</v>
      </c>
      <c r="C103" s="120" t="s">
        <v>15</v>
      </c>
      <c r="D103" s="67">
        <f>(F103*Settings!$C$2)+(G103*Settings!$C$3)+(H103*Settings!$C$4)+(I103*Settings!$C$5)+(J103*Settings!$C$6)+(M103*Settings!$C$9)+(N103*Settings!$C$10)+(O103*Settings!$C$11)+(P103*Settings!$C$12)+(Q103*Settings!$C$13)+(T103*Settings!$C$16)+(K103*Settings!$C$7)+(L103*Settings!$C$8)+(R103*Settings!$C$14)+(S103*Settings!$C$15)</f>
        <v>7.057536978983082</v>
      </c>
      <c r="E103" s="67"/>
      <c r="F103" s="118">
        <f>(VLOOKUP($A103,Hitters!$A1:$R401,4,FALSE)-AVERAGE(Rankings!M2:M651))/STDEV(Rankings!M2:M651)</f>
        <v>1.5135665427872249</v>
      </c>
      <c r="G103" s="118">
        <f>(VLOOKUP($A103,Hitters!$A1:$R401,5,FALSE)-AVERAGE(Rankings!N2:N651))/STDEV(Rankings!N2:N651)</f>
        <v>1.7554571962503043</v>
      </c>
      <c r="H103" s="118">
        <f>(VLOOKUP($A103,Hitters!$A1:$R401,6,FALSE)-AVERAGE(Rankings!O2:O651))/STDEV(Rankings!O2:O651)</f>
        <v>2.4385649283652726</v>
      </c>
      <c r="I103" s="118">
        <f>(VLOOKUP($A103,Hitters!$A1:$R401,7,FALSE)-AVERAGE(Rankings!P2:P651))/STDEV(Rankings!P2:P651)</f>
        <v>2.2876334798797888</v>
      </c>
      <c r="J103" s="118">
        <f>(VLOOKUP($A103,Hitters!$A1:$R401,8,FALSE)-AVERAGE(Rankings!Q2:Q651))/STDEV(Rankings!Q2:Q651)</f>
        <v>-0.80817962955543621</v>
      </c>
      <c r="K103" s="157">
        <f>(VLOOKUP($A103,Hitters!$A$1:$R$401,14,FALSE)-AVERAGE(Rankings!R$2:R$651))/STDEV(Rankings!R$2:R$651)</f>
        <v>1.3840610040431529</v>
      </c>
      <c r="L103" s="157">
        <f>(VLOOKUP($A103,Hitters!$A$1:$R$401,15,FALSE)-AVERAGE(Rankings!S$2:S$651))/STDEV(Rankings!S$2:S$651)</f>
        <v>1.0238555874756441</v>
      </c>
      <c r="M103" s="157">
        <f>(VLOOKUP($A103,Hitters!$A$1:$R$401,9,FALSE)-AVERAGE(Rankings!T$2:T$651))/STDEV(Rankings!T$2:T$651)</f>
        <v>1.7070584857414841</v>
      </c>
      <c r="N103" s="157">
        <f>(VLOOKUP($A103,Hitters!$A$1:$R$401,10,FALSE)-AVERAGE(Rankings!U$2:U$651))/STDEV(Rankings!U$2:U$651)</f>
        <v>1.6348993362510156</v>
      </c>
      <c r="O103" s="157">
        <f>(VLOOKUP($A103,Hitters!$A$1:$R$401,11,FALSE)-AVERAGE(Rankings!V$2:V$651))/STDEV(Rankings!V$2:V$651)</f>
        <v>0.304363037025632</v>
      </c>
      <c r="P103" s="157">
        <f>(VLOOKUP($A103,Hitters!$A$1:$R$401,12,FALSE)-AVERAGE(Rankings!W$2:W$651))/STDEV(Rankings!W$2:W$651)</f>
        <v>0.94850244659601302</v>
      </c>
      <c r="Q103" s="157">
        <f>(VLOOKUP($A103,Hitters!$A$1:$R$401,13,FALSE)-AVERAGE(Rankings!X$2:X$651))/STDEV(Rankings!X$2:X$651)</f>
        <v>1.8219406083863694</v>
      </c>
      <c r="R103" s="118">
        <f>(VLOOKUP($A103,Hitters!$A1:$R401,16,FALSE)-AVERAGE(Rankings!Y2:Y651))/STDEV(Rankings!Y2:Y651)</f>
        <v>2.2781783478571236</v>
      </c>
      <c r="S103" s="118">
        <f>(VLOOKUP($A103,Hitters!$A1:$R401,17,FALSE)-AVERAGE(Rankings!Z2:Z651))/STDEV(Rankings!Z2:Z651)</f>
        <v>2.0509776346795734</v>
      </c>
      <c r="T103" s="118">
        <f>IFERROR((VLOOKUP($A103,Hitters!$A1:$R401,18,FALSE)-AVERAGE(Rankings!AA2:AA651))/STDEV(Rankings!AA2:AA651),0)</f>
        <v>0</v>
      </c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</row>
    <row r="104" spans="1:37" ht="18.600000000000001" customHeight="1">
      <c r="A104" s="26" t="s">
        <v>122</v>
      </c>
      <c r="B104" s="27" t="s">
        <v>123</v>
      </c>
      <c r="C104" s="120" t="s">
        <v>15</v>
      </c>
      <c r="D104" s="67">
        <f>(F104*Settings!$C$2)+(G104*Settings!$C$3)+(H104*Settings!$C$4)+(I104*Settings!$C$5)+(J104*Settings!$C$6)+(M104*Settings!$C$9)+(N104*Settings!$C$10)+(O104*Settings!$C$11)+(P104*Settings!$C$12)+(Q104*Settings!$C$13)+(T104*Settings!$C$16)+(K104*Settings!$C$7)+(L104*Settings!$C$8)+(R104*Settings!$C$14)+(S104*Settings!$C$15)</f>
        <v>5.8734111629370824</v>
      </c>
      <c r="E104" s="67"/>
      <c r="F104" s="118">
        <f>(VLOOKUP($A104,Hitters!$A1:$R401,4,FALSE)-AVERAGE(Rankings!M2:M651))/STDEV(Rankings!M2:M651)</f>
        <v>1.4710678977462508</v>
      </c>
      <c r="G104" s="118">
        <f>(VLOOKUP($A104,Hitters!$A1:$R401,5,FALSE)-AVERAGE(Rankings!N2:N651))/STDEV(Rankings!N2:N651)</f>
        <v>1.2809534612632996</v>
      </c>
      <c r="H104" s="118">
        <f>(VLOOKUP($A104,Hitters!$A1:$R401,6,FALSE)-AVERAGE(Rankings!O2:O651))/STDEV(Rankings!O2:O651)</f>
        <v>1.8064144001725471</v>
      </c>
      <c r="I104" s="118">
        <f>(VLOOKUP($A104,Hitters!$A1:$R401,7,FALSE)-AVERAGE(Rankings!P2:P651))/STDEV(Rankings!P2:P651)</f>
        <v>2.1226533170133539</v>
      </c>
      <c r="J104" s="118">
        <f>(VLOOKUP($A104,Hitters!$A1:$R401,8,FALSE)-AVERAGE(Rankings!Q2:Q651))/STDEV(Rankings!Q2:Q651)</f>
        <v>-0.32920978033856246</v>
      </c>
      <c r="K104" s="157">
        <f>(VLOOKUP($A104,Hitters!$A$1:$R$401,14,FALSE)-AVERAGE(Rankings!R$2:R$651))/STDEV(Rankings!R$2:R$651)</f>
        <v>0.99259976482644408</v>
      </c>
      <c r="L104" s="157">
        <f>(VLOOKUP($A104,Hitters!$A$1:$R$401,15,FALSE)-AVERAGE(Rankings!S$2:S$651))/STDEV(Rankings!S$2:S$651)</f>
        <v>0.69589949486244929</v>
      </c>
      <c r="M104" s="157">
        <f>(VLOOKUP($A104,Hitters!$A$1:$R$401,9,FALSE)-AVERAGE(Rankings!T$2:T$651))/STDEV(Rankings!T$2:T$651)</f>
        <v>1.5491076784549542</v>
      </c>
      <c r="N104" s="157">
        <f>(VLOOKUP($A104,Hitters!$A$1:$R$401,10,FALSE)-AVERAGE(Rankings!U$2:U$651))/STDEV(Rankings!U$2:U$651)</f>
        <v>1.6935637734949012</v>
      </c>
      <c r="O104" s="157">
        <f>(VLOOKUP($A104,Hitters!$A$1:$R$401,11,FALSE)-AVERAGE(Rankings!V$2:V$651))/STDEV(Rankings!V$2:V$651)</f>
        <v>0.29196384796146668</v>
      </c>
      <c r="P104" s="157">
        <f>(VLOOKUP($A104,Hitters!$A$1:$R$401,12,FALSE)-AVERAGE(Rankings!W$2:W$651))/STDEV(Rankings!W$2:W$651)</f>
        <v>0.88318931174642479</v>
      </c>
      <c r="Q104" s="157">
        <f>(VLOOKUP($A104,Hitters!$A$1:$R$401,13,FALSE)-AVERAGE(Rankings!X$2:X$651))/STDEV(Rankings!X$2:X$651)</f>
        <v>-0.26026507130685778</v>
      </c>
      <c r="R104" s="118">
        <f>(VLOOKUP($A104,Hitters!$A1:$R401,16,FALSE)-AVERAGE(Rankings!Y2:Y651))/STDEV(Rankings!Y2:Y651)</f>
        <v>1.5643756461919041</v>
      </c>
      <c r="S104" s="118">
        <f>(VLOOKUP($A104,Hitters!$A1:$R401,17,FALSE)-AVERAGE(Rankings!Z2:Z651))/STDEV(Rankings!Z2:Z651)</f>
        <v>1.4056705751711307</v>
      </c>
      <c r="T104" s="118">
        <f>IFERROR((VLOOKUP($A104,Hitters!$A1:$R401,18,FALSE)-AVERAGE(Rankings!AA2:AA651))/STDEV(Rankings!AA2:AA651),0)</f>
        <v>0</v>
      </c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spans="1:37" ht="18.600000000000001" customHeight="1">
      <c r="A105" s="26" t="s">
        <v>185</v>
      </c>
      <c r="B105" s="27" t="s">
        <v>78</v>
      </c>
      <c r="C105" s="120" t="s">
        <v>15</v>
      </c>
      <c r="D105" s="67">
        <f>(F105*Settings!$C$2)+(G105*Settings!$C$3)+(H105*Settings!$C$4)+(I105*Settings!$C$5)+(J105*Settings!$C$6)+(M105*Settings!$C$9)+(N105*Settings!$C$10)+(O105*Settings!$C$11)+(P105*Settings!$C$12)+(Q105*Settings!$C$13)+(T105*Settings!$C$16)+(K105*Settings!$C$7)+(L105*Settings!$C$8)+(R105*Settings!$C$14)+(S105*Settings!$C$15)</f>
        <v>4.5421704084994108</v>
      </c>
      <c r="E105" s="67"/>
      <c r="F105" s="118">
        <f>(VLOOKUP($A105,Hitters!$A1:$R401,4,FALSE)-AVERAGE(Rankings!M2:M651))/STDEV(Rankings!M2:M651)</f>
        <v>1.1926722011060698</v>
      </c>
      <c r="G105" s="118">
        <f>(VLOOKUP($A105,Hitters!$A1:$R401,5,FALSE)-AVERAGE(Rankings!N2:N651))/STDEV(Rankings!N2:N651)</f>
        <v>1.560853361365979</v>
      </c>
      <c r="H105" s="118">
        <f>(VLOOKUP($A105,Hitters!$A1:$R401,6,FALSE)-AVERAGE(Rankings!O2:O651))/STDEV(Rankings!O2:O651)</f>
        <v>1.1761446504108088</v>
      </c>
      <c r="I105" s="118">
        <f>(VLOOKUP($A105,Hitters!$A1:$R401,7,FALSE)-AVERAGE(Rankings!P2:P651))/STDEV(Rankings!P2:P651)</f>
        <v>1.6717448681793872</v>
      </c>
      <c r="J105" s="118">
        <f>(VLOOKUP($A105,Hitters!$A1:$R401,8,FALSE)-AVERAGE(Rankings!Q2:Q651))/STDEV(Rankings!Q2:Q651)</f>
        <v>-0.68511098774276724</v>
      </c>
      <c r="K105" s="157">
        <f>(VLOOKUP($A105,Hitters!$A$1:$R$401,14,FALSE)-AVERAGE(Rankings!R$2:R$651))/STDEV(Rankings!R$2:R$651)</f>
        <v>0.81853851628600349</v>
      </c>
      <c r="L105" s="157">
        <f>(VLOOKUP($A105,Hitters!$A$1:$R$401,15,FALSE)-AVERAGE(Rankings!S$2:S$651))/STDEV(Rankings!S$2:S$651)</f>
        <v>2.0858684354273427</v>
      </c>
      <c r="M105" s="157">
        <f>(VLOOKUP($A105,Hitters!$A$1:$R$401,9,FALSE)-AVERAGE(Rankings!T$2:T$651))/STDEV(Rankings!T$2:T$651)</f>
        <v>1.2379089420810194</v>
      </c>
      <c r="N105" s="157">
        <f>(VLOOKUP($A105,Hitters!$A$1:$R$401,10,FALSE)-AVERAGE(Rankings!U$2:U$651))/STDEV(Rankings!U$2:U$651)</f>
        <v>1.7541645674693318</v>
      </c>
      <c r="O105" s="157">
        <f>(VLOOKUP($A105,Hitters!$A$1:$R$401,11,FALSE)-AVERAGE(Rankings!V$2:V$651))/STDEV(Rankings!V$2:V$651)</f>
        <v>-0.55404235972427129</v>
      </c>
      <c r="P105" s="157">
        <f>(VLOOKUP($A105,Hitters!$A$1:$R$401,12,FALSE)-AVERAGE(Rankings!W$2:W$651))/STDEV(Rankings!W$2:W$651)</f>
        <v>2.5280850621869142</v>
      </c>
      <c r="Q105" s="157">
        <f>(VLOOKUP($A105,Hitters!$A$1:$R$401,13,FALSE)-AVERAGE(Rankings!X$2:X$651))/STDEV(Rankings!X$2:X$651)</f>
        <v>-0.26763677482088272</v>
      </c>
      <c r="R105" s="118">
        <f>(VLOOKUP($A105,Hitters!$A1:$R401,16,FALSE)-AVERAGE(Rankings!Y2:Y651))/STDEV(Rankings!Y2:Y651)</f>
        <v>1.1039674896640805</v>
      </c>
      <c r="S105" s="118">
        <f>(VLOOKUP($A105,Hitters!$A1:$R401,17,FALSE)-AVERAGE(Rankings!Z2:Z651))/STDEV(Rankings!Z2:Z651)</f>
        <v>1.5922787254021757</v>
      </c>
      <c r="T105" s="118">
        <f>IFERROR((VLOOKUP($A105,Hitters!$A1:$R401,18,FALSE)-AVERAGE(Rankings!AA2:AA651))/STDEV(Rankings!AA2:AA651),0)</f>
        <v>0</v>
      </c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</row>
    <row r="106" spans="1:37" ht="18.600000000000001" customHeight="1">
      <c r="A106" s="26" t="s">
        <v>203</v>
      </c>
      <c r="B106" s="27" t="s">
        <v>176</v>
      </c>
      <c r="C106" s="120" t="s">
        <v>15</v>
      </c>
      <c r="D106" s="67">
        <f>(F106*Settings!$C$2)+(G106*Settings!$C$3)+(H106*Settings!$C$4)+(I106*Settings!$C$5)+(J106*Settings!$C$6)+(M106*Settings!$C$9)+(N106*Settings!$C$10)+(O106*Settings!$C$11)+(P106*Settings!$C$12)+(Q106*Settings!$C$13)+(T106*Settings!$C$16)+(K106*Settings!$C$7)+(L106*Settings!$C$8)+(R106*Settings!$C$14)+(S106*Settings!$C$15)</f>
        <v>3.1300276330083943</v>
      </c>
      <c r="E106" s="67"/>
      <c r="F106" s="118">
        <f>(VLOOKUP($A106,Hitters!$A1:$R401,4,FALSE)-AVERAGE(Rankings!M2:M651))/STDEV(Rankings!M2:M651)</f>
        <v>1.016340844842623</v>
      </c>
      <c r="G106" s="118">
        <f>(VLOOKUP($A106,Hitters!$A1:$R401,5,FALSE)-AVERAGE(Rankings!N2:N651))/STDEV(Rankings!N2:N651)</f>
        <v>0.92402340475950107</v>
      </c>
      <c r="H106" s="118">
        <f>(VLOOKUP($A106,Hitters!$A1:$R401,6,FALSE)-AVERAGE(Rankings!O2:O651))/STDEV(Rankings!O2:O651)</f>
        <v>0.91367157159756485</v>
      </c>
      <c r="I106" s="118">
        <f>(VLOOKUP($A106,Hitters!$A1:$R401,7,FALSE)-AVERAGE(Rankings!P2:P651))/STDEV(Rankings!P2:P651)</f>
        <v>1.0347310582100653</v>
      </c>
      <c r="J106" s="118">
        <f>(VLOOKUP($A106,Hitters!$A1:$R401,8,FALSE)-AVERAGE(Rankings!Q2:Q651))/STDEV(Rankings!Q2:Q651)</f>
        <v>2.7166595566849472E-2</v>
      </c>
      <c r="K106" s="157">
        <f>(VLOOKUP($A106,Hitters!$A$1:$R$401,14,FALSE)-AVERAGE(Rankings!R$2:R$651))/STDEV(Rankings!R$2:R$651)</f>
        <v>0.23043500287441349</v>
      </c>
      <c r="L106" s="157">
        <f>(VLOOKUP($A106,Hitters!$A$1:$R$401,15,FALSE)-AVERAGE(Rankings!S$2:S$651))/STDEV(Rankings!S$2:S$651)</f>
        <v>0.64472231407809877</v>
      </c>
      <c r="M106" s="157">
        <f>(VLOOKUP($A106,Hitters!$A$1:$R$401,9,FALSE)-AVERAGE(Rankings!T$2:T$651))/STDEV(Rankings!T$2:T$651)</f>
        <v>0.9164657194389273</v>
      </c>
      <c r="N106" s="157">
        <f>(VLOOKUP($A106,Hitters!$A$1:$R$401,10,FALSE)-AVERAGE(Rankings!U$2:U$651))/STDEV(Rankings!U$2:U$651)</f>
        <v>0.7956679858500908</v>
      </c>
      <c r="O106" s="157">
        <f>(VLOOKUP($A106,Hitters!$A$1:$R$401,11,FALSE)-AVERAGE(Rankings!V$2:V$651))/STDEV(Rankings!V$2:V$651)</f>
        <v>0.31294709099313101</v>
      </c>
      <c r="P106" s="157">
        <f>(VLOOKUP($A106,Hitters!$A$1:$R$401,12,FALSE)-AVERAGE(Rankings!W$2:W$651))/STDEV(Rankings!W$2:W$651)</f>
        <v>1.1609567438138879</v>
      </c>
      <c r="Q106" s="157">
        <f>(VLOOKUP($A106,Hitters!$A$1:$R$401,13,FALSE)-AVERAGE(Rankings!X$2:X$651))/STDEV(Rankings!X$2:X$651)</f>
        <v>1.5669049773711121</v>
      </c>
      <c r="R106" s="118">
        <f>(VLOOKUP($A106,Hitters!$A1:$R401,16,FALSE)-AVERAGE(Rankings!Y2:Y651))/STDEV(Rankings!Y2:Y651)</f>
        <v>0.51839829494862022</v>
      </c>
      <c r="S106" s="118">
        <f>(VLOOKUP($A106,Hitters!$A1:$R401,17,FALSE)-AVERAGE(Rankings!Z2:Z651))/STDEV(Rankings!Z2:Z651)</f>
        <v>0.62169683981221291</v>
      </c>
      <c r="T106" s="118">
        <f>IFERROR((VLOOKUP($A106,Hitters!$A1:$R401,18,FALSE)-AVERAGE(Rankings!AA2:AA651))/STDEV(Rankings!AA2:AA651),0)</f>
        <v>0</v>
      </c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spans="1:37" ht="18.600000000000001" customHeight="1">
      <c r="A107" s="26" t="s">
        <v>213</v>
      </c>
      <c r="B107" s="27" t="s">
        <v>99</v>
      </c>
      <c r="C107" s="120" t="s">
        <v>15</v>
      </c>
      <c r="D107" s="67">
        <f>(F107*Settings!$C$2)+(G107*Settings!$C$3)+(H107*Settings!$C$4)+(I107*Settings!$C$5)+(J107*Settings!$C$6)+(M107*Settings!$C$9)+(N107*Settings!$C$10)+(O107*Settings!$C$11)+(P107*Settings!$C$12)+(Q107*Settings!$C$13)+(T107*Settings!$C$16)+(K107*Settings!$C$7)+(L107*Settings!$C$8)+(R107*Settings!$C$14)+(S107*Settings!$C$15)</f>
        <v>2.9319185870167415</v>
      </c>
      <c r="E107" s="67"/>
      <c r="F107" s="118">
        <f>(VLOOKUP($A107,Hitters!$A1:$R401,4,FALSE)-AVERAGE(Rankings!M2:M651))/STDEV(Rankings!M2:M651)</f>
        <v>0.97565874228351801</v>
      </c>
      <c r="G107" s="118">
        <f>(VLOOKUP($A107,Hitters!$A1:$R401,5,FALSE)-AVERAGE(Rankings!N2:N651))/STDEV(Rankings!N2:N651)</f>
        <v>0.91809020640602479</v>
      </c>
      <c r="H107" s="118">
        <f>(VLOOKUP($A107,Hitters!$A1:$R401,6,FALSE)-AVERAGE(Rankings!O2:O651))/STDEV(Rankings!O2:O651)</f>
        <v>0.46144884663589303</v>
      </c>
      <c r="I107" s="118">
        <f>(VLOOKUP($A107,Hitters!$A1:$R401,7,FALSE)-AVERAGE(Rankings!P2:P651))/STDEV(Rankings!P2:P651)</f>
        <v>0.87659749574644852</v>
      </c>
      <c r="J107" s="118">
        <f>(VLOOKUP($A107,Hitters!$A1:$R401,8,FALSE)-AVERAGE(Rankings!Q2:Q651))/STDEV(Rankings!Q2:Q651)</f>
        <v>0.61431647355856567</v>
      </c>
      <c r="K107" s="157">
        <f>(VLOOKUP($A107,Hitters!$A$1:$R$401,14,FALSE)-AVERAGE(Rankings!R$2:R$651))/STDEV(Rankings!R$2:R$651)</f>
        <v>6.1465564669809264E-2</v>
      </c>
      <c r="L107" s="157">
        <f>(VLOOKUP($A107,Hitters!$A$1:$R$401,15,FALSE)-AVERAGE(Rankings!S$2:S$651))/STDEV(Rankings!S$2:S$651)</f>
        <v>0.76742902356682663</v>
      </c>
      <c r="M107" s="157">
        <f>(VLOOKUP($A107,Hitters!$A$1:$R$401,9,FALSE)-AVERAGE(Rankings!T$2:T$651))/STDEV(Rankings!T$2:T$651)</f>
        <v>0.835498332354631</v>
      </c>
      <c r="N107" s="157">
        <f>(VLOOKUP($A107,Hitters!$A$1:$R$401,10,FALSE)-AVERAGE(Rankings!U$2:U$651))/STDEV(Rankings!U$2:U$651)</f>
        <v>1.0465337578294485</v>
      </c>
      <c r="O107" s="157">
        <f>(VLOOKUP($A107,Hitters!$A$1:$R$401,11,FALSE)-AVERAGE(Rankings!V$2:V$651))/STDEV(Rankings!V$2:V$651)</f>
        <v>2.038341938460436</v>
      </c>
      <c r="P107" s="157">
        <f>(VLOOKUP($A107,Hitters!$A$1:$R$401,12,FALSE)-AVERAGE(Rankings!W$2:W$651))/STDEV(Rankings!W$2:W$651)</f>
        <v>1.4039216054543564</v>
      </c>
      <c r="Q107" s="157">
        <f>(VLOOKUP($A107,Hitters!$A$1:$R$401,13,FALSE)-AVERAGE(Rankings!X$2:X$651))/STDEV(Rankings!X$2:X$651)</f>
        <v>1.7496156545964077</v>
      </c>
      <c r="R107" s="118">
        <f>(VLOOKUP($A107,Hitters!$A1:$R401,16,FALSE)-AVERAGE(Rankings!Y2:Y651))/STDEV(Rankings!Y2:Y651)</f>
        <v>0.26624783768754762</v>
      </c>
      <c r="S107" s="118">
        <f>(VLOOKUP($A107,Hitters!$A1:$R401,17,FALSE)-AVERAGE(Rankings!Z2:Z651))/STDEV(Rankings!Z2:Z651)</f>
        <v>0.48353982223853448</v>
      </c>
      <c r="T107" s="118">
        <f>IFERROR((VLOOKUP($A107,Hitters!$A1:$R401,18,FALSE)-AVERAGE(Rankings!AA2:AA651))/STDEV(Rankings!AA2:AA651),0)</f>
        <v>0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</row>
    <row r="108" spans="1:37" ht="18.600000000000001" customHeight="1">
      <c r="A108" s="26" t="s">
        <v>242</v>
      </c>
      <c r="B108" s="27" t="s">
        <v>94</v>
      </c>
      <c r="C108" s="120" t="s">
        <v>15</v>
      </c>
      <c r="D108" s="67">
        <f>(F108*Settings!$C$2)+(G108*Settings!$C$3)+(H108*Settings!$C$4)+(I108*Settings!$C$5)+(J108*Settings!$C$6)+(M108*Settings!$C$9)+(N108*Settings!$C$10)+(O108*Settings!$C$11)+(P108*Settings!$C$12)+(Q108*Settings!$C$13)+(T108*Settings!$C$16)+(K108*Settings!$C$7)+(L108*Settings!$C$8)+(R108*Settings!$C$14)+(S108*Settings!$C$15)</f>
        <v>2.905667761778771</v>
      </c>
      <c r="E108" s="67"/>
      <c r="F108" s="118">
        <f>(VLOOKUP($A108,Hitters!$A1:$R401,4,FALSE)-AVERAGE(Rankings!M2:M651))/STDEV(Rankings!M2:M651)</f>
        <v>1.2034024753013062</v>
      </c>
      <c r="G108" s="118">
        <f>(VLOOKUP($A108,Hitters!$A1:$R401,5,FALSE)-AVERAGE(Rankings!N2:N651))/STDEV(Rankings!N2:N651)</f>
        <v>1.2456331821761508</v>
      </c>
      <c r="H108" s="118">
        <f>(VLOOKUP($A108,Hitters!$A1:$R401,6,FALSE)-AVERAGE(Rankings!O2:O651))/STDEV(Rankings!O2:O651)</f>
        <v>1.823341406051427</v>
      </c>
      <c r="I108" s="118">
        <f>(VLOOKUP($A108,Hitters!$A1:$R401,7,FALSE)-AVERAGE(Rankings!P2:P651))/STDEV(Rankings!P2:P651)</f>
        <v>1.4570314072196147</v>
      </c>
      <c r="J108" s="118">
        <f>(VLOOKUP($A108,Hitters!$A1:$R401,8,FALSE)-AVERAGE(Rankings!Q2:Q651))/STDEV(Rankings!Q2:Q651)</f>
        <v>-0.47128516219952016</v>
      </c>
      <c r="K108" s="157">
        <f>(VLOOKUP($A108,Hitters!$A$1:$R$401,14,FALSE)-AVERAGE(Rankings!R$2:R$651))/STDEV(Rankings!R$2:R$651)</f>
        <v>-1.1490530714689016</v>
      </c>
      <c r="L108" s="157">
        <f>(VLOOKUP($A108,Hitters!$A$1:$R$401,15,FALSE)-AVERAGE(Rankings!S$2:S$651))/STDEV(Rankings!S$2:S$651)</f>
        <v>-2.6726456697048716E-2</v>
      </c>
      <c r="M108" s="157">
        <f>(VLOOKUP($A108,Hitters!$A$1:$R$401,9,FALSE)-AVERAGE(Rankings!T$2:T$651))/STDEV(Rankings!T$2:T$651)</f>
        <v>0.69692817599060941</v>
      </c>
      <c r="N108" s="157">
        <f>(VLOOKUP($A108,Hitters!$A$1:$R$401,10,FALSE)-AVERAGE(Rankings!U$2:U$651))/STDEV(Rankings!U$2:U$651)</f>
        <v>0.85225263253154082</v>
      </c>
      <c r="O108" s="157">
        <f>(VLOOKUP($A108,Hitters!$A$1:$R$401,11,FALSE)-AVERAGE(Rankings!V$2:V$651))/STDEV(Rankings!V$2:V$651)</f>
        <v>0.31723911797688042</v>
      </c>
      <c r="P108" s="157">
        <f>(VLOOKUP($A108,Hitters!$A$1:$R$401,12,FALSE)-AVERAGE(Rankings!W$2:W$651))/STDEV(Rankings!W$2:W$651)</f>
        <v>1.7255421423494017</v>
      </c>
      <c r="Q108" s="157">
        <f>(VLOOKUP($A108,Hitters!$A$1:$R$401,13,FALSE)-AVERAGE(Rankings!X$2:X$651))/STDEV(Rankings!X$2:X$651)</f>
        <v>2.4073424543949664</v>
      </c>
      <c r="R108" s="118">
        <f>(VLOOKUP($A108,Hitters!$A1:$R401,16,FALSE)-AVERAGE(Rankings!Y2:Y651))/STDEV(Rankings!Y2:Y651)</f>
        <v>0.66740145723892985</v>
      </c>
      <c r="S108" s="118">
        <f>(VLOOKUP($A108,Hitters!$A1:$R401,17,FALSE)-AVERAGE(Rankings!Z2:Z651))/STDEV(Rankings!Z2:Z651)</f>
        <v>0.47788639697870072</v>
      </c>
      <c r="T108" s="118">
        <f>IFERROR((VLOOKUP($A108,Hitters!$A1:$R401,18,FALSE)-AVERAGE(Rankings!AA2:AA651))/STDEV(Rankings!AA2:AA651),0)</f>
        <v>0</v>
      </c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</row>
    <row r="109" spans="1:37" ht="18.600000000000001" customHeight="1">
      <c r="A109" s="26" t="s">
        <v>248</v>
      </c>
      <c r="B109" s="27" t="s">
        <v>103</v>
      </c>
      <c r="C109" s="120" t="s">
        <v>15</v>
      </c>
      <c r="D109" s="67">
        <f>(F109*Settings!$C$2)+(G109*Settings!$C$3)+(H109*Settings!$C$4)+(I109*Settings!$C$5)+(J109*Settings!$C$6)+(M109*Settings!$C$9)+(N109*Settings!$C$10)+(O109*Settings!$C$11)+(P109*Settings!$C$12)+(Q109*Settings!$C$13)+(T109*Settings!$C$16)+(K109*Settings!$C$7)+(L109*Settings!$C$8)+(R109*Settings!$C$14)+(S109*Settings!$C$15)</f>
        <v>1.8133433266709869</v>
      </c>
      <c r="E109" s="67"/>
      <c r="F109" s="118">
        <f>(VLOOKUP($A109,Hitters!$A1:$R401,4,FALSE)-AVERAGE(Rankings!M2:M651))/STDEV(Rankings!M2:M651)</f>
        <v>0.62853014755023051</v>
      </c>
      <c r="G109" s="118">
        <f>(VLOOKUP($A109,Hitters!$A1:$R401,5,FALSE)-AVERAGE(Rankings!N2:N651))/STDEV(Rankings!N2:N651)</f>
        <v>0.49219305793019319</v>
      </c>
      <c r="H109" s="118">
        <f>(VLOOKUP($A109,Hitters!$A1:$R401,6,FALSE)-AVERAGE(Rankings!O2:O651))/STDEV(Rankings!O2:O651)</f>
        <v>8.3482040467989072E-2</v>
      </c>
      <c r="I109" s="118">
        <f>(VLOOKUP($A109,Hitters!$A1:$R401,7,FALSE)-AVERAGE(Rankings!P2:P651))/STDEV(Rankings!P2:P651)</f>
        <v>0.73083362769089877</v>
      </c>
      <c r="J109" s="118">
        <f>(VLOOKUP($A109,Hitters!$A1:$R401,8,FALSE)-AVERAGE(Rankings!Q2:Q651))/STDEV(Rankings!Q2:Q651)</f>
        <v>-0.54240204788020008</v>
      </c>
      <c r="K109" s="157">
        <f>(VLOOKUP($A109,Hitters!$A$1:$R$401,14,FALSE)-AVERAGE(Rankings!R$2:R$651))/STDEV(Rankings!R$2:R$651)</f>
        <v>1.0492366484621061</v>
      </c>
      <c r="L109" s="157">
        <f>(VLOOKUP($A109,Hitters!$A$1:$R$401,15,FALSE)-AVERAGE(Rankings!S$2:S$651))/STDEV(Rankings!S$2:S$651)</f>
        <v>1.0264756605107141</v>
      </c>
      <c r="M109" s="157">
        <f>(VLOOKUP($A109,Hitters!$A$1:$R$401,9,FALSE)-AVERAGE(Rankings!T$2:T$651))/STDEV(Rankings!T$2:T$651)</f>
        <v>0.76807044174170103</v>
      </c>
      <c r="N109" s="157">
        <f>(VLOOKUP($A109,Hitters!$A$1:$R$401,10,FALSE)-AVERAGE(Rankings!U$2:U$651))/STDEV(Rankings!U$2:U$651)</f>
        <v>0.94526947251359572</v>
      </c>
      <c r="O109" s="157">
        <f>(VLOOKUP($A109,Hitters!$A$1:$R$401,11,FALSE)-AVERAGE(Rankings!V$2:V$651))/STDEV(Rankings!V$2:V$651)</f>
        <v>-1.2994243792354372</v>
      </c>
      <c r="P109" s="157">
        <f>(VLOOKUP($A109,Hitters!$A$1:$R$401,12,FALSE)-AVERAGE(Rankings!W$2:W$651))/STDEV(Rankings!W$2:W$651)</f>
        <v>0.61074023494528495</v>
      </c>
      <c r="Q109" s="157">
        <f>(VLOOKUP($A109,Hitters!$A$1:$R$401,13,FALSE)-AVERAGE(Rankings!X$2:X$651))/STDEV(Rankings!X$2:X$651)</f>
        <v>-9.5778004485331691E-2</v>
      </c>
      <c r="R109" s="118">
        <f>(VLOOKUP($A109,Hitters!$A1:$R401,16,FALSE)-AVERAGE(Rankings!Y2:Y651))/STDEV(Rankings!Y2:Y651)</f>
        <v>0.21942308440997643</v>
      </c>
      <c r="S109" s="118">
        <f>(VLOOKUP($A109,Hitters!$A1:$R401,17,FALSE)-AVERAGE(Rankings!Z2:Z651))/STDEV(Rankings!Z2:Z651)</f>
        <v>0.54681650038885987</v>
      </c>
      <c r="T109" s="118">
        <f>IFERROR((VLOOKUP($A109,Hitters!$A1:$R401,18,FALSE)-AVERAGE(Rankings!AA2:AA651))/STDEV(Rankings!AA2:AA651),0)</f>
        <v>0</v>
      </c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</row>
    <row r="110" spans="1:37" ht="18.600000000000001" customHeight="1">
      <c r="A110" s="26" t="s">
        <v>228</v>
      </c>
      <c r="B110" s="27" t="s">
        <v>137</v>
      </c>
      <c r="C110" s="120" t="s">
        <v>15</v>
      </c>
      <c r="D110" s="67">
        <f>(F110*Settings!$C$2)+(G110*Settings!$C$3)+(H110*Settings!$C$4)+(I110*Settings!$C$5)+(J110*Settings!$C$6)+(M110*Settings!$C$9)+(N110*Settings!$C$10)+(O110*Settings!$C$11)+(P110*Settings!$C$12)+(Q110*Settings!$C$13)+(T110*Settings!$C$16)+(K110*Settings!$C$7)+(L110*Settings!$C$8)+(R110*Settings!$C$14)+(S110*Settings!$C$15)</f>
        <v>2.9466442921597897</v>
      </c>
      <c r="E110" s="67"/>
      <c r="F110" s="118">
        <f>(VLOOKUP($A110,Hitters!$A1:$R401,4,FALSE)-AVERAGE(Rankings!M2:M651))/STDEV(Rankings!M2:M651)</f>
        <v>1.0931425711691547</v>
      </c>
      <c r="G110" s="118">
        <f>(VLOOKUP($A110,Hitters!$A1:$R401,5,FALSE)-AVERAGE(Rankings!N2:N651))/STDEV(Rankings!N2:N651)</f>
        <v>0.70431757684123775</v>
      </c>
      <c r="H110" s="118">
        <f>(VLOOKUP($A110,Hitters!$A1:$R401,6,FALSE)-AVERAGE(Rankings!O2:O651))/STDEV(Rankings!O2:O651)</f>
        <v>-0.27874195364795273</v>
      </c>
      <c r="I110" s="118">
        <f>(VLOOKUP($A110,Hitters!$A1:$R401,7,FALSE)-AVERAGE(Rankings!P2:P651))/STDEV(Rankings!P2:P651)</f>
        <v>0.26730096398779429</v>
      </c>
      <c r="J110" s="118">
        <f>(VLOOKUP($A110,Hitters!$A1:$R401,8,FALSE)-AVERAGE(Rankings!Q2:Q651))/STDEV(Rankings!Q2:Q651)</f>
        <v>1.7681839839900886</v>
      </c>
      <c r="K110" s="157">
        <f>(VLOOKUP($A110,Hitters!$A$1:$R$401,14,FALSE)-AVERAGE(Rankings!R$2:R$651))/STDEV(Rankings!R$2:R$651)</f>
        <v>0.48558372098862196</v>
      </c>
      <c r="L110" s="157">
        <f>(VLOOKUP($A110,Hitters!$A$1:$R$401,15,FALSE)-AVERAGE(Rankings!S$2:S$651))/STDEV(Rankings!S$2:S$651)</f>
        <v>0.41601715599965816</v>
      </c>
      <c r="M110" s="157">
        <f>(VLOOKUP($A110,Hitters!$A$1:$R$401,9,FALSE)-AVERAGE(Rankings!T$2:T$651))/STDEV(Rankings!T$2:T$651)</f>
        <v>1.0544667376769401</v>
      </c>
      <c r="N110" s="157">
        <f>(VLOOKUP($A110,Hitters!$A$1:$R$401,10,FALSE)-AVERAGE(Rankings!U$2:U$651))/STDEV(Rankings!U$2:U$651)</f>
        <v>1.2265432168540866</v>
      </c>
      <c r="O110" s="157">
        <f>(VLOOKUP($A110,Hitters!$A$1:$R$401,11,FALSE)-AVERAGE(Rankings!V$2:V$651))/STDEV(Rankings!V$2:V$651)</f>
        <v>1.1842285686942826</v>
      </c>
      <c r="P110" s="157">
        <f>(VLOOKUP($A110,Hitters!$A$1:$R$401,12,FALSE)-AVERAGE(Rankings!W$2:W$651))/STDEV(Rankings!W$2:W$651)</f>
        <v>0.75001271963883531</v>
      </c>
      <c r="Q110" s="157">
        <f>(VLOOKUP($A110,Hitters!$A$1:$R$401,13,FALSE)-AVERAGE(Rankings!X$2:X$651))/STDEV(Rankings!X$2:X$651)</f>
        <v>0.80037436476254675</v>
      </c>
      <c r="R110" s="118">
        <f>(VLOOKUP($A110,Hitters!$A1:$R401,16,FALSE)-AVERAGE(Rankings!Y2:Y651))/STDEV(Rankings!Y2:Y651)</f>
        <v>-0.46816225840792897</v>
      </c>
      <c r="S110" s="118">
        <f>(VLOOKUP($A110,Hitters!$A1:$R401,17,FALSE)-AVERAGE(Rankings!Z2:Z651))/STDEV(Rankings!Z2:Z651)</f>
        <v>-0.1856624152019497</v>
      </c>
      <c r="T110" s="118">
        <f>IFERROR((VLOOKUP($A110,Hitters!$A1:$R401,18,FALSE)-AVERAGE(Rankings!AA2:AA651))/STDEV(Rankings!AA2:AA651),0)</f>
        <v>0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</row>
    <row r="111" spans="1:37" ht="18.600000000000001" customHeight="1">
      <c r="A111" s="26" t="s">
        <v>249</v>
      </c>
      <c r="B111" s="27" t="s">
        <v>91</v>
      </c>
      <c r="C111" s="120" t="s">
        <v>15</v>
      </c>
      <c r="D111" s="67">
        <f>(F111*Settings!$C$2)+(G111*Settings!$C$3)+(H111*Settings!$C$4)+(I111*Settings!$C$5)+(J111*Settings!$C$6)+(M111*Settings!$C$9)+(N111*Settings!$C$10)+(O111*Settings!$C$11)+(P111*Settings!$C$12)+(Q111*Settings!$C$13)+(T111*Settings!$C$16)+(K111*Settings!$C$7)+(L111*Settings!$C$8)+(R111*Settings!$C$14)+(S111*Settings!$C$15)</f>
        <v>3.4160483705612088</v>
      </c>
      <c r="E111" s="67"/>
      <c r="F111" s="118">
        <f>(VLOOKUP($A111,Hitters!$A1:$R401,4,FALSE)-AVERAGE(Rankings!M2:M651))/STDEV(Rankings!M2:M651)</f>
        <v>1.3660199919559792</v>
      </c>
      <c r="G111" s="118">
        <f>(VLOOKUP($A111,Hitters!$A1:$R401,5,FALSE)-AVERAGE(Rankings!N2:N651))/STDEV(Rankings!N2:N651)</f>
        <v>0.93307533558083144</v>
      </c>
      <c r="H111" s="118">
        <f>(VLOOKUP($A111,Hitters!$A1:$R401,6,FALSE)-AVERAGE(Rankings!O2:O651))/STDEV(Rankings!O2:O651)</f>
        <v>0.44849237300020717</v>
      </c>
      <c r="I111" s="118">
        <f>(VLOOKUP($A111,Hitters!$A1:$R401,7,FALSE)-AVERAGE(Rankings!P2:P651))/STDEV(Rankings!P2:P651)</f>
        <v>1.0138094763100021</v>
      </c>
      <c r="J111" s="118">
        <f>(VLOOKUP($A111,Hitters!$A1:$R401,8,FALSE)-AVERAGE(Rankings!Q2:Q651))/STDEV(Rankings!Q2:Q651)</f>
        <v>-0.30669867259387074</v>
      </c>
      <c r="K111" s="157">
        <f>(VLOOKUP($A111,Hitters!$A$1:$R$401,14,FALSE)-AVERAGE(Rankings!R$2:R$651))/STDEV(Rankings!R$2:R$651)</f>
        <v>1.3273698582640385</v>
      </c>
      <c r="L111" s="157">
        <f>(VLOOKUP($A111,Hitters!$A$1:$R$401,15,FALSE)-AVERAGE(Rankings!S$2:S$651))/STDEV(Rankings!S$2:S$651)</f>
        <v>0.39195127355475418</v>
      </c>
      <c r="M111" s="157">
        <f>(VLOOKUP($A111,Hitters!$A$1:$R$401,9,FALSE)-AVERAGE(Rankings!T$2:T$651))/STDEV(Rankings!T$2:T$651)</f>
        <v>1.5474676620129035</v>
      </c>
      <c r="N111" s="157">
        <f>(VLOOKUP($A111,Hitters!$A$1:$R$401,10,FALSE)-AVERAGE(Rankings!U$2:U$651))/STDEV(Rankings!U$2:U$651)</f>
        <v>1.0020513407138973</v>
      </c>
      <c r="O111" s="157">
        <f>(VLOOKUP($A111,Hitters!$A$1:$R$401,11,FALSE)-AVERAGE(Rankings!V$2:V$651))/STDEV(Rankings!V$2:V$651)</f>
        <v>0.35211183721984518</v>
      </c>
      <c r="P111" s="157">
        <f>(VLOOKUP($A111,Hitters!$A$1:$R$401,12,FALSE)-AVERAGE(Rankings!W$2:W$651))/STDEV(Rankings!W$2:W$651)</f>
        <v>0.1523703219589147</v>
      </c>
      <c r="Q111" s="157">
        <f>(VLOOKUP($A111,Hitters!$A$1:$R$401,13,FALSE)-AVERAGE(Rankings!X$2:X$651))/STDEV(Rankings!X$2:X$651)</f>
        <v>0.66342045237484137</v>
      </c>
      <c r="R111" s="118">
        <f>(VLOOKUP($A111,Hitters!$A1:$R401,16,FALSE)-AVERAGE(Rankings!Y2:Y651))/STDEV(Rankings!Y2:Y651)</f>
        <v>0.27751243173914808</v>
      </c>
      <c r="S111" s="118">
        <f>(VLOOKUP($A111,Hitters!$A1:$R401,17,FALSE)-AVERAGE(Rankings!Z2:Z651))/STDEV(Rankings!Z2:Z651)</f>
        <v>0.35043838425321339</v>
      </c>
      <c r="T111" s="118">
        <f>IFERROR((VLOOKUP($A111,Hitters!$A1:$R401,18,FALSE)-AVERAGE(Rankings!AA2:AA651))/STDEV(Rankings!AA2:AA651),0)</f>
        <v>0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</row>
    <row r="112" spans="1:37" ht="18.600000000000001" customHeight="1">
      <c r="A112" s="26" t="s">
        <v>245</v>
      </c>
      <c r="B112" s="27" t="s">
        <v>123</v>
      </c>
      <c r="C112" s="120" t="s">
        <v>15</v>
      </c>
      <c r="D112" s="67">
        <f>(F112*Settings!$C$2)+(G112*Settings!$C$3)+(H112*Settings!$C$4)+(I112*Settings!$C$5)+(J112*Settings!$C$6)+(M112*Settings!$C$9)+(N112*Settings!$C$10)+(O112*Settings!$C$11)+(P112*Settings!$C$12)+(Q112*Settings!$C$13)+(T112*Settings!$C$16)+(K112*Settings!$C$7)+(L112*Settings!$C$8)+(R112*Settings!$C$14)+(S112*Settings!$C$15)</f>
        <v>1.2587884467416472</v>
      </c>
      <c r="E112" s="67"/>
      <c r="F112" s="118">
        <f>(VLOOKUP($A112,Hitters!$A1:$R401,4,FALSE)-AVERAGE(Rankings!M2:M651))/STDEV(Rankings!M2:M651)</f>
        <v>0.65915261805130054</v>
      </c>
      <c r="G112" s="118">
        <f>(VLOOKUP($A112,Hitters!$A1:$R401,5,FALSE)-AVERAGE(Rankings!N2:N651))/STDEV(Rankings!N2:N651)</f>
        <v>0.35032496063338098</v>
      </c>
      <c r="H112" s="118">
        <f>(VLOOKUP($A112,Hitters!$A1:$R401,6,FALSE)-AVERAGE(Rankings!O2:O651))/STDEV(Rankings!O2:O651)</f>
        <v>-4.3989459153639457E-2</v>
      </c>
      <c r="I112" s="118">
        <f>(VLOOKUP($A112,Hitters!$A1:$R401,7,FALSE)-AVERAGE(Rankings!P2:P651))/STDEV(Rankings!P2:P651)</f>
        <v>0.34861388828855694</v>
      </c>
      <c r="J112" s="118">
        <f>(VLOOKUP($A112,Hitters!$A1:$R401,8,FALSE)-AVERAGE(Rankings!Q2:Q651))/STDEV(Rankings!Q2:Q651)</f>
        <v>0.48450439876626444</v>
      </c>
      <c r="K112" s="157">
        <f>(VLOOKUP($A112,Hitters!$A$1:$R$401,14,FALSE)-AVERAGE(Rankings!R$2:R$651))/STDEV(Rankings!R$2:R$651)</f>
        <v>0.11933465820708419</v>
      </c>
      <c r="L112" s="157">
        <f>(VLOOKUP($A112,Hitters!$A$1:$R$401,15,FALSE)-AVERAGE(Rankings!S$2:S$651))/STDEV(Rankings!S$2:S$651)</f>
        <v>-0.37097893039233537</v>
      </c>
      <c r="M112" s="157">
        <f>(VLOOKUP($A112,Hitters!$A$1:$R$401,9,FALSE)-AVERAGE(Rankings!T$2:T$651))/STDEV(Rankings!T$2:T$651)</f>
        <v>0.57105129756849271</v>
      </c>
      <c r="N112" s="157">
        <f>(VLOOKUP($A112,Hitters!$A$1:$R$401,10,FALSE)-AVERAGE(Rankings!U$2:U$651))/STDEV(Rankings!U$2:U$651)</f>
        <v>0.70820382808516158</v>
      </c>
      <c r="O112" s="157">
        <f>(VLOOKUP($A112,Hitters!$A$1:$R$401,11,FALSE)-AVERAGE(Rankings!V$2:V$651))/STDEV(Rankings!V$2:V$651)</f>
        <v>0.48051497781701846</v>
      </c>
      <c r="P112" s="157">
        <f>(VLOOKUP($A112,Hitters!$A$1:$R$401,12,FALSE)-AVERAGE(Rankings!W$2:W$651))/STDEV(Rankings!W$2:W$651)</f>
        <v>-4.2985929600121577E-2</v>
      </c>
      <c r="Q112" s="157">
        <f>(VLOOKUP($A112,Hitters!$A$1:$R$401,13,FALSE)-AVERAGE(Rankings!X$2:X$651))/STDEV(Rankings!X$2:X$651)</f>
        <v>0.94386156803285381</v>
      </c>
      <c r="R112" s="118">
        <f>(VLOOKUP($A112,Hitters!$A1:$R401,16,FALSE)-AVERAGE(Rankings!Y2:Y651))/STDEV(Rankings!Y2:Y651)</f>
        <v>-0.26122790657707307</v>
      </c>
      <c r="S112" s="118">
        <f>(VLOOKUP($A112,Hitters!$A1:$R401,17,FALSE)-AVERAGE(Rankings!Z2:Z651))/STDEV(Rankings!Z2:Z651)</f>
        <v>-0.33061380494367787</v>
      </c>
      <c r="T112" s="118">
        <f>IFERROR((VLOOKUP($A112,Hitters!$A1:$R401,18,FALSE)-AVERAGE(Rankings!AA2:AA651))/STDEV(Rankings!AA2:AA651),0)</f>
        <v>0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</row>
    <row r="113" spans="1:37" ht="18.600000000000001" customHeight="1">
      <c r="A113" s="26" t="s">
        <v>251</v>
      </c>
      <c r="B113" s="27" t="s">
        <v>101</v>
      </c>
      <c r="C113" s="120" t="s">
        <v>15</v>
      </c>
      <c r="D113" s="67">
        <f>(F113*Settings!$C$2)+(G113*Settings!$C$3)+(H113*Settings!$C$4)+(I113*Settings!$C$5)+(J113*Settings!$C$6)+(M113*Settings!$C$9)+(N113*Settings!$C$10)+(O113*Settings!$C$11)+(P113*Settings!$C$12)+(Q113*Settings!$C$13)+(T113*Settings!$C$16)+(K113*Settings!$C$7)+(L113*Settings!$C$8)+(R113*Settings!$C$14)+(S113*Settings!$C$15)</f>
        <v>2.6013069125651982</v>
      </c>
      <c r="E113" s="67"/>
      <c r="F113" s="118">
        <f>(VLOOKUP($A113,Hitters!$A1:$R401,4,FALSE)-AVERAGE(Rankings!M2:M651))/STDEV(Rankings!M2:M651)</f>
        <v>0.90295479783469446</v>
      </c>
      <c r="G113" s="118">
        <f>(VLOOKUP($A113,Hitters!$A1:$R401,5,FALSE)-AVERAGE(Rankings!N2:N651))/STDEV(Rankings!N2:N651)</f>
        <v>1.041749216533824</v>
      </c>
      <c r="H113" s="118">
        <f>(VLOOKUP($A113,Hitters!$A1:$R401,6,FALSE)-AVERAGE(Rankings!O2:O651))/STDEV(Rankings!O2:O651)</f>
        <v>-0.12214973465321487</v>
      </c>
      <c r="I113" s="118">
        <f>(VLOOKUP($A113,Hitters!$A1:$R401,7,FALSE)-AVERAGE(Rankings!P2:P651))/STDEV(Rankings!P2:P651)</f>
        <v>0.49005727151742107</v>
      </c>
      <c r="J113" s="118">
        <f>(VLOOKUP($A113,Hitters!$A1:$R401,8,FALSE)-AVERAGE(Rankings!Q2:Q651))/STDEV(Rankings!Q2:Q651)</f>
        <v>-0.40618707753413152</v>
      </c>
      <c r="K113" s="157">
        <f>(VLOOKUP($A113,Hitters!$A$1:$R$401,14,FALSE)-AVERAGE(Rankings!R$2:R$651))/STDEV(Rankings!R$2:R$651)</f>
        <v>1.5978372367012996</v>
      </c>
      <c r="L113" s="157">
        <f>(VLOOKUP($A113,Hitters!$A$1:$R$401,15,FALSE)-AVERAGE(Rankings!S$2:S$651))/STDEV(Rankings!S$2:S$651)</f>
        <v>2.5750559869867229</v>
      </c>
      <c r="M113" s="157">
        <f>(VLOOKUP($A113,Hitters!$A$1:$R$401,9,FALSE)-AVERAGE(Rankings!T$2:T$651))/STDEV(Rankings!T$2:T$651)</f>
        <v>1.1703911875534561</v>
      </c>
      <c r="N113" s="157">
        <f>(VLOOKUP($A113,Hitters!$A$1:$R$401,10,FALSE)-AVERAGE(Rankings!U$2:U$651))/STDEV(Rankings!U$2:U$651)</f>
        <v>0.9633421353320053</v>
      </c>
      <c r="O113" s="157">
        <f>(VLOOKUP($A113,Hitters!$A$1:$R$401,11,FALSE)-AVERAGE(Rankings!V$2:V$651))/STDEV(Rankings!V$2:V$651)</f>
        <v>-0.56167262991760381</v>
      </c>
      <c r="P113" s="157">
        <f>(VLOOKUP($A113,Hitters!$A$1:$R$401,12,FALSE)-AVERAGE(Rankings!W$2:W$651))/STDEV(Rankings!W$2:W$651)</f>
        <v>2.1173587484613594</v>
      </c>
      <c r="Q113" s="157">
        <f>(VLOOKUP($A113,Hitters!$A$1:$R$401,13,FALSE)-AVERAGE(Rankings!X$2:X$651))/STDEV(Rankings!X$2:X$651)</f>
        <v>-0.46104116787339056</v>
      </c>
      <c r="R113" s="118">
        <f>(VLOOKUP($A113,Hitters!$A1:$R401,16,FALSE)-AVERAGE(Rankings!Y2:Y651))/STDEV(Rankings!Y2:Y651)</f>
        <v>7.065583077533677E-2</v>
      </c>
      <c r="S113" s="118">
        <f>(VLOOKUP($A113,Hitters!$A1:$R401,17,FALSE)-AVERAGE(Rankings!Z2:Z651))/STDEV(Rankings!Z2:Z651)</f>
        <v>1.0209683432094736</v>
      </c>
      <c r="T113" s="118">
        <f>IFERROR((VLOOKUP($A113,Hitters!$A1:$R401,18,FALSE)-AVERAGE(Rankings!AA2:AA651))/STDEV(Rankings!AA2:AA651),0)</f>
        <v>0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</row>
    <row r="114" spans="1:37" ht="18.600000000000001" customHeight="1">
      <c r="A114" s="26" t="s">
        <v>270</v>
      </c>
      <c r="B114" s="27" t="s">
        <v>71</v>
      </c>
      <c r="C114" s="120" t="s">
        <v>15</v>
      </c>
      <c r="D114" s="67">
        <f>(F114*Settings!$C$2)+(G114*Settings!$C$3)+(H114*Settings!$C$4)+(I114*Settings!$C$5)+(J114*Settings!$C$6)+(M114*Settings!$C$9)+(N114*Settings!$C$10)+(O114*Settings!$C$11)+(P114*Settings!$C$12)+(Q114*Settings!$C$13)+(T114*Settings!$C$16)+(K114*Settings!$C$7)+(L114*Settings!$C$8)+(R114*Settings!$C$14)+(S114*Settings!$C$15)</f>
        <v>1.2529353122955118</v>
      </c>
      <c r="E114" s="67"/>
      <c r="F114" s="118">
        <f>(VLOOKUP($A114,Hitters!$A1:$R401,4,FALSE)-AVERAGE(Rankings!M2:M651))/STDEV(Rankings!M2:M651)</f>
        <v>1.0695697640788335</v>
      </c>
      <c r="G114" s="118">
        <f>(VLOOKUP($A114,Hitters!$A1:$R401,5,FALSE)-AVERAGE(Rankings!N2:N651))/STDEV(Rankings!N2:N651)</f>
        <v>0.79379730756524813</v>
      </c>
      <c r="H114" s="118">
        <f>(VLOOKUP($A114,Hitters!$A1:$R401,6,FALSE)-AVERAGE(Rankings!O2:O651))/STDEV(Rankings!O2:O651)</f>
        <v>1.7360593551615668</v>
      </c>
      <c r="I114" s="118">
        <f>(VLOOKUP($A114,Hitters!$A1:$R401,7,FALSE)-AVERAGE(Rankings!P2:P651))/STDEV(Rankings!P2:P651)</f>
        <v>1.2752528939224712</v>
      </c>
      <c r="J114" s="118">
        <f>(VLOOKUP($A114,Hitters!$A1:$R401,8,FALSE)-AVERAGE(Rankings!Q2:Q651))/STDEV(Rankings!Q2:Q651)</f>
        <v>-0.8262360326013104</v>
      </c>
      <c r="K114" s="157">
        <f>(VLOOKUP($A114,Hitters!$A$1:$R$401,14,FALSE)-AVERAGE(Rankings!R$2:R$651))/STDEV(Rankings!R$2:R$651)</f>
        <v>-1.725938211752464</v>
      </c>
      <c r="L114" s="157">
        <f>(VLOOKUP($A114,Hitters!$A$1:$R$401,15,FALSE)-AVERAGE(Rankings!S$2:S$651))/STDEV(Rankings!S$2:S$651)</f>
        <v>-0.5109643419315868</v>
      </c>
      <c r="M114" s="157">
        <f>(VLOOKUP($A114,Hitters!$A$1:$R$401,9,FALSE)-AVERAGE(Rankings!T$2:T$651))/STDEV(Rankings!T$2:T$651)</f>
        <v>0.43386654322172863</v>
      </c>
      <c r="N114" s="157">
        <f>(VLOOKUP($A114,Hitters!$A$1:$R$401,10,FALSE)-AVERAGE(Rankings!U$2:U$651))/STDEV(Rankings!U$2:U$651)</f>
        <v>0.18306208983875111</v>
      </c>
      <c r="O114" s="157">
        <f>(VLOOKUP($A114,Hitters!$A$1:$R$401,11,FALSE)-AVERAGE(Rankings!V$2:V$651))/STDEV(Rankings!V$2:V$651)</f>
        <v>-0.53401290046677363</v>
      </c>
      <c r="P114" s="157">
        <f>(VLOOKUP($A114,Hitters!$A$1:$R$401,12,FALSE)-AVERAGE(Rankings!W$2:W$651))/STDEV(Rankings!W$2:W$651)</f>
        <v>1.5404260572899964</v>
      </c>
      <c r="Q114" s="157">
        <f>(VLOOKUP($A114,Hitters!$A$1:$R$401,13,FALSE)-AVERAGE(Rankings!X$2:X$651))/STDEV(Rankings!X$2:X$651)</f>
        <v>2.5635403095397771</v>
      </c>
      <c r="R114" s="118">
        <f>(VLOOKUP($A114,Hitters!$A1:$R401,16,FALSE)-AVERAGE(Rankings!Y2:Y651))/STDEV(Rankings!Y2:Y651)</f>
        <v>0.16572129467053118</v>
      </c>
      <c r="S114" s="118">
        <f>(VLOOKUP($A114,Hitters!$A1:$R401,17,FALSE)-AVERAGE(Rankings!Z2:Z651))/STDEV(Rankings!Z2:Z651)</f>
        <v>-7.1166185956180544E-2</v>
      </c>
      <c r="T114" s="118">
        <f>IFERROR((VLOOKUP($A114,Hitters!$A1:$R401,18,FALSE)-AVERAGE(Rankings!AA2:AA651))/STDEV(Rankings!AA2:AA651),0)</f>
        <v>0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</row>
    <row r="115" spans="1:37" ht="18.600000000000001" customHeight="1">
      <c r="A115" s="26" t="s">
        <v>285</v>
      </c>
      <c r="B115" s="27" t="s">
        <v>91</v>
      </c>
      <c r="C115" s="120" t="s">
        <v>15</v>
      </c>
      <c r="D115" s="67">
        <f>(F115*Settings!$C$2)+(G115*Settings!$C$3)+(H115*Settings!$C$4)+(I115*Settings!$C$5)+(J115*Settings!$C$6)+(M115*Settings!$C$9)+(N115*Settings!$C$10)+(O115*Settings!$C$11)+(P115*Settings!$C$12)+(Q115*Settings!$C$13)+(T115*Settings!$C$16)+(K115*Settings!$C$7)+(L115*Settings!$C$8)+(R115*Settings!$C$14)+(S115*Settings!$C$15)</f>
        <v>0.62212804510937847</v>
      </c>
      <c r="E115" s="67"/>
      <c r="F115" s="118">
        <f>(VLOOKUP($A115,Hitters!$A1:$R401,4,FALSE)-AVERAGE(Rankings!M2:M651))/STDEV(Rankings!M2:M651)</f>
        <v>0.43718485644825172</v>
      </c>
      <c r="G115" s="118">
        <f>(VLOOKUP($A115,Hitters!$A1:$R401,5,FALSE)-AVERAGE(Rankings!N2:N651))/STDEV(Rankings!N2:N651)</f>
        <v>0.23041730390898818</v>
      </c>
      <c r="H115" s="118">
        <f>(VLOOKUP($A115,Hitters!$A1:$R401,6,FALSE)-AVERAGE(Rankings!O2:O651))/STDEV(Rankings!O2:O651)</f>
        <v>-0.27815682258053487</v>
      </c>
      <c r="I115" s="118">
        <f>(VLOOKUP($A115,Hitters!$A1:$R401,7,FALSE)-AVERAGE(Rankings!P2:P651))/STDEV(Rankings!P2:P651)</f>
        <v>1.0184394213537753E-2</v>
      </c>
      <c r="J115" s="118">
        <f>(VLOOKUP($A115,Hitters!$A1:$R401,8,FALSE)-AVERAGE(Rankings!Q2:Q651))/STDEV(Rankings!Q2:Q651)</f>
        <v>0.66360728608379427</v>
      </c>
      <c r="K115" s="157">
        <f>(VLOOKUP($A115,Hitters!$A$1:$R$401,14,FALSE)-AVERAGE(Rankings!R$2:R$651))/STDEV(Rankings!R$2:R$651)</f>
        <v>-3.9241165164069208E-3</v>
      </c>
      <c r="L115" s="157">
        <f>(VLOOKUP($A115,Hitters!$A$1:$R$401,15,FALSE)-AVERAGE(Rankings!S$2:S$651))/STDEV(Rankings!S$2:S$651)</f>
        <v>-1.5426502186917303E-2</v>
      </c>
      <c r="M115" s="157">
        <f>(VLOOKUP($A115,Hitters!$A$1:$R$401,9,FALSE)-AVERAGE(Rankings!T$2:T$651))/STDEV(Rankings!T$2:T$651)</f>
        <v>0.34675545984035955</v>
      </c>
      <c r="N115" s="157">
        <f>(VLOOKUP($A115,Hitters!$A$1:$R$401,10,FALSE)-AVERAGE(Rankings!U$2:U$651))/STDEV(Rankings!U$2:U$651)</f>
        <v>0.24277359405544968</v>
      </c>
      <c r="O115" s="157">
        <f>(VLOOKUP($A115,Hitters!$A$1:$R$401,11,FALSE)-AVERAGE(Rankings!V$2:V$651))/STDEV(Rankings!V$2:V$651)</f>
        <v>1.1616238932465353</v>
      </c>
      <c r="P115" s="157">
        <f>(VLOOKUP($A115,Hitters!$A$1:$R$401,12,FALSE)-AVERAGE(Rankings!W$2:W$651))/STDEV(Rankings!W$2:W$651)</f>
        <v>0.24006020333036382</v>
      </c>
      <c r="Q115" s="157">
        <f>(VLOOKUP($A115,Hitters!$A$1:$R$401,13,FALSE)-AVERAGE(Rankings!X$2:X$651))/STDEV(Rankings!X$2:X$651)</f>
        <v>0.21723781476941859</v>
      </c>
      <c r="R115" s="118">
        <f>(VLOOKUP($A115,Hitters!$A1:$R401,16,FALSE)-AVERAGE(Rankings!Y2:Y651))/STDEV(Rankings!Y2:Y651)</f>
        <v>-0.4902247572283866</v>
      </c>
      <c r="S115" s="118">
        <f>(VLOOKUP($A115,Hitters!$A1:$R401,17,FALSE)-AVERAGE(Rankings!Z2:Z651))/STDEV(Rankings!Z2:Z651)</f>
        <v>-0.36419577935671155</v>
      </c>
      <c r="T115" s="118">
        <f>IFERROR((VLOOKUP($A115,Hitters!$A1:$R401,18,FALSE)-AVERAGE(Rankings!AA2:AA651))/STDEV(Rankings!AA2:AA651),0)</f>
        <v>0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</row>
    <row r="116" spans="1:37" ht="18.600000000000001" customHeight="1">
      <c r="A116" s="26" t="s">
        <v>302</v>
      </c>
      <c r="B116" s="27" t="s">
        <v>84</v>
      </c>
      <c r="C116" s="120" t="s">
        <v>15</v>
      </c>
      <c r="D116" s="67">
        <f>(F116*Settings!$C$2)+(G116*Settings!$C$3)+(H116*Settings!$C$4)+(I116*Settings!$C$5)+(J116*Settings!$C$6)+(M116*Settings!$C$9)+(N116*Settings!$C$10)+(O116*Settings!$C$11)+(P116*Settings!$C$12)+(Q116*Settings!$C$13)+(T116*Settings!$C$16)+(K116*Settings!$C$7)+(L116*Settings!$C$8)+(R116*Settings!$C$14)+(S116*Settings!$C$15)</f>
        <v>0.73468652468273299</v>
      </c>
      <c r="E116" s="67"/>
      <c r="F116" s="118">
        <f>(VLOOKUP($A116,Hitters!$A1:$R401,4,FALSE)-AVERAGE(Rankings!M2:M651))/STDEV(Rankings!M2:M651)</f>
        <v>0.49030393823207102</v>
      </c>
      <c r="G116" s="118">
        <f>(VLOOKUP($A116,Hitters!$A1:$R401,5,FALSE)-AVERAGE(Rankings!N2:N651))/STDEV(Rankings!N2:N651)</f>
        <v>0.3027871104922894</v>
      </c>
      <c r="H116" s="118">
        <f>(VLOOKUP($A116,Hitters!$A1:$R401,6,FALSE)-AVERAGE(Rankings!O2:O651))/STDEV(Rankings!O2:O651)</f>
        <v>0.60828888117366353</v>
      </c>
      <c r="I116" s="118">
        <f>(VLOOKUP($A116,Hitters!$A1:$R401,7,FALSE)-AVERAGE(Rankings!P2:P651))/STDEV(Rankings!P2:P651)</f>
        <v>0.53083144938104831</v>
      </c>
      <c r="J116" s="118">
        <f>(VLOOKUP($A116,Hitters!$A1:$R401,8,FALSE)-AVERAGE(Rankings!Q2:Q651))/STDEV(Rankings!Q2:Q651)</f>
        <v>-0.6111430910548441</v>
      </c>
      <c r="K116" s="157">
        <f>(VLOOKUP($A116,Hitters!$A$1:$R$401,14,FALSE)-AVERAGE(Rankings!R$2:R$651))/STDEV(Rankings!R$2:R$651)</f>
        <v>-9.6077825309424131E-2</v>
      </c>
      <c r="L116" s="157">
        <f>(VLOOKUP($A116,Hitters!$A$1:$R$401,15,FALSE)-AVERAGE(Rankings!S$2:S$651))/STDEV(Rankings!S$2:S$651)</f>
        <v>-0.64228334152046707</v>
      </c>
      <c r="M116" s="157">
        <f>(VLOOKUP($A116,Hitters!$A$1:$R$401,9,FALSE)-AVERAGE(Rankings!T$2:T$651))/STDEV(Rankings!T$2:T$651)</f>
        <v>0.3719203514014095</v>
      </c>
      <c r="N116" s="157">
        <f>(VLOOKUP($A116,Hitters!$A$1:$R$401,10,FALSE)-AVERAGE(Rankings!U$2:U$651))/STDEV(Rankings!U$2:U$651)</f>
        <v>0.51453767534149197</v>
      </c>
      <c r="O116" s="157">
        <f>(VLOOKUP($A116,Hitters!$A$1:$R$401,11,FALSE)-AVERAGE(Rankings!V$2:V$651))/STDEV(Rankings!V$2:V$651)</f>
        <v>-0.52972087348302421</v>
      </c>
      <c r="P116" s="157">
        <f>(VLOOKUP($A116,Hitters!$A$1:$R$401,12,FALSE)-AVERAGE(Rankings!W$2:W$651))/STDEV(Rankings!W$2:W$651)</f>
        <v>-0.23123937774426562</v>
      </c>
      <c r="Q116" s="157">
        <f>(VLOOKUP($A116,Hitters!$A$1:$R$401,13,FALSE)-AVERAGE(Rankings!X$2:X$651))/STDEV(Rankings!X$2:X$651)</f>
        <v>0.50661356163927918</v>
      </c>
      <c r="R116" s="118">
        <f>(VLOOKUP($A116,Hitters!$A1:$R401,16,FALSE)-AVERAGE(Rankings!Y2:Y651))/STDEV(Rankings!Y2:Y651)</f>
        <v>0.42234966642273414</v>
      </c>
      <c r="S116" s="118">
        <f>(VLOOKUP($A116,Hitters!$A1:$R401,17,FALSE)-AVERAGE(Rankings!Z2:Z651))/STDEV(Rankings!Z2:Z651)</f>
        <v>6.7022787122094474E-2</v>
      </c>
      <c r="T116" s="118">
        <f>IFERROR((VLOOKUP($A116,Hitters!$A1:$R401,18,FALSE)-AVERAGE(Rankings!AA2:AA651))/STDEV(Rankings!AA2:AA651),0)</f>
        <v>0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</row>
    <row r="117" spans="1:37" ht="18.600000000000001" customHeight="1">
      <c r="A117" s="26" t="s">
        <v>329</v>
      </c>
      <c r="B117" s="27" t="s">
        <v>84</v>
      </c>
      <c r="C117" s="120" t="s">
        <v>15</v>
      </c>
      <c r="D117" s="67">
        <f>(F117*Settings!$C$2)+(G117*Settings!$C$3)+(H117*Settings!$C$4)+(I117*Settings!$C$5)+(J117*Settings!$C$6)+(M117*Settings!$C$9)+(N117*Settings!$C$10)+(O117*Settings!$C$11)+(P117*Settings!$C$12)+(Q117*Settings!$C$13)+(T117*Settings!$C$16)+(K117*Settings!$C$7)+(L117*Settings!$C$8)+(R117*Settings!$C$14)+(S117*Settings!$C$15)</f>
        <v>1.4191624797351488</v>
      </c>
      <c r="E117" s="67"/>
      <c r="F117" s="118">
        <f>(VLOOKUP($A117,Hitters!$A1:$R401,4,FALSE)-AVERAGE(Rankings!M2:M651))/STDEV(Rankings!M2:M651)</f>
        <v>0.48464308491647384</v>
      </c>
      <c r="G117" s="118">
        <f>(VLOOKUP($A117,Hitters!$A1:$R401,5,FALSE)-AVERAGE(Rankings!N2:N651))/STDEV(Rankings!N2:N651)</f>
        <v>0.46374413249172891</v>
      </c>
      <c r="H117" s="118">
        <f>(VLOOKUP($A117,Hitters!$A1:$R401,6,FALSE)-AVERAGE(Rankings!O2:O651))/STDEV(Rankings!O2:O651)</f>
        <v>0.33564566714101007</v>
      </c>
      <c r="I117" s="118">
        <f>(VLOOKUP($A117,Hitters!$A1:$R401,7,FALSE)-AVERAGE(Rankings!P2:P651))/STDEV(Rankings!P2:P651)</f>
        <v>0.70937755282258574</v>
      </c>
      <c r="J117" s="118">
        <f>(VLOOKUP($A117,Hitters!$A1:$R401,8,FALSE)-AVERAGE(Rankings!Q2:Q651))/STDEV(Rankings!Q2:Q651)</f>
        <v>-0.54366916388341935</v>
      </c>
      <c r="K117" s="157">
        <f>(VLOOKUP($A117,Hitters!$A$1:$R$401,14,FALSE)-AVERAGE(Rankings!R$2:R$651))/STDEV(Rankings!R$2:R$651)</f>
        <v>0.45406429116324337</v>
      </c>
      <c r="L117" s="157">
        <f>(VLOOKUP($A117,Hitters!$A$1:$R$401,15,FALSE)-AVERAGE(Rankings!S$2:S$651))/STDEV(Rankings!S$2:S$651)</f>
        <v>1.3560053844471338</v>
      </c>
      <c r="M117" s="157">
        <f>(VLOOKUP($A117,Hitters!$A$1:$R$401,9,FALSE)-AVERAGE(Rankings!T$2:T$651))/STDEV(Rankings!T$2:T$651)</f>
        <v>0.49419518457865513</v>
      </c>
      <c r="N117" s="157">
        <f>(VLOOKUP($A117,Hitters!$A$1:$R$401,10,FALSE)-AVERAGE(Rankings!U$2:U$651))/STDEV(Rankings!U$2:U$651)</f>
        <v>0.94713411232819289</v>
      </c>
      <c r="O117" s="157">
        <f>(VLOOKUP($A117,Hitters!$A$1:$R$401,11,FALSE)-AVERAGE(Rankings!V$2:V$651))/STDEV(Rankings!V$2:V$651)</f>
        <v>-0.54975033274052176</v>
      </c>
      <c r="P117" s="157">
        <f>(VLOOKUP($A117,Hitters!$A$1:$R$401,12,FALSE)-AVERAGE(Rankings!W$2:W$651))/STDEV(Rankings!W$2:W$651)</f>
        <v>1.2662041954000813</v>
      </c>
      <c r="Q117" s="157">
        <f>(VLOOKUP($A117,Hitters!$A$1:$R$401,13,FALSE)-AVERAGE(Rankings!X$2:X$651))/STDEV(Rankings!X$2:X$651)</f>
        <v>-0.14193815653238065</v>
      </c>
      <c r="R117" s="118">
        <f>(VLOOKUP($A117,Hitters!$A1:$R401,16,FALSE)-AVERAGE(Rankings!Y2:Y651))/STDEV(Rankings!Y2:Y651)</f>
        <v>0.5072171695996408</v>
      </c>
      <c r="S117" s="118">
        <f>(VLOOKUP($A117,Hitters!$A1:$R401,17,FALSE)-AVERAGE(Rankings!Z2:Z651))/STDEV(Rankings!Z2:Z651)</f>
        <v>0.88126278327839513</v>
      </c>
      <c r="T117" s="118">
        <f>IFERROR((VLOOKUP($A117,Hitters!$A1:$R401,18,FALSE)-AVERAGE(Rankings!AA2:AA651))/STDEV(Rankings!AA2:AA651),0)</f>
        <v>0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</row>
    <row r="118" spans="1:37" ht="18.600000000000001" customHeight="1">
      <c r="A118" s="26" t="s">
        <v>349</v>
      </c>
      <c r="B118" s="27" t="s">
        <v>114</v>
      </c>
      <c r="C118" s="120" t="s">
        <v>15</v>
      </c>
      <c r="D118" s="67">
        <f>(F118*Settings!$C$2)+(G118*Settings!$C$3)+(H118*Settings!$C$4)+(I118*Settings!$C$5)+(J118*Settings!$C$6)+(M118*Settings!$C$9)+(N118*Settings!$C$10)+(O118*Settings!$C$11)+(P118*Settings!$C$12)+(Q118*Settings!$C$13)+(T118*Settings!$C$16)+(K118*Settings!$C$7)+(L118*Settings!$C$8)+(R118*Settings!$C$14)+(S118*Settings!$C$15)</f>
        <v>1.0398637600182847</v>
      </c>
      <c r="E118" s="67"/>
      <c r="F118" s="118">
        <f>(VLOOKUP($A118,Hitters!$A1:$R401,4,FALSE)-AVERAGE(Rankings!M2:M651))/STDEV(Rankings!M2:M651)</f>
        <v>0.90177193296277858</v>
      </c>
      <c r="G118" s="118">
        <f>(VLOOKUP($A118,Hitters!$A1:$R401,5,FALSE)-AVERAGE(Rankings!N2:N651))/STDEV(Rankings!N2:N651)</f>
        <v>0.61303760217236858</v>
      </c>
      <c r="H118" s="118">
        <f>(VLOOKUP($A118,Hitters!$A1:$R401,6,FALSE)-AVERAGE(Rankings!O2:O651))/STDEV(Rankings!O2:O651)</f>
        <v>0.38217751869282734</v>
      </c>
      <c r="I118" s="118">
        <f>(VLOOKUP($A118,Hitters!$A1:$R401,7,FALSE)-AVERAGE(Rankings!P2:P651))/STDEV(Rankings!P2:P651)</f>
        <v>0.63661015300229262</v>
      </c>
      <c r="J118" s="118">
        <f>(VLOOKUP($A118,Hitters!$A1:$R401,8,FALSE)-AVERAGE(Rankings!Q2:Q651))/STDEV(Rankings!Q2:Q651)</f>
        <v>-0.42392670157920093</v>
      </c>
      <c r="K118" s="157">
        <f>(VLOOKUP($A118,Hitters!$A$1:$R$401,14,FALSE)-AVERAGE(Rankings!R$2:R$651))/STDEV(Rankings!R$2:R$651)</f>
        <v>-0.16803481227000272</v>
      </c>
      <c r="L118" s="157">
        <f>(VLOOKUP($A118,Hitters!$A$1:$R$401,15,FALSE)-AVERAGE(Rankings!S$2:S$651))/STDEV(Rankings!S$2:S$651)</f>
        <v>0.34060037185664543</v>
      </c>
      <c r="M118" s="157">
        <f>(VLOOKUP($A118,Hitters!$A$1:$R$401,9,FALSE)-AVERAGE(Rankings!T$2:T$651))/STDEV(Rankings!T$2:T$651)</f>
        <v>0.71091699203514014</v>
      </c>
      <c r="N118" s="157">
        <f>(VLOOKUP($A118,Hitters!$A$1:$R$401,10,FALSE)-AVERAGE(Rankings!U$2:U$651))/STDEV(Rankings!U$2:U$651)</f>
        <v>0.90410396276055038</v>
      </c>
      <c r="O118" s="157">
        <f>(VLOOKUP($A118,Hitters!$A$1:$R$401,11,FALSE)-AVERAGE(Rankings!V$2:V$651))/STDEV(Rankings!V$2:V$651)</f>
        <v>0.30245546947729873</v>
      </c>
      <c r="P118" s="157">
        <f>(VLOOKUP($A118,Hitters!$A$1:$R$401,12,FALSE)-AVERAGE(Rankings!W$2:W$651))/STDEV(Rankings!W$2:W$651)</f>
        <v>1.0617740833208704</v>
      </c>
      <c r="Q118" s="157">
        <f>(VLOOKUP($A118,Hitters!$A$1:$R$401,13,FALSE)-AVERAGE(Rankings!X$2:X$651))/STDEV(Rankings!X$2:X$651)</f>
        <v>1.4931246658058501</v>
      </c>
      <c r="R118" s="118">
        <f>(VLOOKUP($A118,Hitters!$A1:$R401,16,FALSE)-AVERAGE(Rankings!Y2:Y651))/STDEV(Rankings!Y2:Y651)</f>
        <v>-8.4704069566550119E-2</v>
      </c>
      <c r="S118" s="118">
        <f>(VLOOKUP($A118,Hitters!$A1:$R401,17,FALSE)-AVERAGE(Rankings!Z2:Z651))/STDEV(Rankings!Z2:Z651)</f>
        <v>6.6293960270256039E-2</v>
      </c>
      <c r="T118" s="118">
        <f>IFERROR((VLOOKUP($A118,Hitters!$A1:$R401,18,FALSE)-AVERAGE(Rankings!AA2:AA651))/STDEV(Rankings!AA2:AA651),0)</f>
        <v>0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</row>
    <row r="119" spans="1:37" ht="18.600000000000001" customHeight="1">
      <c r="A119" s="26" t="s">
        <v>341</v>
      </c>
      <c r="B119" s="27" t="s">
        <v>123</v>
      </c>
      <c r="C119" s="120" t="s">
        <v>15</v>
      </c>
      <c r="D119" s="67">
        <f>(F119*Settings!$C$2)+(G119*Settings!$C$3)+(H119*Settings!$C$4)+(I119*Settings!$C$5)+(J119*Settings!$C$6)+(M119*Settings!$C$9)+(N119*Settings!$C$10)+(O119*Settings!$C$11)+(P119*Settings!$C$12)+(Q119*Settings!$C$13)+(T119*Settings!$C$16)+(K119*Settings!$C$7)+(L119*Settings!$C$8)+(R119*Settings!$C$14)+(S119*Settings!$C$15)</f>
        <v>0.22548227510096863</v>
      </c>
      <c r="E119" s="67"/>
      <c r="F119" s="118">
        <f>(VLOOKUP($A119,Hitters!$A1:$R401,4,FALSE)-AVERAGE(Rankings!M2:M651))/STDEV(Rankings!M2:M651)</f>
        <v>0.34476931381243137</v>
      </c>
      <c r="G119" s="118">
        <f>(VLOOKUP($A119,Hitters!$A1:$R401,5,FALSE)-AVERAGE(Rankings!N2:N651))/STDEV(Rankings!N2:N651)</f>
        <v>0.4033979270161987</v>
      </c>
      <c r="H119" s="118">
        <f>(VLOOKUP($A119,Hitters!$A1:$R401,6,FALSE)-AVERAGE(Rankings!O2:O651))/STDEV(Rankings!O2:O651)</f>
        <v>-0.80313084359118525</v>
      </c>
      <c r="I119" s="118">
        <f>(VLOOKUP($A119,Hitters!$A1:$R401,7,FALSE)-AVERAGE(Rankings!P2:P651))/STDEV(Rankings!P2:P651)</f>
        <v>-9.6357870790920452E-2</v>
      </c>
      <c r="J119" s="118">
        <f>(VLOOKUP($A119,Hitters!$A1:$R401,8,FALSE)-AVERAGE(Rankings!Q2:Q651))/STDEV(Rankings!Q2:Q651)</f>
        <v>-0.20233979051623599</v>
      </c>
      <c r="K119" s="157">
        <f>(VLOOKUP($A119,Hitters!$A$1:$R$401,14,FALSE)-AVERAGE(Rankings!R$2:R$651))/STDEV(Rankings!R$2:R$651)</f>
        <v>0.92391285298311165</v>
      </c>
      <c r="L119" s="157">
        <f>(VLOOKUP($A119,Hitters!$A$1:$R$401,15,FALSE)-AVERAGE(Rankings!S$2:S$651))/STDEV(Rankings!S$2:S$651)</f>
        <v>1.5098900105267319</v>
      </c>
      <c r="M119" s="157">
        <f>(VLOOKUP($A119,Hitters!$A$1:$R$401,9,FALSE)-AVERAGE(Rankings!T$2:T$651))/STDEV(Rankings!T$2:T$651)</f>
        <v>0.47154947809114955</v>
      </c>
      <c r="N119" s="157">
        <f>(VLOOKUP($A119,Hitters!$A$1:$R$401,10,FALSE)-AVERAGE(Rankings!U$2:U$651))/STDEV(Rankings!U$2:U$651)</f>
        <v>0.45228739230030213</v>
      </c>
      <c r="O119" s="157">
        <f>(VLOOKUP($A119,Hitters!$A$1:$R$401,11,FALSE)-AVERAGE(Rankings!V$2:V$651))/STDEV(Rankings!V$2:V$651)</f>
        <v>0.14698871428814952</v>
      </c>
      <c r="P119" s="157">
        <f>(VLOOKUP($A119,Hitters!$A$1:$R$401,12,FALSE)-AVERAGE(Rankings!W$2:W$651))/STDEV(Rankings!W$2:W$651)</f>
        <v>0.94495687641846404</v>
      </c>
      <c r="Q119" s="157">
        <f>(VLOOKUP($A119,Hitters!$A$1:$R$401,13,FALSE)-AVERAGE(Rankings!X$2:X$651))/STDEV(Rankings!X$2:X$651)</f>
        <v>-0.30800713397923402</v>
      </c>
      <c r="R119" s="118">
        <f>(VLOOKUP($A119,Hitters!$A1:$R401,16,FALSE)-AVERAGE(Rankings!Y2:Y651))/STDEV(Rankings!Y2:Y651)</f>
        <v>-0.70499372165499352</v>
      </c>
      <c r="S119" s="118">
        <f>(VLOOKUP($A119,Hitters!$A1:$R401,17,FALSE)-AVERAGE(Rankings!Z2:Z651))/STDEV(Rankings!Z2:Z651)</f>
        <v>5.2945548153672965E-2</v>
      </c>
      <c r="T119" s="118">
        <f>IFERROR((VLOOKUP($A119,Hitters!$A1:$R401,18,FALSE)-AVERAGE(Rankings!AA2:AA651))/STDEV(Rankings!AA2:AA651),0)</f>
        <v>0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</row>
    <row r="120" spans="1:37" ht="18.600000000000001" customHeight="1">
      <c r="A120" s="26" t="s">
        <v>360</v>
      </c>
      <c r="B120" s="27" t="s">
        <v>63</v>
      </c>
      <c r="C120" s="120" t="s">
        <v>15</v>
      </c>
      <c r="D120" s="67">
        <f>(F120*Settings!$C$2)+(G120*Settings!$C$3)+(H120*Settings!$C$4)+(I120*Settings!$C$5)+(J120*Settings!$C$6)+(M120*Settings!$C$9)+(N120*Settings!$C$10)+(O120*Settings!$C$11)+(P120*Settings!$C$12)+(Q120*Settings!$C$13)+(T120*Settings!$C$16)+(K120*Settings!$C$7)+(L120*Settings!$C$8)+(R120*Settings!$C$14)+(S120*Settings!$C$15)</f>
        <v>0.69805951979248526</v>
      </c>
      <c r="E120" s="67"/>
      <c r="F120" s="118">
        <f>(VLOOKUP($A120,Hitters!$A1:$R401,4,FALSE)-AVERAGE(Rankings!M2:M651))/STDEV(Rankings!M2:M651)</f>
        <v>0.5362666875407992</v>
      </c>
      <c r="G120" s="118">
        <f>(VLOOKUP($A120,Hitters!$A1:$R401,5,FALSE)-AVERAGE(Rankings!N2:N651))/STDEV(Rankings!N2:N651)</f>
        <v>0.3062101095423721</v>
      </c>
      <c r="H120" s="118">
        <f>(VLOOKUP($A120,Hitters!$A1:$R401,6,FALSE)-AVERAGE(Rankings!O2:O651))/STDEV(Rankings!O2:O651)</f>
        <v>-0.17446323841880562</v>
      </c>
      <c r="I120" s="118">
        <f>(VLOOKUP($A120,Hitters!$A1:$R401,7,FALSE)-AVERAGE(Rankings!P2:P651))/STDEV(Rankings!P2:P651)</f>
        <v>0.15414116699548114</v>
      </c>
      <c r="J120" s="118">
        <f>(VLOOKUP($A120,Hitters!$A1:$R401,8,FALSE)-AVERAGE(Rankings!Q2:Q651))/STDEV(Rankings!Q2:Q651)</f>
        <v>0.6239782330831124</v>
      </c>
      <c r="K120" s="157">
        <f>(VLOOKUP($A120,Hitters!$A$1:$R$401,14,FALSE)-AVERAGE(Rankings!R$2:R$651))/STDEV(Rankings!R$2:R$651)</f>
        <v>-0.21180675140967478</v>
      </c>
      <c r="L120" s="157">
        <f>(VLOOKUP($A120,Hitters!$A$1:$R$401,15,FALSE)-AVERAGE(Rankings!S$2:S$651))/STDEV(Rankings!S$2:S$651)</f>
        <v>-0.11265636413558497</v>
      </c>
      <c r="M120" s="157">
        <f>(VLOOKUP($A120,Hitters!$A$1:$R$401,9,FALSE)-AVERAGE(Rankings!T$2:T$651))/STDEV(Rankings!T$2:T$651)</f>
        <v>0.38471098191750058</v>
      </c>
      <c r="N120" s="157">
        <f>(VLOOKUP($A120,Hitters!$A$1:$R$401,10,FALSE)-AVERAGE(Rankings!U$2:U$651))/STDEV(Rankings!U$2:U$651)</f>
        <v>0.512816469358786</v>
      </c>
      <c r="O120" s="157">
        <f>(VLOOKUP($A120,Hitters!$A$1:$R$401,11,FALSE)-AVERAGE(Rankings!V$2:V$651))/STDEV(Rankings!V$2:V$651)</f>
        <v>0.68778411424058861</v>
      </c>
      <c r="P120" s="157">
        <f>(VLOOKUP($A120,Hitters!$A$1:$R$401,12,FALSE)-AVERAGE(Rankings!W$2:W$651))/STDEV(Rankings!W$2:W$651)</f>
        <v>0.36441641208398001</v>
      </c>
      <c r="Q120" s="157">
        <f>(VLOOKUP($A120,Hitters!$A$1:$R$401,13,FALSE)-AVERAGE(Rankings!X$2:X$651))/STDEV(Rankings!X$2:X$651)</f>
        <v>-4.6915906789898815E-3</v>
      </c>
      <c r="R120" s="118">
        <f>(VLOOKUP($A120,Hitters!$A1:$R401,16,FALSE)-AVERAGE(Rankings!Y2:Y651))/STDEV(Rankings!Y2:Y651)</f>
        <v>-0.49890875368840532</v>
      </c>
      <c r="S120" s="118">
        <f>(VLOOKUP($A120,Hitters!$A1:$R401,17,FALSE)-AVERAGE(Rankings!Z2:Z651))/STDEV(Rankings!Z2:Z651)</f>
        <v>-0.40714377423758186</v>
      </c>
      <c r="T120" s="118">
        <f>IFERROR((VLOOKUP($A120,Hitters!$A1:$R401,18,FALSE)-AVERAGE(Rankings!AA2:AA651))/STDEV(Rankings!AA2:AA651),0)</f>
        <v>0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</row>
    <row r="121" spans="1:37" ht="18.600000000000001" customHeight="1">
      <c r="A121" s="26" t="s">
        <v>385</v>
      </c>
      <c r="B121" s="27" t="s">
        <v>306</v>
      </c>
      <c r="C121" s="120" t="s">
        <v>15</v>
      </c>
      <c r="D121" s="67">
        <f>(F121*Settings!$C$2)+(G121*Settings!$C$3)+(H121*Settings!$C$4)+(I121*Settings!$C$5)+(J121*Settings!$C$6)+(M121*Settings!$C$9)+(N121*Settings!$C$10)+(O121*Settings!$C$11)+(P121*Settings!$C$12)+(Q121*Settings!$C$13)+(T121*Settings!$C$16)+(K121*Settings!$C$7)+(L121*Settings!$C$8)+(R121*Settings!$C$14)+(S121*Settings!$C$15)</f>
        <v>1.1627734899558873E-2</v>
      </c>
      <c r="E121" s="67"/>
      <c r="F121" s="118">
        <f>(VLOOKUP($A121,Hitters!$A1:$R401,4,FALSE)-AVERAGE(Rankings!M2:M651))/STDEV(Rankings!M2:M651)</f>
        <v>0.73084795897094634</v>
      </c>
      <c r="G121" s="118">
        <f>(VLOOKUP($A121,Hitters!$A1:$R401,5,FALSE)-AVERAGE(Rankings!N2:N651))/STDEV(Rankings!N2:N651)</f>
        <v>0.31252364112363568</v>
      </c>
      <c r="H121" s="118">
        <f>(VLOOKUP($A121,Hitters!$A1:$R401,6,FALSE)-AVERAGE(Rankings!O2:O651))/STDEV(Rankings!O2:O651)</f>
        <v>0.22781437043111033</v>
      </c>
      <c r="I121" s="118">
        <f>(VLOOKUP($A121,Hitters!$A1:$R401,7,FALSE)-AVERAGE(Rankings!P2:P651))/STDEV(Rankings!P2:P651)</f>
        <v>0.47651678298842653</v>
      </c>
      <c r="J121" s="118">
        <f>(VLOOKUP($A121,Hitters!$A1:$R401,8,FALSE)-AVERAGE(Rankings!Q2:Q651))/STDEV(Rankings!Q2:Q651)</f>
        <v>-0.82718636960372494</v>
      </c>
      <c r="K121" s="157">
        <f>(VLOOKUP($A121,Hitters!$A$1:$R$401,14,FALSE)-AVERAGE(Rankings!R$2:R$651))/STDEV(Rankings!R$2:R$651)</f>
        <v>-0.1780406900398887</v>
      </c>
      <c r="L121" s="157">
        <f>(VLOOKUP($A121,Hitters!$A$1:$R$401,15,FALSE)-AVERAGE(Rankings!S$2:S$651))/STDEV(Rankings!S$2:S$651)</f>
        <v>-0.14145503840208501</v>
      </c>
      <c r="M121" s="157">
        <f>(VLOOKUP($A121,Hitters!$A$1:$R$401,9,FALSE)-AVERAGE(Rankings!T$2:T$651))/STDEV(Rankings!T$2:T$651)</f>
        <v>0.56069448140704414</v>
      </c>
      <c r="N121" s="157">
        <f>(VLOOKUP($A121,Hitters!$A$1:$R$401,10,FALSE)-AVERAGE(Rankings!U$2:U$651))/STDEV(Rankings!U$2:U$651)</f>
        <v>1.12700013752094</v>
      </c>
      <c r="O121" s="157">
        <f>(VLOOKUP($A121,Hitters!$A$1:$R$401,11,FALSE)-AVERAGE(Rankings!V$2:V$651))/STDEV(Rankings!V$2:V$651)</f>
        <v>0.31580844231563038</v>
      </c>
      <c r="P121" s="157">
        <f>(VLOOKUP($A121,Hitters!$A$1:$R$401,12,FALSE)-AVERAGE(Rankings!W$2:W$651))/STDEV(Rankings!W$2:W$651)</f>
        <v>0.44540469929746951</v>
      </c>
      <c r="Q121" s="157">
        <f>(VLOOKUP($A121,Hitters!$A$1:$R$401,13,FALSE)-AVERAGE(Rankings!X$2:X$651))/STDEV(Rankings!X$2:X$651)</f>
        <v>0.77898693310812284</v>
      </c>
      <c r="R121" s="118">
        <f>(VLOOKUP($A121,Hitters!$A1:$R401,16,FALSE)-AVERAGE(Rankings!Y2:Y651))/STDEV(Rankings!Y2:Y651)</f>
        <v>-7.7024750401623911E-3</v>
      </c>
      <c r="S121" s="118">
        <f>(VLOOKUP($A121,Hitters!$A1:$R401,17,FALSE)-AVERAGE(Rankings!Z2:Z651))/STDEV(Rankings!Z2:Z651)</f>
        <v>-5.8865280689209709E-2</v>
      </c>
      <c r="T121" s="118">
        <f>IFERROR((VLOOKUP($A121,Hitters!$A1:$R401,18,FALSE)-AVERAGE(Rankings!AA2:AA651))/STDEV(Rankings!AA2:AA651),0)</f>
        <v>0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</row>
    <row r="122" spans="1:37" ht="18.600000000000001" customHeight="1">
      <c r="A122" s="26" t="s">
        <v>374</v>
      </c>
      <c r="B122" s="27" t="s">
        <v>86</v>
      </c>
      <c r="C122" s="120" t="s">
        <v>15</v>
      </c>
      <c r="D122" s="67">
        <f>(F122*Settings!$C$2)+(G122*Settings!$C$3)+(H122*Settings!$C$4)+(I122*Settings!$C$5)+(J122*Settings!$C$6)+(M122*Settings!$C$9)+(N122*Settings!$C$10)+(O122*Settings!$C$11)+(P122*Settings!$C$12)+(Q122*Settings!$C$13)+(T122*Settings!$C$16)+(K122*Settings!$C$7)+(L122*Settings!$C$8)+(R122*Settings!$C$14)+(S122*Settings!$C$15)</f>
        <v>0.95309385924057677</v>
      </c>
      <c r="E122" s="67"/>
      <c r="F122" s="118">
        <f>(VLOOKUP($A122,Hitters!$A1:$R401,4,FALSE)-AVERAGE(Rankings!M2:M651))/STDEV(Rankings!M2:M651)</f>
        <v>0.71119617995032947</v>
      </c>
      <c r="G122" s="118">
        <f>(VLOOKUP($A122,Hitters!$A1:$R401,5,FALSE)-AVERAGE(Rankings!N2:N651))/STDEV(Rankings!N2:N651)</f>
        <v>0.17391195692313577</v>
      </c>
      <c r="H122" s="118">
        <f>(VLOOKUP($A122,Hitters!$A1:$R401,6,FALSE)-AVERAGE(Rankings!O2:O651))/STDEV(Rankings!O2:O651)</f>
        <v>0.80291461955057497</v>
      </c>
      <c r="I122" s="118">
        <f>(VLOOKUP($A122,Hitters!$A1:$R401,7,FALSE)-AVERAGE(Rankings!P2:P651))/STDEV(Rankings!P2:P651)</f>
        <v>0.64700680479613426</v>
      </c>
      <c r="J122" s="118">
        <f>(VLOOKUP($A122,Hitters!$A1:$R401,8,FALSE)-AVERAGE(Rankings!Q2:Q651))/STDEV(Rankings!Q2:Q651)</f>
        <v>-0.2283600176423432</v>
      </c>
      <c r="K122" s="157">
        <f>(VLOOKUP($A122,Hitters!$A$1:$R$401,14,FALSE)-AVERAGE(Rankings!R$2:R$651))/STDEV(Rankings!R$2:R$651)</f>
        <v>-0.44237950438692486</v>
      </c>
      <c r="L122" s="157">
        <f>(VLOOKUP($A122,Hitters!$A$1:$R$401,15,FALSE)-AVERAGE(Rankings!S$2:S$651))/STDEV(Rankings!S$2:S$651)</f>
        <v>-1.1060671162844584</v>
      </c>
      <c r="M122" s="157">
        <f>(VLOOKUP($A122,Hitters!$A$1:$R$401,9,FALSE)-AVERAGE(Rankings!T$2:T$651))/STDEV(Rankings!T$2:T$651)</f>
        <v>0.47853729609300816</v>
      </c>
      <c r="N122" s="157">
        <f>(VLOOKUP($A122,Hitters!$A$1:$R$401,10,FALSE)-AVERAGE(Rankings!U$2:U$651))/STDEV(Rankings!U$2:U$651)</f>
        <v>0.53888126529022629</v>
      </c>
      <c r="O122" s="157">
        <f>(VLOOKUP($A122,Hitters!$A$1:$R$401,11,FALSE)-AVERAGE(Rankings!V$2:V$651))/STDEV(Rankings!V$2:V$651)</f>
        <v>0.45006304636731531</v>
      </c>
      <c r="P122" s="157">
        <f>(VLOOKUP($A122,Hitters!$A$1:$R$401,12,FALSE)-AVERAGE(Rankings!W$2:W$651))/STDEV(Rankings!W$2:W$651)</f>
        <v>-0.29808270603890141</v>
      </c>
      <c r="Q122" s="157">
        <f>(VLOOKUP($A122,Hitters!$A$1:$R$401,13,FALSE)-AVERAGE(Rankings!X$2:X$651))/STDEV(Rankings!X$2:X$651)</f>
        <v>1.4138608192489535</v>
      </c>
      <c r="R122" s="118">
        <f>(VLOOKUP($A122,Hitters!$A1:$R401,16,FALSE)-AVERAGE(Rankings!Y2:Y651))/STDEV(Rankings!Y2:Y651)</f>
        <v>0.35865018836053814</v>
      </c>
      <c r="S122" s="118">
        <f>(VLOOKUP($A122,Hitters!$A1:$R401,17,FALSE)-AVERAGE(Rankings!Z2:Z651))/STDEV(Rankings!Z2:Z651)</f>
        <v>-0.15412463107152674</v>
      </c>
      <c r="T122" s="118">
        <f>IFERROR((VLOOKUP($A122,Hitters!$A1:$R401,18,FALSE)-AVERAGE(Rankings!AA2:AA651))/STDEV(Rankings!AA2:AA651),0)</f>
        <v>0</v>
      </c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</row>
    <row r="123" spans="1:37" ht="18.600000000000001" customHeight="1">
      <c r="A123" s="26" t="s">
        <v>402</v>
      </c>
      <c r="B123" s="27" t="s">
        <v>95</v>
      </c>
      <c r="C123" s="120" t="s">
        <v>15</v>
      </c>
      <c r="D123" s="67">
        <f>(F123*Settings!$C$2)+(G123*Settings!$C$3)+(H123*Settings!$C$4)+(I123*Settings!$C$5)+(J123*Settings!$C$6)+(M123*Settings!$C$9)+(N123*Settings!$C$10)+(O123*Settings!$C$11)+(P123*Settings!$C$12)+(Q123*Settings!$C$13)+(T123*Settings!$C$16)+(K123*Settings!$C$7)+(L123*Settings!$C$8)+(R123*Settings!$C$14)+(S123*Settings!$C$15)</f>
        <v>-0.95146531178257943</v>
      </c>
      <c r="E123" s="67"/>
      <c r="F123" s="118">
        <f>(VLOOKUP($A123,Hitters!$A1:$R401,4,FALSE)-AVERAGE(Rankings!M2:M651))/STDEV(Rankings!M2:M651)</f>
        <v>0.22424383239901094</v>
      </c>
      <c r="G123" s="118">
        <f>(VLOOKUP($A123,Hitters!$A1:$R401,5,FALSE)-AVERAGE(Rankings!N2:N651))/STDEV(Rankings!N2:N651)</f>
        <v>-6.0431122044252342E-2</v>
      </c>
      <c r="H123" s="118">
        <f>(VLOOKUP($A123,Hitters!$A1:$R401,6,FALSE)-AVERAGE(Rankings!O2:O651))/STDEV(Rankings!O2:O651)</f>
        <v>0.24641317935975582</v>
      </c>
      <c r="I123" s="118">
        <f>(VLOOKUP($A123,Hitters!$A1:$R401,7,FALSE)-AVERAGE(Rankings!P2:P651))/STDEV(Rankings!P2:P651)</f>
        <v>0.28926607977824975</v>
      </c>
      <c r="J123" s="118">
        <f>(VLOOKUP($A123,Hitters!$A1:$R401,8,FALSE)-AVERAGE(Rankings!Q2:Q651))/STDEV(Rankings!Q2:Q651)</f>
        <v>-0.82528569559889597</v>
      </c>
      <c r="K123" s="157">
        <f>(VLOOKUP($A123,Hitters!$A$1:$R$401,14,FALSE)-AVERAGE(Rankings!R$2:R$651))/STDEV(Rankings!R$2:R$651)</f>
        <v>-0.60142775327743669</v>
      </c>
      <c r="L123" s="157">
        <f>(VLOOKUP($A123,Hitters!$A$1:$R$401,15,FALSE)-AVERAGE(Rankings!S$2:S$651))/STDEV(Rankings!S$2:S$651)</f>
        <v>-0.78382891355791051</v>
      </c>
      <c r="M123" s="157">
        <f>(VLOOKUP($A123,Hitters!$A$1:$R$401,9,FALSE)-AVERAGE(Rankings!T$2:T$651))/STDEV(Rankings!T$2:T$651)</f>
        <v>3.2743982938413158E-2</v>
      </c>
      <c r="N123" s="157">
        <f>(VLOOKUP($A123,Hitters!$A$1:$R$401,10,FALSE)-AVERAGE(Rankings!U$2:U$651))/STDEV(Rankings!U$2:U$651)</f>
        <v>-3.2232091831354677E-2</v>
      </c>
      <c r="O123" s="157">
        <f>(VLOOKUP($A123,Hitters!$A$1:$R$401,11,FALSE)-AVERAGE(Rankings!V$2:V$651))/STDEV(Rankings!V$2:V$651)</f>
        <v>1.1870899200167822</v>
      </c>
      <c r="P123" s="157">
        <f>(VLOOKUP($A123,Hitters!$A$1:$R$401,12,FALSE)-AVERAGE(Rankings!W$2:W$651))/STDEV(Rankings!W$2:W$651)</f>
        <v>-0.16667267872152997</v>
      </c>
      <c r="Q123" s="157">
        <f>(VLOOKUP($A123,Hitters!$A$1:$R$401,13,FALSE)-AVERAGE(Rankings!X$2:X$651))/STDEV(Rankings!X$2:X$651)</f>
        <v>0.23686616180847905</v>
      </c>
      <c r="R123" s="118">
        <f>(VLOOKUP($A123,Hitters!$A1:$R401,16,FALSE)-AVERAGE(Rankings!Y2:Y651))/STDEV(Rankings!Y2:Y651)</f>
        <v>5.4006136030989631E-2</v>
      </c>
      <c r="S123" s="118">
        <f>(VLOOKUP($A123,Hitters!$A1:$R401,17,FALSE)-AVERAGE(Rankings!Z2:Z651))/STDEV(Rankings!Z2:Z651)</f>
        <v>-0.25555206421801469</v>
      </c>
      <c r="T123" s="118">
        <f>IFERROR((VLOOKUP($A123,Hitters!$A1:$R401,18,FALSE)-AVERAGE(Rankings!AA2:AA651))/STDEV(Rankings!AA2:AA651),0)</f>
        <v>0</v>
      </c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</row>
    <row r="124" spans="1:37" ht="18.600000000000001" customHeight="1">
      <c r="A124" s="26" t="s">
        <v>404</v>
      </c>
      <c r="B124" s="27" t="s">
        <v>223</v>
      </c>
      <c r="C124" s="120" t="s">
        <v>15</v>
      </c>
      <c r="D124" s="67">
        <f>(F124*Settings!$C$2)+(G124*Settings!$C$3)+(H124*Settings!$C$4)+(I124*Settings!$C$5)+(J124*Settings!$C$6)+(M124*Settings!$C$9)+(N124*Settings!$C$10)+(O124*Settings!$C$11)+(P124*Settings!$C$12)+(Q124*Settings!$C$13)+(T124*Settings!$C$16)+(K124*Settings!$C$7)+(L124*Settings!$C$8)+(R124*Settings!$C$14)+(S124*Settings!$C$15)</f>
        <v>-0.98953848820792345</v>
      </c>
      <c r="E124" s="67"/>
      <c r="F124" s="118">
        <f>(VLOOKUP($A124,Hitters!$A1:$R401,4,FALSE)-AVERAGE(Rankings!M2:M651))/STDEV(Rankings!M2:M651)</f>
        <v>7.8751453153368969E-2</v>
      </c>
      <c r="G124" s="118">
        <f>(VLOOKUP($A124,Hitters!$A1:$R401,5,FALSE)-AVERAGE(Rankings!N2:N651))/STDEV(Rankings!N2:N651)</f>
        <v>-8.7130514634896614E-2</v>
      </c>
      <c r="H124" s="118">
        <f>(VLOOKUP($A124,Hitters!$A1:$R401,6,FALSE)-AVERAGE(Rankings!O2:O651))/STDEV(Rankings!O2:O651)</f>
        <v>1.5286407729622153E-2</v>
      </c>
      <c r="I124" s="118">
        <f>(VLOOKUP($A124,Hitters!$A1:$R401,7,FALSE)-AVERAGE(Rankings!P2:P651))/STDEV(Rankings!P2:P651)</f>
        <v>3.0036990177101586E-2</v>
      </c>
      <c r="J124" s="118">
        <f>(VLOOKUP($A124,Hitters!$A1:$R401,8,FALSE)-AVERAGE(Rankings!Q2:Q651))/STDEV(Rankings!Q2:Q651)</f>
        <v>-0.42012535356954323</v>
      </c>
      <c r="K124" s="157">
        <f>(VLOOKUP($A124,Hitters!$A$1:$R$401,14,FALSE)-AVERAGE(Rankings!R$2:R$651))/STDEV(Rankings!R$2:R$651)</f>
        <v>-0.52760601791020734</v>
      </c>
      <c r="L124" s="157">
        <f>(VLOOKUP($A124,Hitters!$A$1:$R$401,15,FALSE)-AVERAGE(Rankings!S$2:S$651))/STDEV(Rankings!S$2:S$651)</f>
        <v>-0.41804085549887576</v>
      </c>
      <c r="M124" s="157">
        <f>(VLOOKUP($A124,Hitters!$A$1:$R$401,9,FALSE)-AVERAGE(Rankings!T$2:T$651))/STDEV(Rankings!T$2:T$651)</f>
        <v>-7.3699823944325893E-2</v>
      </c>
      <c r="N124" s="157">
        <f>(VLOOKUP($A124,Hitters!$A$1:$R$401,10,FALSE)-AVERAGE(Rankings!U$2:U$651))/STDEV(Rankings!U$2:U$651)</f>
        <v>0.20314282630365141</v>
      </c>
      <c r="O124" s="157">
        <f>(VLOOKUP($A124,Hitters!$A$1:$R$401,11,FALSE)-AVERAGE(Rankings!V$2:V$651))/STDEV(Rankings!V$2:V$651)</f>
        <v>-0.54688898141802222</v>
      </c>
      <c r="P124" s="157">
        <f>(VLOOKUP($A124,Hitters!$A$1:$R$401,12,FALSE)-AVERAGE(Rankings!W$2:W$651))/STDEV(Rankings!W$2:W$651)</f>
        <v>-6.1889759482557467E-3</v>
      </c>
      <c r="Q124" s="157">
        <f>(VLOOKUP($A124,Hitters!$A$1:$R$401,13,FALSE)-AVERAGE(Rankings!X$2:X$651))/STDEV(Rankings!X$2:X$651)</f>
        <v>0.15432206537890383</v>
      </c>
      <c r="R124" s="118">
        <f>(VLOOKUP($A124,Hitters!$A1:$R401,16,FALSE)-AVERAGE(Rankings!Y2:Y651))/STDEV(Rankings!Y2:Y651)</f>
        <v>-0.17221571863611079</v>
      </c>
      <c r="S124" s="118">
        <f>(VLOOKUP($A124,Hitters!$A1:$R401,17,FALSE)-AVERAGE(Rankings!Z2:Z651))/STDEV(Rankings!Z2:Z651)</f>
        <v>-0.28325236573736956</v>
      </c>
      <c r="T124" s="118">
        <f>IFERROR((VLOOKUP($A124,Hitters!$A1:$R401,18,FALSE)-AVERAGE(Rankings!AA2:AA651))/STDEV(Rankings!AA2:AA651),0)</f>
        <v>0</v>
      </c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</row>
    <row r="125" spans="1:37" ht="18.600000000000001" customHeight="1">
      <c r="A125" s="26" t="s">
        <v>403</v>
      </c>
      <c r="B125" s="27" t="s">
        <v>134</v>
      </c>
      <c r="C125" s="120" t="s">
        <v>15</v>
      </c>
      <c r="D125" s="67">
        <f>(F125*Settings!$C$2)+(G125*Settings!$C$3)+(H125*Settings!$C$4)+(I125*Settings!$C$5)+(J125*Settings!$C$6)+(M125*Settings!$C$9)+(N125*Settings!$C$10)+(O125*Settings!$C$11)+(P125*Settings!$C$12)+(Q125*Settings!$C$13)+(T125*Settings!$C$16)+(K125*Settings!$C$7)+(L125*Settings!$C$8)+(R125*Settings!$C$14)+(S125*Settings!$C$15)</f>
        <v>0.30963798830424749</v>
      </c>
      <c r="E125" s="67"/>
      <c r="F125" s="118">
        <f>(VLOOKUP($A125,Hitters!$A1:$R401,4,FALSE)-AVERAGE(Rankings!M2:M651))/STDEV(Rankings!M2:M651)</f>
        <v>0.32385795268392004</v>
      </c>
      <c r="G125" s="118">
        <f>(VLOOKUP($A125,Hitters!$A1:$R401,5,FALSE)-AVERAGE(Rankings!N2:N651))/STDEV(Rankings!N2:N651)</f>
        <v>-0.12622877045139538</v>
      </c>
      <c r="H125" s="118">
        <f>(VLOOKUP($A125,Hitters!$A1:$R401,6,FALSE)-AVERAGE(Rankings!O2:O651))/STDEV(Rankings!O2:O651)</f>
        <v>-0.89173640522877728</v>
      </c>
      <c r="I125" s="118">
        <f>(VLOOKUP($A125,Hitters!$A1:$R401,7,FALSE)-AVERAGE(Rankings!P2:P651))/STDEV(Rankings!P2:P651)</f>
        <v>-0.26546126512671181</v>
      </c>
      <c r="J125" s="118">
        <f>(VLOOKUP($A125,Hitters!$A1:$R401,8,FALSE)-AVERAGE(Rankings!Q2:Q651))/STDEV(Rankings!Q2:Q651)</f>
        <v>0.87581753872293699</v>
      </c>
      <c r="K125" s="157">
        <f>(VLOOKUP($A125,Hitters!$A$1:$R$401,14,FALSE)-AVERAGE(Rankings!R$2:R$651))/STDEV(Rankings!R$2:R$651)</f>
        <v>0.717246890388195</v>
      </c>
      <c r="L125" s="157">
        <f>(VLOOKUP($A125,Hitters!$A$1:$R$401,15,FALSE)-AVERAGE(Rankings!S$2:S$651))/STDEV(Rankings!S$2:S$651)</f>
        <v>-0.48273437319800661</v>
      </c>
      <c r="M125" s="157">
        <f>(VLOOKUP($A125,Hitters!$A$1:$R$401,9,FALSE)-AVERAGE(Rankings!T$2:T$651))/STDEV(Rankings!T$2:T$651)</f>
        <v>0.4063981399822541</v>
      </c>
      <c r="N125" s="157">
        <f>(VLOOKUP($A125,Hitters!$A$1:$R$401,10,FALSE)-AVERAGE(Rankings!U$2:U$651))/STDEV(Rankings!U$2:U$651)</f>
        <v>0.72725004803753879</v>
      </c>
      <c r="O125" s="157">
        <f>(VLOOKUP($A125,Hitters!$A$1:$R$401,11,FALSE)-AVERAGE(Rankings!V$2:V$651))/STDEV(Rankings!V$2:V$651)</f>
        <v>1.1522768122597027</v>
      </c>
      <c r="P125" s="157">
        <f>(VLOOKUP($A125,Hitters!$A$1:$R$401,12,FALSE)-AVERAGE(Rankings!W$2:W$651))/STDEV(Rankings!W$2:W$651)</f>
        <v>-0.72174102046467403</v>
      </c>
      <c r="Q125" s="157">
        <f>(VLOOKUP($A125,Hitters!$A$1:$R$401,13,FALSE)-AVERAGE(Rankings!X$2:X$651))/STDEV(Rankings!X$2:X$651)</f>
        <v>-0.39460092160964677</v>
      </c>
      <c r="R125" s="118">
        <f>(VLOOKUP($A125,Hitters!$A1:$R401,16,FALSE)-AVERAGE(Rankings!Y2:Y651))/STDEV(Rankings!Y2:Y651)</f>
        <v>-0.65183770253099615</v>
      </c>
      <c r="S125" s="118">
        <f>(VLOOKUP($A125,Hitters!$A1:$R401,17,FALSE)-AVERAGE(Rankings!Z2:Z651))/STDEV(Rankings!Z2:Z651)</f>
        <v>-0.65825386130156904</v>
      </c>
      <c r="T125" s="118">
        <f>IFERROR((VLOOKUP($A125,Hitters!$A1:$R401,18,FALSE)-AVERAGE(Rankings!AA2:AA651))/STDEV(Rankings!AA2:AA651),0)</f>
        <v>0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</row>
    <row r="126" spans="1:37" ht="18.600000000000001" customHeight="1">
      <c r="A126" s="26" t="s">
        <v>446</v>
      </c>
      <c r="B126" s="27" t="s">
        <v>68</v>
      </c>
      <c r="C126" s="120" t="s">
        <v>15</v>
      </c>
      <c r="D126" s="67">
        <f>(F126*Settings!$C$2)+(G126*Settings!$C$3)+(H126*Settings!$C$4)+(I126*Settings!$C$5)+(J126*Settings!$C$6)+(M126*Settings!$C$9)+(N126*Settings!$C$10)+(O126*Settings!$C$11)+(P126*Settings!$C$12)+(Q126*Settings!$C$13)+(T126*Settings!$C$16)+(K126*Settings!$C$7)+(L126*Settings!$C$8)+(R126*Settings!$C$14)+(S126*Settings!$C$15)</f>
        <v>-1.7436447846633236</v>
      </c>
      <c r="E126" s="67"/>
      <c r="F126" s="118">
        <f>(VLOOKUP($A126,Hitters!$A1:$R401,4,FALSE)-AVERAGE(Rankings!M2:M651))/STDEV(Rankings!M2:M651)</f>
        <v>-8.6511667522865696E-2</v>
      </c>
      <c r="G126" s="118">
        <f>(VLOOKUP($A126,Hitters!$A1:$R401,5,FALSE)-AVERAGE(Rankings!N2:N651))/STDEV(Rankings!N2:N651)</f>
        <v>-9.9681511151866062E-2</v>
      </c>
      <c r="H126" s="118">
        <f>(VLOOKUP($A126,Hitters!$A1:$R401,6,FALSE)-AVERAGE(Rankings!O2:O651))/STDEV(Rankings!O2:O651)</f>
        <v>0.20754375845269937</v>
      </c>
      <c r="I126" s="118">
        <f>(VLOOKUP($A126,Hitters!$A1:$R401,7,FALSE)-AVERAGE(Rankings!P2:P651))/STDEV(Rankings!P2:P651)</f>
        <v>2.1332390408461913E-2</v>
      </c>
      <c r="J126" s="118">
        <f>(VLOOKUP($A126,Hitters!$A1:$R401,8,FALSE)-AVERAGE(Rankings!Q2:Q651))/STDEV(Rankings!Q2:Q651)</f>
        <v>-0.82457294284708516</v>
      </c>
      <c r="K126" s="157">
        <f>(VLOOKUP($A126,Hitters!$A$1:$R$401,14,FALSE)-AVERAGE(Rankings!R$2:R$651))/STDEV(Rankings!R$2:R$651)</f>
        <v>-1.0482664795255336</v>
      </c>
      <c r="L126" s="157">
        <f>(VLOOKUP($A126,Hitters!$A$1:$R$401,15,FALSE)-AVERAGE(Rankings!S$2:S$651))/STDEV(Rankings!S$2:S$651)</f>
        <v>0.13980818255681088</v>
      </c>
      <c r="M126" s="157">
        <f>(VLOOKUP($A126,Hitters!$A$1:$R$401,9,FALSE)-AVERAGE(Rankings!T$2:T$651))/STDEV(Rankings!T$2:T$651)</f>
        <v>-0.31269290491067919</v>
      </c>
      <c r="N126" s="157">
        <f>(VLOOKUP($A126,Hitters!$A$1:$R$401,10,FALSE)-AVERAGE(Rankings!U$2:U$651))/STDEV(Rankings!U$2:U$651)</f>
        <v>-0.20306178561489582</v>
      </c>
      <c r="O126" s="157">
        <f>(VLOOKUP($A126,Hitters!$A$1:$R$401,11,FALSE)-AVERAGE(Rankings!V$2:V$651))/STDEV(Rankings!V$2:V$651)</f>
        <v>-1.4038637025066756</v>
      </c>
      <c r="P126" s="157">
        <f>(VLOOKUP($A126,Hitters!$A$1:$R$401,12,FALSE)-AVERAGE(Rankings!W$2:W$651))/STDEV(Rankings!W$2:W$651)</f>
        <v>0.62262100518935259</v>
      </c>
      <c r="Q126" s="157">
        <f>(VLOOKUP($A126,Hitters!$A$1:$R$401,13,FALSE)-AVERAGE(Rankings!X$2:X$651))/STDEV(Rankings!X$2:X$651)</f>
        <v>0.43061857519855884</v>
      </c>
      <c r="R126" s="118">
        <f>(VLOOKUP($A126,Hitters!$A1:$R401,16,FALSE)-AVERAGE(Rankings!Y2:Y651))/STDEV(Rankings!Y2:Y651)</f>
        <v>-0.21550327849681125</v>
      </c>
      <c r="S126" s="118">
        <f>(VLOOKUP($A126,Hitters!$A1:$R401,17,FALSE)-AVERAGE(Rankings!Z2:Z651))/STDEV(Rankings!Z2:Z651)</f>
        <v>-0.10491477792704455</v>
      </c>
      <c r="T126" s="118">
        <f>IFERROR((VLOOKUP($A126,Hitters!$A1:$R401,18,FALSE)-AVERAGE(Rankings!AA2:AA651))/STDEV(Rankings!AA2:AA651),0)</f>
        <v>0</v>
      </c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</row>
    <row r="127" spans="1:37" ht="18.600000000000001" customHeight="1">
      <c r="A127" s="26" t="s">
        <v>418</v>
      </c>
      <c r="B127" s="27" t="s">
        <v>156</v>
      </c>
      <c r="C127" s="120" t="s">
        <v>15</v>
      </c>
      <c r="D127" s="67">
        <f>(F127*Settings!$C$2)+(G127*Settings!$C$3)+(H127*Settings!$C$4)+(I127*Settings!$C$5)+(J127*Settings!$C$6)+(M127*Settings!$C$9)+(N127*Settings!$C$10)+(O127*Settings!$C$11)+(P127*Settings!$C$12)+(Q127*Settings!$C$13)+(T127*Settings!$C$16)+(K127*Settings!$C$7)+(L127*Settings!$C$8)+(R127*Settings!$C$14)+(S127*Settings!$C$15)</f>
        <v>-1.2040017451464162</v>
      </c>
      <c r="E127" s="67"/>
      <c r="F127" s="118">
        <f>(VLOOKUP($A127,Hitters!$A1:$R401,4,FALSE)-AVERAGE(Rankings!M2:M651))/STDEV(Rankings!M2:M651)</f>
        <v>-0.45657939173652046</v>
      </c>
      <c r="G127" s="118">
        <f>(VLOOKUP($A127,Hitters!$A1:$R401,5,FALSE)-AVERAGE(Rankings!N2:N651))/STDEV(Rankings!N2:N651)</f>
        <v>-0.60580361514222658</v>
      </c>
      <c r="H127" s="118">
        <f>(VLOOKUP($A127,Hitters!$A1:$R401,6,FALSE)-AVERAGE(Rankings!O2:O651))/STDEV(Rankings!O2:O651)</f>
        <v>-0.71821718035515991</v>
      </c>
      <c r="I127" s="118">
        <f>(VLOOKUP($A127,Hitters!$A1:$R401,7,FALSE)-AVERAGE(Rankings!P2:P651))/STDEV(Rankings!P2:P651)</f>
        <v>-0.60677320342336383</v>
      </c>
      <c r="J127" s="118">
        <f>(VLOOKUP($A127,Hitters!$A1:$R401,8,FALSE)-AVERAGE(Rankings!Q2:Q651))/STDEV(Rankings!Q2:Q651)</f>
        <v>0.36976308493725218</v>
      </c>
      <c r="K127" s="157">
        <f>(VLOOKUP($A127,Hitters!$A$1:$R$401,14,FALSE)-AVERAGE(Rankings!R$2:R$651))/STDEV(Rankings!R$2:R$651)</f>
        <v>0.35702916883708219</v>
      </c>
      <c r="L127" s="157">
        <f>(VLOOKUP($A127,Hitters!$A$1:$R$401,15,FALSE)-AVERAGE(Rankings!S$2:S$651))/STDEV(Rankings!S$2:S$651)</f>
        <v>-0.64106592629593318</v>
      </c>
      <c r="M127" s="157">
        <f>(VLOOKUP($A127,Hitters!$A$1:$R$401,9,FALSE)-AVERAGE(Rankings!T$2:T$651))/STDEV(Rankings!T$2:T$651)</f>
        <v>-0.37537298536716784</v>
      </c>
      <c r="N127" s="157">
        <f>(VLOOKUP($A127,Hitters!$A$1:$R$401,10,FALSE)-AVERAGE(Rankings!U$2:U$651))/STDEV(Rankings!U$2:U$651)</f>
        <v>-0.16605585698672329</v>
      </c>
      <c r="O127" s="157">
        <f>(VLOOKUP($A127,Hitters!$A$1:$R$401,11,FALSE)-AVERAGE(Rankings!V$2:V$651))/STDEV(Rankings!V$2:V$651)</f>
        <v>0.34728330686312719</v>
      </c>
      <c r="P127" s="157">
        <f>(VLOOKUP($A127,Hitters!$A$1:$R$401,12,FALSE)-AVERAGE(Rankings!W$2:W$651))/STDEV(Rankings!W$2:W$651)</f>
        <v>-0.95798795966347061</v>
      </c>
      <c r="Q127" s="157">
        <f>(VLOOKUP($A127,Hitters!$A$1:$R$401,13,FALSE)-AVERAGE(Rankings!X$2:X$651))/STDEV(Rankings!X$2:X$651)</f>
        <v>-0.34758653782492149</v>
      </c>
      <c r="R127" s="118">
        <f>(VLOOKUP($A127,Hitters!$A1:$R401,16,FALSE)-AVERAGE(Rankings!Y2:Y651))/STDEV(Rankings!Y2:Y651)</f>
        <v>-0.26464046716037515</v>
      </c>
      <c r="S127" s="118">
        <f>(VLOOKUP($A127,Hitters!$A1:$R401,17,FALSE)-AVERAGE(Rankings!Z2:Z651))/STDEV(Rankings!Z2:Z651)</f>
        <v>-0.43477457374392398</v>
      </c>
      <c r="T127" s="118">
        <f>IFERROR((VLOOKUP($A127,Hitters!$A1:$R401,18,FALSE)-AVERAGE(Rankings!AA2:AA651))/STDEV(Rankings!AA2:AA651),0)</f>
        <v>0</v>
      </c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</row>
    <row r="128" spans="1:37" ht="18.600000000000001" customHeight="1">
      <c r="A128" s="26" t="s">
        <v>448</v>
      </c>
      <c r="B128" s="27" t="s">
        <v>84</v>
      </c>
      <c r="C128" s="120" t="s">
        <v>15</v>
      </c>
      <c r="D128" s="67">
        <f>(F128*Settings!$C$2)+(G128*Settings!$C$3)+(H128*Settings!$C$4)+(I128*Settings!$C$5)+(J128*Settings!$C$6)+(M128*Settings!$C$9)+(N128*Settings!$C$10)+(O128*Settings!$C$11)+(P128*Settings!$C$12)+(Q128*Settings!$C$13)+(T128*Settings!$C$16)+(K128*Settings!$C$7)+(L128*Settings!$C$8)+(R128*Settings!$C$14)+(S128*Settings!$C$15)</f>
        <v>-0.51680451365290958</v>
      </c>
      <c r="E128" s="67"/>
      <c r="F128" s="118">
        <f>(VLOOKUP($A128,Hitters!$A1:$R401,4,FALSE)-AVERAGE(Rankings!M2:M651))/STDEV(Rankings!M2:M651)</f>
        <v>-4.435098387386726E-2</v>
      </c>
      <c r="G128" s="118">
        <f>(VLOOKUP($A128,Hitters!$A1:$R401,5,FALSE)-AVERAGE(Rankings!N2:N651))/STDEV(Rankings!N2:N651)</f>
        <v>-0.27050184152524726</v>
      </c>
      <c r="H128" s="118">
        <f>(VLOOKUP($A128,Hitters!$A1:$R401,6,FALSE)-AVERAGE(Rankings!O2:O651))/STDEV(Rankings!O2:O651)</f>
        <v>-0.33990208188522114</v>
      </c>
      <c r="I128" s="118">
        <f>(VLOOKUP($A128,Hitters!$A1:$R401,7,FALSE)-AVERAGE(Rankings!P2:P651))/STDEV(Rankings!P2:P651)</f>
        <v>-0.1012955677357042</v>
      </c>
      <c r="J128" s="118">
        <f>(VLOOKUP($A128,Hitters!$A1:$R401,8,FALSE)-AVERAGE(Rankings!Q2:Q651))/STDEV(Rankings!Q2:Q651)</f>
        <v>-0.82457294284708516</v>
      </c>
      <c r="K128" s="157">
        <f>(VLOOKUP($A128,Hitters!$A$1:$R$401,14,FALSE)-AVERAGE(Rankings!R$2:R$651))/STDEV(Rankings!R$2:R$651)</f>
        <v>1.0194679203403481</v>
      </c>
      <c r="L128" s="157">
        <f>(VLOOKUP($A128,Hitters!$A$1:$R$401,15,FALSE)-AVERAGE(Rankings!S$2:S$651))/STDEV(Rankings!S$2:S$651)</f>
        <v>0.21595858947745331</v>
      </c>
      <c r="M128" s="157">
        <f>(VLOOKUP($A128,Hitters!$A$1:$R$401,9,FALSE)-AVERAGE(Rankings!T$2:T$651))/STDEV(Rankings!T$2:T$651)</f>
        <v>0.12500426862825079</v>
      </c>
      <c r="N128" s="157">
        <f>(VLOOKUP($A128,Hitters!$A$1:$R$401,10,FALSE)-AVERAGE(Rankings!U$2:U$651))/STDEV(Rankings!U$2:U$651)</f>
        <v>4.5509045054186681E-2</v>
      </c>
      <c r="O128" s="157">
        <f>(VLOOKUP($A128,Hitters!$A$1:$R$401,11,FALSE)-AVERAGE(Rankings!V$2:V$651))/STDEV(Rankings!V$2:V$651)</f>
        <v>0.30054790192896552</v>
      </c>
      <c r="P128" s="157">
        <f>(VLOOKUP($A128,Hitters!$A$1:$R$401,12,FALSE)-AVERAGE(Rankings!W$2:W$651))/STDEV(Rankings!W$2:W$651)</f>
        <v>-0.51843056212574112</v>
      </c>
      <c r="Q128" s="157">
        <f>(VLOOKUP($A128,Hitters!$A$1:$R$401,13,FALSE)-AVERAGE(Rankings!X$2:X$651))/STDEV(Rankings!X$2:X$651)</f>
        <v>-0.42839053256663656</v>
      </c>
      <c r="R128" s="118">
        <f>(VLOOKUP($A128,Hitters!$A1:$R401,16,FALSE)-AVERAGE(Rankings!Y2:Y651))/STDEV(Rankings!Y2:Y651)</f>
        <v>0.20390047627825486</v>
      </c>
      <c r="S128" s="118">
        <f>(VLOOKUP($A128,Hitters!$A1:$R401,17,FALSE)-AVERAGE(Rankings!Z2:Z651))/STDEV(Rankings!Z2:Z651)</f>
        <v>0.23037401175872049</v>
      </c>
      <c r="T128" s="118">
        <f>IFERROR((VLOOKUP($A128,Hitters!$A1:$R401,18,FALSE)-AVERAGE(Rankings!AA2:AA651))/STDEV(Rankings!AA2:AA651),0)</f>
        <v>0</v>
      </c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</row>
    <row r="129" spans="1:37" ht="18.600000000000001" customHeight="1">
      <c r="A129" s="26" t="s">
        <v>456</v>
      </c>
      <c r="B129" s="27" t="s">
        <v>95</v>
      </c>
      <c r="C129" s="120" t="s">
        <v>15</v>
      </c>
      <c r="D129" s="67">
        <f>(F129*Settings!$C$2)+(G129*Settings!$C$3)+(H129*Settings!$C$4)+(I129*Settings!$C$5)+(J129*Settings!$C$6)+(M129*Settings!$C$9)+(N129*Settings!$C$10)+(O129*Settings!$C$11)+(P129*Settings!$C$12)+(Q129*Settings!$C$13)+(T129*Settings!$C$16)+(K129*Settings!$C$7)+(L129*Settings!$C$8)+(R129*Settings!$C$14)+(S129*Settings!$C$15)</f>
        <v>0.81174873081330479</v>
      </c>
      <c r="E129" s="67"/>
      <c r="F129" s="118">
        <f>(VLOOKUP($A129,Hitters!$A1:$R401,4,FALSE)-AVERAGE(Rankings!M2:M651))/STDEV(Rankings!M2:M651)</f>
        <v>0.37437972005966919</v>
      </c>
      <c r="G129" s="118">
        <f>(VLOOKUP($A129,Hitters!$A1:$R401,5,FALSE)-AVERAGE(Rankings!N2:N651))/STDEV(Rankings!N2:N651)</f>
        <v>0.27362425394528206</v>
      </c>
      <c r="H129" s="118">
        <f>(VLOOKUP($A129,Hitters!$A1:$R401,6,FALSE)-AVERAGE(Rankings!O2:O651))/STDEV(Rankings!O2:O651)</f>
        <v>0.79219501839547624</v>
      </c>
      <c r="I129" s="118">
        <f>(VLOOKUP($A129,Hitters!$A1:$R401,7,FALSE)-AVERAGE(Rankings!P2:P651))/STDEV(Rankings!P2:P651)</f>
        <v>0.29911675464063797</v>
      </c>
      <c r="J129" s="118">
        <f>(VLOOKUP($A129,Hitters!$A1:$R401,8,FALSE)-AVERAGE(Rankings!Q2:Q651))/STDEV(Rankings!Q2:Q651)</f>
        <v>-0.65379092122159543</v>
      </c>
      <c r="K129" s="157">
        <f>(VLOOKUP($A129,Hitters!$A$1:$R$401,14,FALSE)-AVERAGE(Rankings!R$2:R$651))/STDEV(Rankings!R$2:R$651)</f>
        <v>0.10060362505350404</v>
      </c>
      <c r="L129" s="157">
        <f>(VLOOKUP($A129,Hitters!$A$1:$R$401,15,FALSE)-AVERAGE(Rankings!S$2:S$651))/STDEV(Rankings!S$2:S$651)</f>
        <v>0.218188297576276</v>
      </c>
      <c r="M129" s="157">
        <f>(VLOOKUP($A129,Hitters!$A$1:$R$401,9,FALSE)-AVERAGE(Rankings!T$2:T$651))/STDEV(Rankings!T$2:T$651)</f>
        <v>0.31515290914468924</v>
      </c>
      <c r="N129" s="157">
        <f>(VLOOKUP($A129,Hitters!$A$1:$R$401,10,FALSE)-AVERAGE(Rankings!U$2:U$651))/STDEV(Rankings!U$2:U$651)</f>
        <v>-5.8948863663850154E-3</v>
      </c>
      <c r="O129" s="157">
        <f>(VLOOKUP($A129,Hitters!$A$1:$R$401,11,FALSE)-AVERAGE(Rankings!V$2:V$651))/STDEV(Rankings!V$2:V$651)</f>
        <v>-1.4095864051516749</v>
      </c>
      <c r="P129" s="157">
        <f>(VLOOKUP($A129,Hitters!$A$1:$R$401,12,FALSE)-AVERAGE(Rankings!W$2:W$651))/STDEV(Rankings!W$2:W$651)</f>
        <v>0.3369690710076233</v>
      </c>
      <c r="Q129" s="157">
        <f>(VLOOKUP($A129,Hitters!$A$1:$R$401,13,FALSE)-AVERAGE(Rankings!X$2:X$651))/STDEV(Rankings!X$2:X$651)</f>
        <v>0.23797263868682719</v>
      </c>
      <c r="R129" s="118">
        <f>(VLOOKUP($A129,Hitters!$A1:$R401,16,FALSE)-AVERAGE(Rankings!Y2:Y651))/STDEV(Rankings!Y2:Y651)</f>
        <v>0.56810648237823202</v>
      </c>
      <c r="S129" s="118">
        <f>(VLOOKUP($A129,Hitters!$A1:$R401,17,FALSE)-AVERAGE(Rankings!Z2:Z651))/STDEV(Rankings!Z2:Z651)</f>
        <v>0.49748280689385366</v>
      </c>
      <c r="T129" s="118">
        <f>IFERROR((VLOOKUP($A129,Hitters!$A1:$R401,18,FALSE)-AVERAGE(Rankings!AA2:AA651))/STDEV(Rankings!AA2:AA651),0)</f>
        <v>0</v>
      </c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</row>
    <row r="130" spans="1:37" ht="18.600000000000001" customHeight="1">
      <c r="A130" s="26" t="s">
        <v>485</v>
      </c>
      <c r="B130" s="27" t="s">
        <v>120</v>
      </c>
      <c r="C130" s="120" t="s">
        <v>15</v>
      </c>
      <c r="D130" s="67">
        <f>(F130*Settings!$C$2)+(G130*Settings!$C$3)+(H130*Settings!$C$4)+(I130*Settings!$C$5)+(J130*Settings!$C$6)+(M130*Settings!$C$9)+(N130*Settings!$C$10)+(O130*Settings!$C$11)+(P130*Settings!$C$12)+(Q130*Settings!$C$13)+(T130*Settings!$C$16)+(K130*Settings!$C$7)+(L130*Settings!$C$8)+(R130*Settings!$C$14)+(S130*Settings!$C$15)</f>
        <v>-1.7124033904344553</v>
      </c>
      <c r="E130" s="67"/>
      <c r="F130" s="118">
        <f>(VLOOKUP($A130,Hitters!$A1:$R401,4,FALSE)-AVERAGE(Rankings!M2:M651))/STDEV(Rankings!M2:M651)</f>
        <v>-0.3390955628508846</v>
      </c>
      <c r="G130" s="118">
        <f>(VLOOKUP($A130,Hitters!$A1:$R401,5,FALSE)-AVERAGE(Rankings!N2:N651))/STDEV(Rankings!N2:N651)</f>
        <v>-0.43947121685673157</v>
      </c>
      <c r="H130" s="118">
        <f>(VLOOKUP($A130,Hitters!$A1:$R401,6,FALSE)-AVERAGE(Rankings!O2:O651))/STDEV(Rankings!O2:O651)</f>
        <v>3.2213413608501933E-2</v>
      </c>
      <c r="I130" s="118">
        <f>(VLOOKUP($A130,Hitters!$A1:$R401,7,FALSE)-AVERAGE(Rankings!P2:P651))/STDEV(Rankings!P2:P651)</f>
        <v>-0.11229085165398602</v>
      </c>
      <c r="J130" s="118">
        <f>(VLOOKUP($A130,Hitters!$A1:$R401,8,FALSE)-AVERAGE(Rankings!Q2:Q651))/STDEV(Rankings!Q2:Q651)</f>
        <v>-0.82552327984949969</v>
      </c>
      <c r="K130" s="157">
        <f>(VLOOKUP($A130,Hitters!$A$1:$R$401,14,FALSE)-AVERAGE(Rankings!R$2:R$651))/STDEV(Rankings!R$2:R$651)</f>
        <v>-0.36733145568273978</v>
      </c>
      <c r="L130" s="157">
        <f>(VLOOKUP($A130,Hitters!$A$1:$R$401,15,FALSE)-AVERAGE(Rankings!S$2:S$651))/STDEV(Rankings!S$2:S$651)</f>
        <v>-0.32058742144290248</v>
      </c>
      <c r="M130" s="157">
        <f>(VLOOKUP($A130,Hitters!$A$1:$R$401,9,FALSE)-AVERAGE(Rankings!T$2:T$651))/STDEV(Rankings!T$2:T$651)</f>
        <v>-0.39658086922054592</v>
      </c>
      <c r="N130" s="157">
        <f>(VLOOKUP($A130,Hitters!$A$1:$R$401,10,FALSE)-AVERAGE(Rankings!U$2:U$651))/STDEV(Rankings!U$2:U$651)</f>
        <v>-0.42337615140122647</v>
      </c>
      <c r="O130" s="157">
        <f>(VLOOKUP($A130,Hitters!$A$1:$R$401,11,FALSE)-AVERAGE(Rankings!V$2:V$651))/STDEV(Rankings!V$2:V$651)</f>
        <v>-0.56453398124010357</v>
      </c>
      <c r="P130" s="157">
        <f>(VLOOKUP($A130,Hitters!$A$1:$R$401,12,FALSE)-AVERAGE(Rankings!W$2:W$651))/STDEV(Rankings!W$2:W$651)</f>
        <v>-0.30588296042950935</v>
      </c>
      <c r="Q130" s="157">
        <f>(VLOOKUP($A130,Hitters!$A$1:$R$401,13,FALSE)-AVERAGE(Rankings!X$2:X$651))/STDEV(Rankings!X$2:X$651)</f>
        <v>0.10063201875529786</v>
      </c>
      <c r="R130" s="118">
        <f>(VLOOKUP($A130,Hitters!$A1:$R401,16,FALSE)-AVERAGE(Rankings!Y2:Y651))/STDEV(Rankings!Y2:Y651)</f>
        <v>0.20923848849425955</v>
      </c>
      <c r="S130" s="118">
        <f>(VLOOKUP($A130,Hitters!$A1:$R401,17,FALSE)-AVERAGE(Rankings!Z2:Z651))/STDEV(Rankings!Z2:Z651)</f>
        <v>3.2310530912917336E-2</v>
      </c>
      <c r="T130" s="118">
        <f>IFERROR((VLOOKUP($A130,Hitters!$A1:$R401,18,FALSE)-AVERAGE(Rankings!AA2:AA651))/STDEV(Rankings!AA2:AA651),0)</f>
        <v>0</v>
      </c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</row>
    <row r="131" spans="1:37" ht="18.600000000000001" customHeight="1">
      <c r="A131" s="26" t="s">
        <v>499</v>
      </c>
      <c r="B131" s="27" t="s">
        <v>117</v>
      </c>
      <c r="C131" s="120" t="s">
        <v>15</v>
      </c>
      <c r="D131" s="67">
        <f>(F131*Settings!$C$2)+(G131*Settings!$C$3)+(H131*Settings!$C$4)+(I131*Settings!$C$5)+(J131*Settings!$C$6)+(M131*Settings!$C$9)+(N131*Settings!$C$10)+(O131*Settings!$C$11)+(P131*Settings!$C$12)+(Q131*Settings!$C$13)+(T131*Settings!$C$16)+(K131*Settings!$C$7)+(L131*Settings!$C$8)+(R131*Settings!$C$14)+(S131*Settings!$C$15)</f>
        <v>-1.2048225861219044</v>
      </c>
      <c r="E131" s="67"/>
      <c r="F131" s="118">
        <f>(VLOOKUP($A131,Hitters!$A1:$R401,4,FALSE)-AVERAGE(Rankings!M2:M651))/STDEV(Rankings!M2:M651)</f>
        <v>0.29724349306581471</v>
      </c>
      <c r="G131" s="118">
        <f>(VLOOKUP($A131,Hitters!$A1:$R401,5,FALSE)-AVERAGE(Rankings!N2:N651))/STDEV(Rankings!N2:N651)</f>
        <v>-9.5954245519553727E-2</v>
      </c>
      <c r="H131" s="118">
        <f>(VLOOKUP($A131,Hitters!$A1:$R401,6,FALSE)-AVERAGE(Rankings!O2:O651))/STDEV(Rankings!O2:O651)</f>
        <v>-0.10612828875962486</v>
      </c>
      <c r="I131" s="118">
        <f>(VLOOKUP($A131,Hitters!$A1:$R401,7,FALSE)-AVERAGE(Rankings!P2:P651))/STDEV(Rankings!P2:P651)</f>
        <v>-7.4061878401072451E-2</v>
      </c>
      <c r="J131" s="118">
        <f>(VLOOKUP($A131,Hitters!$A1:$R401,8,FALSE)-AVERAGE(Rankings!Q2:Q651))/STDEV(Rankings!Q2:Q651)</f>
        <v>-0.18428338747036177</v>
      </c>
      <c r="K131" s="157">
        <f>(VLOOKUP($A131,Hitters!$A$1:$R$401,14,FALSE)-AVERAGE(Rankings!R$2:R$651))/STDEV(Rankings!R$2:R$651)</f>
        <v>-0.74439478597129172</v>
      </c>
      <c r="L131" s="157">
        <f>(VLOOKUP($A131,Hitters!$A$1:$R$401,15,FALSE)-AVERAGE(Rankings!S$2:S$651))/STDEV(Rankings!S$2:S$651)</f>
        <v>-0.74096606108793484</v>
      </c>
      <c r="M131" s="157">
        <f>(VLOOKUP($A131,Hitters!$A$1:$R$401,9,FALSE)-AVERAGE(Rankings!T$2:T$651))/STDEV(Rankings!T$2:T$651)</f>
        <v>6.2458984043711481E-2</v>
      </c>
      <c r="N131" s="157">
        <f>(VLOOKUP($A131,Hitters!$A$1:$R$401,10,FALSE)-AVERAGE(Rankings!U$2:U$651))/STDEV(Rankings!U$2:U$651)</f>
        <v>0.25621334410374319</v>
      </c>
      <c r="O131" s="157">
        <f>(VLOOKUP($A131,Hitters!$A$1:$R$401,11,FALSE)-AVERAGE(Rankings!V$2:V$651))/STDEV(Rankings!V$2:V$651)</f>
        <v>1.5528659974096577</v>
      </c>
      <c r="P131" s="157">
        <f>(VLOOKUP($A131,Hitters!$A$1:$R$401,12,FALSE)-AVERAGE(Rankings!W$2:W$651))/STDEV(Rankings!W$2:W$651)</f>
        <v>6.2516211659519091E-3</v>
      </c>
      <c r="Q131" s="157">
        <f>(VLOOKUP($A131,Hitters!$A$1:$R$401,13,FALSE)-AVERAGE(Rankings!X$2:X$651))/STDEV(Rankings!X$2:X$651)</f>
        <v>0.79078798637306391</v>
      </c>
      <c r="R131" s="118">
        <f>(VLOOKUP($A131,Hitters!$A1:$R401,16,FALSE)-AVERAGE(Rankings!Y2:Y651))/STDEV(Rankings!Y2:Y651)</f>
        <v>-0.39603603233795853</v>
      </c>
      <c r="S131" s="118">
        <f>(VLOOKUP($A131,Hitters!$A1:$R401,17,FALSE)-AVERAGE(Rankings!Z2:Z651))/STDEV(Rankings!Z2:Z651)</f>
        <v>-0.5684416255547492</v>
      </c>
      <c r="T131" s="118">
        <f>IFERROR((VLOOKUP($A131,Hitters!$A1:$R401,18,FALSE)-AVERAGE(Rankings!AA2:AA651))/STDEV(Rankings!AA2:AA651),0)</f>
        <v>0</v>
      </c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</row>
    <row r="132" spans="1:37" ht="18.600000000000001" customHeight="1">
      <c r="A132" s="26" t="s">
        <v>532</v>
      </c>
      <c r="B132" s="27" t="s">
        <v>217</v>
      </c>
      <c r="C132" s="120" t="s">
        <v>15</v>
      </c>
      <c r="D132" s="67">
        <f>(F132*Settings!$C$2)+(G132*Settings!$C$3)+(H132*Settings!$C$4)+(I132*Settings!$C$5)+(J132*Settings!$C$6)+(M132*Settings!$C$9)+(N132*Settings!$C$10)+(O132*Settings!$C$11)+(P132*Settings!$C$12)+(Q132*Settings!$C$13)+(T132*Settings!$C$16)+(K132*Settings!$C$7)+(L132*Settings!$C$8)+(R132*Settings!$C$14)+(S132*Settings!$C$15)</f>
        <v>-1.8892410348374034</v>
      </c>
      <c r="E132" s="67"/>
      <c r="F132" s="118">
        <f>(VLOOKUP($A132,Hitters!$A1:$R401,4,FALSE)-AVERAGE(Rankings!M2:M651))/STDEV(Rankings!M2:M651)</f>
        <v>-0.46038145739624975</v>
      </c>
      <c r="G132" s="118">
        <f>(VLOOKUP($A132,Hitters!$A1:$R401,5,FALSE)-AVERAGE(Rankings!N2:N651))/STDEV(Rankings!N2:N651)</f>
        <v>-0.39801489502795362</v>
      </c>
      <c r="H132" s="118">
        <f>(VLOOKUP($A132,Hitters!$A1:$R401,6,FALSE)-AVERAGE(Rankings!O2:O651))/STDEV(Rankings!O2:O651)</f>
        <v>-0.26606411385389461</v>
      </c>
      <c r="I132" s="118">
        <f>(VLOOKUP($A132,Hitters!$A1:$R401,7,FALSE)-AVERAGE(Rankings!P2:P651))/STDEV(Rankings!P2:P651)</f>
        <v>-0.43756800090314418</v>
      </c>
      <c r="J132" s="118">
        <f>(VLOOKUP($A132,Hitters!$A1:$R401,8,FALSE)-AVERAGE(Rankings!Q2:Q651))/STDEV(Rankings!Q2:Q651)</f>
        <v>-0.78632187849990431</v>
      </c>
      <c r="K132" s="157">
        <f>(VLOOKUP($A132,Hitters!$A$1:$R$401,14,FALSE)-AVERAGE(Rankings!R$2:R$651))/STDEV(Rankings!R$2:R$651)</f>
        <v>-1.2721465525067652E-3</v>
      </c>
      <c r="L132" s="157">
        <f>(VLOOKUP($A132,Hitters!$A$1:$R$401,15,FALSE)-AVERAGE(Rankings!S$2:S$651))/STDEV(Rankings!S$2:S$651)</f>
        <v>0.73941318294461877</v>
      </c>
      <c r="M132" s="157">
        <f>(VLOOKUP($A132,Hitters!$A$1:$R$401,9,FALSE)-AVERAGE(Rankings!T$2:T$651))/STDEV(Rankings!T$2:T$651)</f>
        <v>-0.43863718126877055</v>
      </c>
      <c r="N132" s="157">
        <f>(VLOOKUP($A132,Hitters!$A$1:$R$401,10,FALSE)-AVERAGE(Rankings!U$2:U$651))/STDEV(Rankings!U$2:U$651)</f>
        <v>-0.50054355295919917</v>
      </c>
      <c r="O132" s="157">
        <f>(VLOOKUP($A132,Hitters!$A$1:$R$401,11,FALSE)-AVERAGE(Rankings!V$2:V$651))/STDEV(Rankings!V$2:V$651)</f>
        <v>-0.54975033274052176</v>
      </c>
      <c r="P132" s="157">
        <f>(VLOOKUP($A132,Hitters!$A$1:$R$401,12,FALSE)-AVERAGE(Rankings!W$2:W$651))/STDEV(Rankings!W$2:W$651)</f>
        <v>0.14944289395047766</v>
      </c>
      <c r="Q132" s="157">
        <f>(VLOOKUP($A132,Hitters!$A$1:$R$401,13,FALSE)-AVERAGE(Rankings!X$2:X$651))/STDEV(Rankings!X$2:X$651)</f>
        <v>0.45428395815345429</v>
      </c>
      <c r="R132" s="118">
        <f>(VLOOKUP($A132,Hitters!$A1:$R401,16,FALSE)-AVERAGE(Rankings!Y2:Y651))/STDEV(Rankings!Y2:Y651)</f>
        <v>2.2134121264819125E-2</v>
      </c>
      <c r="S132" s="118">
        <f>(VLOOKUP($A132,Hitters!$A1:$R401,17,FALSE)-AVERAGE(Rankings!Z2:Z651))/STDEV(Rankings!Z2:Z651)</f>
        <v>0.29452361019018652</v>
      </c>
      <c r="T132" s="118">
        <f>IFERROR((VLOOKUP($A132,Hitters!$A1:$R401,18,FALSE)-AVERAGE(Rankings!AA2:AA651))/STDEV(Rankings!AA2:AA651),0)</f>
        <v>0</v>
      </c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</row>
    <row r="133" spans="1:37" ht="18.600000000000001" customHeight="1">
      <c r="A133" s="26" t="s">
        <v>569</v>
      </c>
      <c r="B133" s="27" t="s">
        <v>97</v>
      </c>
      <c r="C133" s="120" t="s">
        <v>15</v>
      </c>
      <c r="D133" s="67">
        <f>(F133*Settings!$C$2)+(G133*Settings!$C$3)+(H133*Settings!$C$4)+(I133*Settings!$C$5)+(J133*Settings!$C$6)+(M133*Settings!$C$9)+(N133*Settings!$C$10)+(O133*Settings!$C$11)+(P133*Settings!$C$12)+(Q133*Settings!$C$13)+(T133*Settings!$C$16)+(K133*Settings!$C$7)+(L133*Settings!$C$8)+(R133*Settings!$C$14)+(S133*Settings!$C$15)</f>
        <v>-2.0609201183144892</v>
      </c>
      <c r="E133" s="67"/>
      <c r="F133" s="118">
        <f>(VLOOKUP($A133,Hitters!$A1:$R401,4,FALSE)-AVERAGE(Rankings!M2:M651))/STDEV(Rankings!M2:M651)</f>
        <v>-0.15047086095431236</v>
      </c>
      <c r="G133" s="118">
        <f>(VLOOKUP($A133,Hitters!$A1:$R401,5,FALSE)-AVERAGE(Rankings!N2:N651))/STDEV(Rankings!N2:N651)</f>
        <v>-0.29164836899020186</v>
      </c>
      <c r="H133" s="118">
        <f>(VLOOKUP($A133,Hitters!$A1:$R401,6,FALSE)-AVERAGE(Rankings!O2:O651))/STDEV(Rankings!O2:O651)</f>
        <v>-0.21395958546952482</v>
      </c>
      <c r="I133" s="118">
        <f>(VLOOKUP($A133,Hitters!$A1:$R401,7,FALSE)-AVERAGE(Rankings!P2:P651))/STDEV(Rankings!P2:P651)</f>
        <v>-0.2652576487578544</v>
      </c>
      <c r="J133" s="118">
        <f>(VLOOKUP($A133,Hitters!$A1:$R401,8,FALSE)-AVERAGE(Rankings!Q2:Q651))/STDEV(Rankings!Q2:Q651)</f>
        <v>-0.6111430910548441</v>
      </c>
      <c r="K133" s="157">
        <f>(VLOOKUP($A133,Hitters!$A$1:$R$401,14,FALSE)-AVERAGE(Rankings!R$2:R$651))/STDEV(Rankings!R$2:R$651)</f>
        <v>-0.67891142404206395</v>
      </c>
      <c r="L133" s="157">
        <f>(VLOOKUP($A133,Hitters!$A$1:$R$401,15,FALSE)-AVERAGE(Rankings!S$2:S$651))/STDEV(Rankings!S$2:S$651)</f>
        <v>-0.1292894270817089</v>
      </c>
      <c r="M133" s="157">
        <f>(VLOOKUP($A133,Hitters!$A$1:$R$401,9,FALSE)-AVERAGE(Rankings!T$2:T$651))/STDEV(Rankings!T$2:T$651)</f>
        <v>-0.29469016734587666</v>
      </c>
      <c r="N133" s="157">
        <f>(VLOOKUP($A133,Hitters!$A$1:$R$401,10,FALSE)-AVERAGE(Rankings!U$2:U$651))/STDEV(Rankings!U$2:U$651)</f>
        <v>-0.31795228496050187</v>
      </c>
      <c r="O133" s="157">
        <f>(VLOOKUP($A133,Hitters!$A$1:$R$401,11,FALSE)-AVERAGE(Rankings!V$2:V$651))/STDEV(Rankings!V$2:V$651)</f>
        <v>-0.5521347921759383</v>
      </c>
      <c r="P133" s="157">
        <f>(VLOOKUP($A133,Hitters!$A$1:$R$401,12,FALSE)-AVERAGE(Rankings!W$2:W$651))/STDEV(Rankings!W$2:W$651)</f>
        <v>0.14253836255209293</v>
      </c>
      <c r="Q133" s="157">
        <f>(VLOOKUP($A133,Hitters!$A$1:$R$401,13,FALSE)-AVERAGE(Rankings!X$2:X$651))/STDEV(Rankings!X$2:X$651)</f>
        <v>0.4278027742854762</v>
      </c>
      <c r="R133" s="118">
        <f>(VLOOKUP($A133,Hitters!$A1:$R401,16,FALSE)-AVERAGE(Rankings!Y2:Y651))/STDEV(Rankings!Y2:Y651)</f>
        <v>-0.53253514756763964</v>
      </c>
      <c r="S133" s="118">
        <f>(VLOOKUP($A133,Hitters!$A1:$R401,17,FALSE)-AVERAGE(Rankings!Z2:Z651))/STDEV(Rankings!Z2:Z651)</f>
        <v>-0.4379888903183829</v>
      </c>
      <c r="T133" s="118">
        <f>IFERROR((VLOOKUP($A133,Hitters!$A1:$R401,18,FALSE)-AVERAGE(Rankings!AA2:AA651))/STDEV(Rankings!AA2:AA651),0)</f>
        <v>0</v>
      </c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</row>
    <row r="134" spans="1:37" ht="18.600000000000001" customHeight="1">
      <c r="A134" s="26" t="s">
        <v>561</v>
      </c>
      <c r="B134" s="27" t="s">
        <v>137</v>
      </c>
      <c r="C134" s="120" t="s">
        <v>15</v>
      </c>
      <c r="D134" s="67">
        <f>(F134*Settings!$C$2)+(G134*Settings!$C$3)+(H134*Settings!$C$4)+(I134*Settings!$C$5)+(J134*Settings!$C$6)+(M134*Settings!$C$9)+(N134*Settings!$C$10)+(O134*Settings!$C$11)+(P134*Settings!$C$12)+(Q134*Settings!$C$13)+(T134*Settings!$C$16)+(K134*Settings!$C$7)+(L134*Settings!$C$8)+(R134*Settings!$C$14)+(S134*Settings!$C$15)</f>
        <v>-1.6454525425925841</v>
      </c>
      <c r="E134" s="67"/>
      <c r="F134" s="118">
        <f>(VLOOKUP($A134,Hitters!$A1:$R401,4,FALSE)-AVERAGE(Rankings!M2:M651))/STDEV(Rankings!M2:M651)</f>
        <v>-0.11912494184854398</v>
      </c>
      <c r="G134" s="118">
        <f>(VLOOKUP($A134,Hitters!$A1:$R401,5,FALSE)-AVERAGE(Rankings!N2:N651))/STDEV(Rankings!N2:N651)</f>
        <v>-0.35442870712356833</v>
      </c>
      <c r="H134" s="118">
        <f>(VLOOKUP($A134,Hitters!$A1:$R401,6,FALSE)-AVERAGE(Rankings!O2:O651))/STDEV(Rankings!O2:O651)</f>
        <v>-3.9047191387768923E-2</v>
      </c>
      <c r="I134" s="118">
        <f>(VLOOKUP($A134,Hitters!$A1:$R401,7,FALSE)-AVERAGE(Rankings!P2:P651))/STDEV(Rankings!P2:P651)</f>
        <v>-0.19918413706373747</v>
      </c>
      <c r="J134" s="118">
        <f>(VLOOKUP($A134,Hitters!$A1:$R401,8,FALSE)-AVERAGE(Rankings!Q2:Q651))/STDEV(Rankings!Q2:Q651)</f>
        <v>-0.11839335530296098</v>
      </c>
      <c r="K134" s="157">
        <f>(VLOOKUP($A134,Hitters!$A$1:$R$401,14,FALSE)-AVERAGE(Rankings!R$2:R$651))/STDEV(Rankings!R$2:R$651)</f>
        <v>-0.93439915171454835</v>
      </c>
      <c r="L134" s="157">
        <f>(VLOOKUP($A134,Hitters!$A$1:$R$401,15,FALSE)-AVERAGE(Rankings!S$2:S$651))/STDEV(Rankings!S$2:S$651)</f>
        <v>-1.0467391750048547</v>
      </c>
      <c r="M134" s="157">
        <f>(VLOOKUP($A134,Hitters!$A$1:$R$401,9,FALSE)-AVERAGE(Rankings!T$2:T$651))/STDEV(Rankings!T$2:T$651)</f>
        <v>-0.31727596455696017</v>
      </c>
      <c r="N134" s="157">
        <f>(VLOOKUP($A134,Hitters!$A$1:$R$401,10,FALSE)-AVERAGE(Rankings!U$2:U$651))/STDEV(Rankings!U$2:U$651)</f>
        <v>-0.3401845289037842</v>
      </c>
      <c r="O134" s="157">
        <f>(VLOOKUP($A134,Hitters!$A$1:$R$401,11,FALSE)-AVERAGE(Rankings!V$2:V$651))/STDEV(Rankings!V$2:V$651)</f>
        <v>0.6105276285330975</v>
      </c>
      <c r="P134" s="157">
        <f>(VLOOKUP($A134,Hitters!$A$1:$R$401,12,FALSE)-AVERAGE(Rankings!W$2:W$651))/STDEV(Rankings!W$2:W$651)</f>
        <v>-0.37579911621135459</v>
      </c>
      <c r="Q134" s="157">
        <f>(VLOOKUP($A134,Hitters!$A$1:$R$401,13,FALSE)-AVERAGE(Rankings!X$2:X$651))/STDEV(Rankings!X$2:X$651)</f>
        <v>0.33070510010289056</v>
      </c>
      <c r="R134" s="118">
        <f>(VLOOKUP($A134,Hitters!$A1:$R401,16,FALSE)-AVERAGE(Rankings!Y2:Y651))/STDEV(Rankings!Y2:Y651)</f>
        <v>-0.26140526500974476</v>
      </c>
      <c r="S134" s="118">
        <f>(VLOOKUP($A134,Hitters!$A1:$R401,17,FALSE)-AVERAGE(Rankings!Z2:Z651))/STDEV(Rankings!Z2:Z651)</f>
        <v>-0.58511242416517284</v>
      </c>
      <c r="T134" s="118">
        <f>IFERROR((VLOOKUP($A134,Hitters!$A1:$R401,18,FALSE)-AVERAGE(Rankings!AA2:AA651))/STDEV(Rankings!AA2:AA651),0)</f>
        <v>0</v>
      </c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</row>
    <row r="135" spans="1:37" ht="18.600000000000001" customHeight="1">
      <c r="A135" s="26" t="s">
        <v>563</v>
      </c>
      <c r="B135" s="27" t="s">
        <v>140</v>
      </c>
      <c r="C135" s="120" t="s">
        <v>15</v>
      </c>
      <c r="D135" s="67">
        <f>(F135*Settings!$C$2)+(G135*Settings!$C$3)+(H135*Settings!$C$4)+(I135*Settings!$C$5)+(J135*Settings!$C$6)+(M135*Settings!$C$9)+(N135*Settings!$C$10)+(O135*Settings!$C$11)+(P135*Settings!$C$12)+(Q135*Settings!$C$13)+(T135*Settings!$C$16)+(K135*Settings!$C$7)+(L135*Settings!$C$8)+(R135*Settings!$C$14)+(S135*Settings!$C$15)</f>
        <v>-2.0935750580813455</v>
      </c>
      <c r="E135" s="67"/>
      <c r="F135" s="118">
        <f>(VLOOKUP($A135,Hitters!$A1:$R401,4,FALSE)-AVERAGE(Rankings!M2:M651))/STDEV(Rankings!M2:M651)</f>
        <v>-0.25963239056254162</v>
      </c>
      <c r="G135" s="118">
        <f>(VLOOKUP($A135,Hitters!$A1:$R401,5,FALSE)-AVERAGE(Rankings!N2:N651))/STDEV(Rankings!N2:N651)</f>
        <v>-0.42004886669107783</v>
      </c>
      <c r="H135" s="118">
        <f>(VLOOKUP($A135,Hitters!$A1:$R401,6,FALSE)-AVERAGE(Rankings!O2:O651))/STDEV(Rankings!O2:O651)</f>
        <v>-0.72385951564811968</v>
      </c>
      <c r="I135" s="118">
        <f>(VLOOKUP($A135,Hitters!$A1:$R401,7,FALSE)-AVERAGE(Rankings!P2:P651))/STDEV(Rankings!P2:P651)</f>
        <v>-0.63115626359399712</v>
      </c>
      <c r="J135" s="118">
        <f>(VLOOKUP($A135,Hitters!$A1:$R401,8,FALSE)-AVERAGE(Rankings!Q2:Q651))/STDEV(Rankings!Q2:Q651)</f>
        <v>0.66325882918290902</v>
      </c>
      <c r="K135" s="157">
        <f>(VLOOKUP($A135,Hitters!$A$1:$R$401,14,FALSE)-AVERAGE(Rankings!R$2:R$651))/STDEV(Rankings!R$2:R$651)</f>
        <v>-0.98176924133106014</v>
      </c>
      <c r="L135" s="157">
        <f>(VLOOKUP($A135,Hitters!$A$1:$R$401,15,FALSE)-AVERAGE(Rankings!S$2:S$651))/STDEV(Rankings!S$2:S$651)</f>
        <v>-0.15482663981432379</v>
      </c>
      <c r="M135" s="157">
        <f>(VLOOKUP($A135,Hitters!$A$1:$R$401,9,FALSE)-AVERAGE(Rankings!T$2:T$651))/STDEV(Rankings!T$2:T$651)</f>
        <v>-0.4399701626691595</v>
      </c>
      <c r="N135" s="157">
        <f>(VLOOKUP($A135,Hitters!$A$1:$R$401,10,FALSE)-AVERAGE(Rankings!U$2:U$651))/STDEV(Rankings!U$2:U$651)</f>
        <v>-0.23461722863116746</v>
      </c>
      <c r="O135" s="157">
        <f>(VLOOKUP($A135,Hitters!$A$1:$R$401,11,FALSE)-AVERAGE(Rankings!V$2:V$651))/STDEV(Rankings!V$2:V$651)</f>
        <v>0.29196384796146668</v>
      </c>
      <c r="P135" s="157">
        <f>(VLOOKUP($A135,Hitters!$A$1:$R$401,12,FALSE)-AVERAGE(Rankings!W$2:W$651))/STDEV(Rankings!W$2:W$651)</f>
        <v>0.20439923170248817</v>
      </c>
      <c r="Q135" s="157">
        <f>(VLOOKUP($A135,Hitters!$A$1:$R$401,13,FALSE)-AVERAGE(Rankings!X$2:X$651))/STDEV(Rankings!X$2:X$651)</f>
        <v>0.1520757522909397</v>
      </c>
      <c r="R135" s="118">
        <f>(VLOOKUP($A135,Hitters!$A1:$R401,16,FALSE)-AVERAGE(Rankings!Y2:Y651))/STDEV(Rankings!Y2:Y651)</f>
        <v>-1.1601471456216801</v>
      </c>
      <c r="S135" s="118">
        <f>(VLOOKUP($A135,Hitters!$A1:$R401,17,FALSE)-AVERAGE(Rankings!Z2:Z651))/STDEV(Rankings!Z2:Z651)</f>
        <v>-0.90644609278285837</v>
      </c>
      <c r="T135" s="118">
        <f>IFERROR((VLOOKUP($A135,Hitters!$A1:$R401,18,FALSE)-AVERAGE(Rankings!AA2:AA651))/STDEV(Rankings!AA2:AA651),0)</f>
        <v>0</v>
      </c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</row>
    <row r="136" spans="1:37" ht="18.600000000000001" customHeight="1">
      <c r="A136" s="26" t="s">
        <v>591</v>
      </c>
      <c r="B136" s="27" t="s">
        <v>158</v>
      </c>
      <c r="C136" s="120" t="s">
        <v>15</v>
      </c>
      <c r="D136" s="67">
        <f>(F136*Settings!$C$2)+(G136*Settings!$C$3)+(H136*Settings!$C$4)+(I136*Settings!$C$5)+(J136*Settings!$C$6)+(M136*Settings!$C$9)+(N136*Settings!$C$10)+(O136*Settings!$C$11)+(P136*Settings!$C$12)+(Q136*Settings!$C$13)+(T136*Settings!$C$16)+(K136*Settings!$C$7)+(L136*Settings!$C$8)+(R136*Settings!$C$14)+(S136*Settings!$C$15)</f>
        <v>-2.7970381336057462</v>
      </c>
      <c r="E136" s="67"/>
      <c r="F136" s="118">
        <f>(VLOOKUP($A136,Hitters!$A1:$R401,4,FALSE)-AVERAGE(Rankings!M2:M651))/STDEV(Rankings!M2:M651)</f>
        <v>-0.58669452764725827</v>
      </c>
      <c r="G136" s="118">
        <f>(VLOOKUP($A136,Hitters!$A1:$R401,5,FALSE)-AVERAGE(Rankings!N2:N651))/STDEV(Rankings!N2:N651)</f>
        <v>-0.4862268483260081</v>
      </c>
      <c r="H136" s="118">
        <f>(VLOOKUP($A136,Hitters!$A1:$R401,6,FALSE)-AVERAGE(Rankings!O2:O651))/STDEV(Rankings!O2:O651)</f>
        <v>0.35515003605494533</v>
      </c>
      <c r="I136" s="118">
        <f>(VLOOKUP($A136,Hitters!$A1:$R401,7,FALSE)-AVERAGE(Rankings!P2:P651))/STDEV(Rankings!P2:P651)</f>
        <v>-0.28628103884234601</v>
      </c>
      <c r="J136" s="118">
        <f>(VLOOKUP($A136,Hitters!$A1:$R401,8,FALSE)-AVERAGE(Rankings!Q2:Q651))/STDEV(Rankings!Q2:Q651)</f>
        <v>-0.28739495223232753</v>
      </c>
      <c r="K136" s="157">
        <f>(VLOOKUP($A136,Hitters!$A$1:$R$401,14,FALSE)-AVERAGE(Rankings!R$2:R$651))/STDEV(Rankings!R$2:R$651)</f>
        <v>-2.09228533026001</v>
      </c>
      <c r="L136" s="157">
        <f>(VLOOKUP($A136,Hitters!$A$1:$R$401,15,FALSE)-AVERAGE(Rankings!S$2:S$651))/STDEV(Rankings!S$2:S$651)</f>
        <v>-1.2524474312532881</v>
      </c>
      <c r="M136" s="157">
        <f>(VLOOKUP($A136,Hitters!$A$1:$R$401,9,FALSE)-AVERAGE(Rankings!T$2:T$651))/STDEV(Rankings!T$2:T$651)</f>
        <v>-0.88054298147634402</v>
      </c>
      <c r="N136" s="157">
        <f>(VLOOKUP($A136,Hitters!$A$1:$R$401,10,FALSE)-AVERAGE(Rankings!U$2:U$651))/STDEV(Rankings!U$2:U$651)</f>
        <v>-0.76173656083479035</v>
      </c>
      <c r="O136" s="157">
        <f>(VLOOKUP($A136,Hitters!$A$1:$R$401,11,FALSE)-AVERAGE(Rankings!V$2:V$651))/STDEV(Rankings!V$2:V$651)</f>
        <v>-1.4067250538291751</v>
      </c>
      <c r="P136" s="157">
        <f>(VLOOKUP($A136,Hitters!$A$1:$R$401,12,FALSE)-AVERAGE(Rankings!W$2:W$651))/STDEV(Rankings!W$2:W$651)</f>
        <v>-0.23857933004164786</v>
      </c>
      <c r="Q136" s="157">
        <f>(VLOOKUP($A136,Hitters!$A$1:$R$401,13,FALSE)-AVERAGE(Rankings!X$2:X$651))/STDEV(Rankings!X$2:X$651)</f>
        <v>0.74129000290657476</v>
      </c>
      <c r="R136" s="118">
        <f>(VLOOKUP($A136,Hitters!$A1:$R401,16,FALSE)-AVERAGE(Rankings!Y2:Y651))/STDEV(Rankings!Y2:Y651)</f>
        <v>0.11695977449896684</v>
      </c>
      <c r="S136" s="118">
        <f>(VLOOKUP($A136,Hitters!$A1:$R401,17,FALSE)-AVERAGE(Rankings!Z2:Z651))/STDEV(Rankings!Z2:Z651)</f>
        <v>-0.3859238063918492</v>
      </c>
      <c r="T136" s="118">
        <f>IFERROR((VLOOKUP($A136,Hitters!$A1:$R401,18,FALSE)-AVERAGE(Rankings!AA2:AA651))/STDEV(Rankings!AA2:AA651),0)</f>
        <v>0</v>
      </c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</row>
    <row r="137" spans="1:37" ht="18.600000000000001" customHeight="1">
      <c r="A137" s="26" t="s">
        <v>580</v>
      </c>
      <c r="B137" s="27" t="s">
        <v>117</v>
      </c>
      <c r="C137" s="120" t="s">
        <v>15</v>
      </c>
      <c r="D137" s="67">
        <f>(F137*Settings!$C$2)+(G137*Settings!$C$3)+(H137*Settings!$C$4)+(I137*Settings!$C$5)+(J137*Settings!$C$6)+(M137*Settings!$C$9)+(N137*Settings!$C$10)+(O137*Settings!$C$11)+(P137*Settings!$C$12)+(Q137*Settings!$C$13)+(T137*Settings!$C$16)+(K137*Settings!$C$7)+(L137*Settings!$C$8)+(R137*Settings!$C$14)+(S137*Settings!$C$15)</f>
        <v>-1.8125773902493612</v>
      </c>
      <c r="E137" s="67"/>
      <c r="F137" s="118">
        <f>(VLOOKUP($A137,Hitters!$A1:$R401,4,FALSE)-AVERAGE(Rankings!M2:M651))/STDEV(Rankings!M2:M651)</f>
        <v>-0.17742328196439389</v>
      </c>
      <c r="G137" s="118">
        <f>(VLOOKUP($A137,Hitters!$A1:$R401,5,FALSE)-AVERAGE(Rankings!N2:N651))/STDEV(Rankings!N2:N651)</f>
        <v>-0.407066825849283</v>
      </c>
      <c r="H137" s="118">
        <f>(VLOOKUP($A137,Hitters!$A1:$R401,6,FALSE)-AVERAGE(Rankings!O2:O651))/STDEV(Rankings!O2:O651)</f>
        <v>-1.5771059971723833</v>
      </c>
      <c r="I137" s="118">
        <f>(VLOOKUP($A137,Hitters!$A1:$R401,7,FALSE)-AVERAGE(Rankings!P2:P651))/STDEV(Rankings!P2:P651)</f>
        <v>-1.0130896674776333</v>
      </c>
      <c r="J137" s="118">
        <f>(VLOOKUP($A137,Hitters!$A1:$R401,8,FALSE)-AVERAGE(Rankings!Q2:Q651))/STDEV(Rankings!Q2:Q651)</f>
        <v>0.82640001459738666</v>
      </c>
      <c r="K137" s="157">
        <f>(VLOOKUP($A137,Hitters!$A$1:$R$401,14,FALSE)-AVERAGE(Rankings!R$2:R$651))/STDEV(Rankings!R$2:R$651)</f>
        <v>0.35828508565255196</v>
      </c>
      <c r="L137" s="157">
        <f>(VLOOKUP($A137,Hitters!$A$1:$R$401,15,FALSE)-AVERAGE(Rankings!S$2:S$651))/STDEV(Rankings!S$2:S$651)</f>
        <v>-7.9618867407613744E-2</v>
      </c>
      <c r="M137" s="157">
        <f>(VLOOKUP($A137,Hitters!$A$1:$R$401,9,FALSE)-AVERAGE(Rankings!T$2:T$651))/STDEV(Rankings!T$2:T$651)</f>
        <v>-0.12388882026683352</v>
      </c>
      <c r="N137" s="157">
        <f>(VLOOKUP($A137,Hitters!$A$1:$R$401,10,FALSE)-AVERAGE(Rankings!U$2:U$651))/STDEV(Rankings!U$2:U$651)</f>
        <v>-0.58904222723665078</v>
      </c>
      <c r="O137" s="157">
        <f>(VLOOKUP($A137,Hitters!$A$1:$R$401,11,FALSE)-AVERAGE(Rankings!V$2:V$651))/STDEV(Rankings!V$2:V$651)</f>
        <v>1.1589532986788689</v>
      </c>
      <c r="P137" s="157">
        <f>(VLOOKUP($A137,Hitters!$A$1:$R$401,12,FALSE)-AVERAGE(Rankings!W$2:W$651))/STDEV(Rankings!W$2:W$651)</f>
        <v>-0.4298535106725852</v>
      </c>
      <c r="Q137" s="157">
        <f>(VLOOKUP($A137,Hitters!$A$1:$R$401,13,FALSE)-AVERAGE(Rankings!X$2:X$651))/STDEV(Rankings!X$2:X$651)</f>
        <v>-1.1038663695813664</v>
      </c>
      <c r="R137" s="118">
        <f>(VLOOKUP($A137,Hitters!$A1:$R401,16,FALSE)-AVERAGE(Rankings!Y2:Y651))/STDEV(Rankings!Y2:Y651)</f>
        <v>-2.0170816602185311</v>
      </c>
      <c r="S137" s="118">
        <f>(VLOOKUP($A137,Hitters!$A1:$R401,17,FALSE)-AVERAGE(Rankings!Z2:Z651))/STDEV(Rankings!Z2:Z651)</f>
        <v>-1.5046377095938459</v>
      </c>
      <c r="T137" s="118">
        <f>IFERROR((VLOOKUP($A137,Hitters!$A1:$R401,18,FALSE)-AVERAGE(Rankings!AA2:AA651))/STDEV(Rankings!AA2:AA651),0)</f>
        <v>0</v>
      </c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</row>
    <row r="138" spans="1:37" ht="18.600000000000001" customHeight="1">
      <c r="A138" s="26" t="s">
        <v>610</v>
      </c>
      <c r="B138" s="27" t="s">
        <v>120</v>
      </c>
      <c r="C138" s="120" t="s">
        <v>15</v>
      </c>
      <c r="D138" s="67">
        <f>(F138*Settings!$C$2)+(G138*Settings!$C$3)+(H138*Settings!$C$4)+(I138*Settings!$C$5)+(J138*Settings!$C$6)+(M138*Settings!$C$9)+(N138*Settings!$C$10)+(O138*Settings!$C$11)+(P138*Settings!$C$12)+(Q138*Settings!$C$13)+(T138*Settings!$C$16)+(K138*Settings!$C$7)+(L138*Settings!$C$8)+(R138*Settings!$C$14)+(S138*Settings!$C$15)</f>
        <v>-3.9190594700323116</v>
      </c>
      <c r="E138" s="67"/>
      <c r="F138" s="118">
        <f>(VLOOKUP($A138,Hitters!$A1:$R401,4,FALSE)-AVERAGE(Rankings!M2:M651))/STDEV(Rankings!M2:M651)</f>
        <v>-1.2621103695111753</v>
      </c>
      <c r="G138" s="118">
        <f>(VLOOKUP($A138,Hitters!$A1:$R401,5,FALSE)-AVERAGE(Rankings!N2:N651))/STDEV(Rankings!N2:N651)</f>
        <v>-1.1418706219336801</v>
      </c>
      <c r="H138" s="118">
        <f>(VLOOKUP($A138,Hitters!$A1:$R401,6,FALSE)-AVERAGE(Rankings!O2:O651))/STDEV(Rankings!O2:O651)</f>
        <v>-0.86679867640310282</v>
      </c>
      <c r="I138" s="118">
        <f>(VLOOKUP($A138,Hitters!$A1:$R401,7,FALSE)-AVERAGE(Rankings!P2:P651))/STDEV(Rankings!P2:P651)</f>
        <v>-1.0521331062059751</v>
      </c>
      <c r="J138" s="118">
        <f>(VLOOKUP($A138,Hitters!$A1:$R401,8,FALSE)-AVERAGE(Rankings!Q2:Q651))/STDEV(Rankings!Q2:Q651)</f>
        <v>-0.69128817825846112</v>
      </c>
      <c r="K138" s="157">
        <f>(VLOOKUP($A138,Hitters!$A$1:$R$401,14,FALSE)-AVERAGE(Rankings!R$2:R$651))/STDEV(Rankings!R$2:R$651)</f>
        <v>-0.16696888723109235</v>
      </c>
      <c r="L138" s="157">
        <f>(VLOOKUP($A138,Hitters!$A$1:$R$401,15,FALSE)-AVERAGE(Rankings!S$2:S$651))/STDEV(Rankings!S$2:S$651)</f>
        <v>-0.67318557640370724</v>
      </c>
      <c r="M138" s="157">
        <f>(VLOOKUP($A138,Hitters!$A$1:$R$401,9,FALSE)-AVERAGE(Rankings!T$2:T$651))/STDEV(Rankings!T$2:T$651)</f>
        <v>-1.159360753944203</v>
      </c>
      <c r="N138" s="157">
        <f>(VLOOKUP($A138,Hitters!$A$1:$R$401,10,FALSE)-AVERAGE(Rankings!U$2:U$651))/STDEV(Rankings!U$2:U$651)</f>
        <v>-1.112503996727024</v>
      </c>
      <c r="O138" s="157">
        <f>(VLOOKUP($A138,Hitters!$A$1:$R$401,11,FALSE)-AVERAGE(Rankings!V$2:V$651))/STDEV(Rankings!V$2:V$651)</f>
        <v>-0.51112208988677621</v>
      </c>
      <c r="P138" s="157">
        <f>(VLOOKUP($A138,Hitters!$A$1:$R$401,12,FALSE)-AVERAGE(Rankings!W$2:W$651))/STDEV(Rankings!W$2:W$651)</f>
        <v>-1.1473960507272769</v>
      </c>
      <c r="Q138" s="157">
        <f>(VLOOKUP($A138,Hitters!$A$1:$R$401,13,FALSE)-AVERAGE(Rankings!X$2:X$651))/STDEV(Rankings!X$2:X$651)</f>
        <v>-1.1247792280481923</v>
      </c>
      <c r="R138" s="118">
        <f>(VLOOKUP($A138,Hitters!$A1:$R401,16,FALSE)-AVERAGE(Rankings!Y2:Y651))/STDEV(Rankings!Y2:Y651)</f>
        <v>-0.25516450457205647</v>
      </c>
      <c r="S138" s="118">
        <f>(VLOOKUP($A138,Hitters!$A1:$R401,17,FALSE)-AVERAGE(Rankings!Z2:Z651))/STDEV(Rankings!Z2:Z651)</f>
        <v>-0.43993718161351336</v>
      </c>
      <c r="T138" s="118">
        <f>IFERROR((VLOOKUP($A138,Hitters!$A1:$R401,18,FALSE)-AVERAGE(Rankings!AA2:AA651))/STDEV(Rankings!AA2:AA651),0)</f>
        <v>0</v>
      </c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</row>
    <row r="139" spans="1:37" ht="18.600000000000001" customHeight="1">
      <c r="A139" s="26" t="s">
        <v>624</v>
      </c>
      <c r="B139" s="27" t="s">
        <v>217</v>
      </c>
      <c r="C139" s="120" t="s">
        <v>15</v>
      </c>
      <c r="D139" s="67">
        <f>(F139*Settings!$C$2)+(G139*Settings!$C$3)+(H139*Settings!$C$4)+(I139*Settings!$C$5)+(J139*Settings!$C$6)+(M139*Settings!$C$9)+(N139*Settings!$C$10)+(O139*Settings!$C$11)+(P139*Settings!$C$12)+(Q139*Settings!$C$13)+(T139*Settings!$C$16)+(K139*Settings!$C$7)+(L139*Settings!$C$8)+(R139*Settings!$C$14)+(S139*Settings!$C$15)</f>
        <v>-1.7206841007622811</v>
      </c>
      <c r="E139" s="67"/>
      <c r="F139" s="118">
        <f>(VLOOKUP($A139,Hitters!$A1:$R401,4,FALSE)-AVERAGE(Rankings!M2:M651))/STDEV(Rankings!M2:M651)</f>
        <v>-5.6433103637007244E-2</v>
      </c>
      <c r="G139" s="118">
        <f>(VLOOKUP($A139,Hitters!$A1:$R401,5,FALSE)-AVERAGE(Rankings!N2:N651))/STDEV(Rankings!N2:N651)</f>
        <v>-0.160965871922604</v>
      </c>
      <c r="H139" s="118">
        <f>(VLOOKUP($A139,Hitters!$A1:$R401,6,FALSE)-AVERAGE(Rankings!O2:O651))/STDEV(Rankings!O2:O651)</f>
        <v>0.11663946762167919</v>
      </c>
      <c r="I139" s="118">
        <f>(VLOOKUP($A139,Hitters!$A1:$R401,7,FALSE)-AVERAGE(Rankings!P2:P651))/STDEV(Rankings!P2:P651)</f>
        <v>3.6177663178972525E-3</v>
      </c>
      <c r="J139" s="118">
        <f>(VLOOKUP($A139,Hitters!$A1:$R401,8,FALSE)-AVERAGE(Rankings!Q2:Q651))/STDEV(Rankings!Q2:Q651)</f>
        <v>-0.6874868302488033</v>
      </c>
      <c r="K139" s="157">
        <f>(VLOOKUP($A139,Hitters!$A$1:$R$401,14,FALSE)-AVERAGE(Rankings!R$2:R$651))/STDEV(Rankings!R$2:R$651)</f>
        <v>-0.99248863253045017</v>
      </c>
      <c r="L139" s="157">
        <f>(VLOOKUP($A139,Hitters!$A$1:$R$401,15,FALSE)-AVERAGE(Rankings!S$2:S$651))/STDEV(Rankings!S$2:S$651)</f>
        <v>-0.48173392127033154</v>
      </c>
      <c r="M139" s="157">
        <f>(VLOOKUP($A139,Hitters!$A$1:$R$401,9,FALSE)-AVERAGE(Rankings!T$2:T$651))/STDEV(Rankings!T$2:T$651)</f>
        <v>-0.27764597820382586</v>
      </c>
      <c r="N139" s="157">
        <f>(VLOOKUP($A139,Hitters!$A$1:$R$401,10,FALSE)-AVERAGE(Rankings!U$2:U$651))/STDEV(Rankings!U$2:U$651)</f>
        <v>-0.16203970969374312</v>
      </c>
      <c r="O139" s="157">
        <f>(VLOOKUP($A139,Hitters!$A$1:$R$401,11,FALSE)-AVERAGE(Rankings!V$2:V$651))/STDEV(Rankings!V$2:V$651)</f>
        <v>-0.55118100840177164</v>
      </c>
      <c r="P139" s="157">
        <f>(VLOOKUP($A139,Hitters!$A$1:$R$401,12,FALSE)-AVERAGE(Rankings!W$2:W$651))/STDEV(Rankings!W$2:W$651)</f>
        <v>0.12537033853448654</v>
      </c>
      <c r="Q139" s="157">
        <f>(VLOOKUP($A139,Hitters!$A$1:$R$401,13,FALSE)-AVERAGE(Rankings!X$2:X$651))/STDEV(Rankings!X$2:X$651)</f>
        <v>0.88100434933547622</v>
      </c>
      <c r="R139" s="118">
        <f>(VLOOKUP($A139,Hitters!$A1:$R401,16,FALSE)-AVERAGE(Rankings!Y2:Y651))/STDEV(Rankings!Y2:Y651)</f>
        <v>-0.2247215307486814</v>
      </c>
      <c r="S139" s="118">
        <f>(VLOOKUP($A139,Hitters!$A1:$R401,17,FALSE)-AVERAGE(Rankings!Z2:Z651))/STDEV(Rankings!Z2:Z651)</f>
        <v>-0.34561442193899983</v>
      </c>
      <c r="T139" s="118">
        <f>IFERROR((VLOOKUP($A139,Hitters!$A1:$R401,18,FALSE)-AVERAGE(Rankings!AA2:AA651))/STDEV(Rankings!AA2:AA651),0)</f>
        <v>0</v>
      </c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</row>
    <row r="140" spans="1:37" ht="18.600000000000001" customHeight="1">
      <c r="A140" s="26" t="s">
        <v>629</v>
      </c>
      <c r="B140" s="27" t="s">
        <v>86</v>
      </c>
      <c r="C140" s="120" t="s">
        <v>15</v>
      </c>
      <c r="D140" s="67">
        <f>(F140*Settings!$C$2)+(G140*Settings!$C$3)+(H140*Settings!$C$4)+(I140*Settings!$C$5)+(J140*Settings!$C$6)+(M140*Settings!$C$9)+(N140*Settings!$C$10)+(O140*Settings!$C$11)+(P140*Settings!$C$12)+(Q140*Settings!$C$13)+(T140*Settings!$C$16)+(K140*Settings!$C$7)+(L140*Settings!$C$8)+(R140*Settings!$C$14)+(S140*Settings!$C$15)</f>
        <v>-3.6269110799683557</v>
      </c>
      <c r="E140" s="67"/>
      <c r="F140" s="118">
        <f>(VLOOKUP($A140,Hitters!$A1:$R401,4,FALSE)-AVERAGE(Rankings!M2:M651))/STDEV(Rankings!M2:M651)</f>
        <v>-0.82681609664616418</v>
      </c>
      <c r="G140" s="118">
        <f>(VLOOKUP($A140,Hitters!$A1:$R401,5,FALSE)-AVERAGE(Rankings!N2:N651))/STDEV(Rankings!N2:N651)</f>
        <v>-0.80002711679876481</v>
      </c>
      <c r="H140" s="118">
        <f>(VLOOKUP($A140,Hitters!$A1:$R401,6,FALSE)-AVERAGE(Rankings!O2:O651))/STDEV(Rankings!O2:O651)</f>
        <v>-0.34164354339539421</v>
      </c>
      <c r="I140" s="118">
        <f>(VLOOKUP($A140,Hitters!$A1:$R401,7,FALSE)-AVERAGE(Rankings!P2:P651))/STDEV(Rankings!P2:P651)</f>
        <v>-0.68419832768126199</v>
      </c>
      <c r="J140" s="118">
        <f>(VLOOKUP($A140,Hitters!$A1:$R401,8,FALSE)-AVERAGE(Rankings!Q2:Q651))/STDEV(Rankings!Q2:Q651)</f>
        <v>-0.44309183112789202</v>
      </c>
      <c r="K140" s="157">
        <f>(VLOOKUP($A140,Hitters!$A$1:$R$401,14,FALSE)-AVERAGE(Rankings!R$2:R$651))/STDEV(Rankings!R$2:R$651)</f>
        <v>-1.3579502609650427</v>
      </c>
      <c r="L140" s="157">
        <f>(VLOOKUP($A140,Hitters!$A$1:$R$401,15,FALSE)-AVERAGE(Rankings!S$2:S$651))/STDEV(Rankings!S$2:S$651)</f>
        <v>-0.67136064513735549</v>
      </c>
      <c r="M140" s="157">
        <f>(VLOOKUP($A140,Hitters!$A$1:$R$401,9,FALSE)-AVERAGE(Rankings!T$2:T$651))/STDEV(Rankings!T$2:T$651)</f>
        <v>-0.95234424926807781</v>
      </c>
      <c r="N140" s="157">
        <f>(VLOOKUP($A140,Hitters!$A$1:$R$401,10,FALSE)-AVERAGE(Rankings!U$2:U$651))/STDEV(Rankings!U$2:U$651)</f>
        <v>-1.1903168505285113</v>
      </c>
      <c r="O140" s="157">
        <f>(VLOOKUP($A140,Hitters!$A$1:$R$401,11,FALSE)-AVERAGE(Rankings!V$2:V$651))/STDEV(Rankings!V$2:V$651)</f>
        <v>-0.55308857595010485</v>
      </c>
      <c r="P140" s="157">
        <f>(VLOOKUP($A140,Hitters!$A$1:$R$401,12,FALSE)-AVERAGE(Rankings!W$2:W$651))/STDEV(Rankings!W$2:W$651)</f>
        <v>-0.40730492840308424</v>
      </c>
      <c r="Q140" s="157">
        <f>(VLOOKUP($A140,Hitters!$A$1:$R$401,13,FALSE)-AVERAGE(Rankings!X$2:X$651))/STDEV(Rankings!X$2:X$651)</f>
        <v>-9.4733943472616253E-2</v>
      </c>
      <c r="R140" s="118">
        <f>(VLOOKUP($A140,Hitters!$A1:$R401,16,FALSE)-AVERAGE(Rankings!Y2:Y651))/STDEV(Rankings!Y2:Y651)</f>
        <v>-0.52603403349242839</v>
      </c>
      <c r="S140" s="118">
        <f>(VLOOKUP($A140,Hitters!$A1:$R401,17,FALSE)-AVERAGE(Rankings!Z2:Z651))/STDEV(Rankings!Z2:Z651)</f>
        <v>-0.63728182484872864</v>
      </c>
      <c r="T140" s="118">
        <f>IFERROR((VLOOKUP($A140,Hitters!$A1:$R401,18,FALSE)-AVERAGE(Rankings!AA2:AA651))/STDEV(Rankings!AA2:AA651),0)</f>
        <v>0</v>
      </c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</row>
    <row r="141" spans="1:37" ht="18.600000000000001" customHeight="1">
      <c r="A141" s="26" t="s">
        <v>641</v>
      </c>
      <c r="B141" s="27" t="s">
        <v>86</v>
      </c>
      <c r="C141" s="120" t="s">
        <v>15</v>
      </c>
      <c r="D141" s="67">
        <f>(F141*Settings!$C$2)+(G141*Settings!$C$3)+(H141*Settings!$C$4)+(I141*Settings!$C$5)+(J141*Settings!$C$6)+(M141*Settings!$C$9)+(N141*Settings!$C$10)+(O141*Settings!$C$11)+(P141*Settings!$C$12)+(Q141*Settings!$C$13)+(T141*Settings!$C$16)+(K141*Settings!$C$7)+(L141*Settings!$C$8)+(R141*Settings!$C$14)+(S141*Settings!$C$15)</f>
        <v>-3.9069194752455134</v>
      </c>
      <c r="E141" s="67"/>
      <c r="F141" s="118">
        <f>(VLOOKUP($A141,Hitters!$A1:$R401,4,FALSE)-AVERAGE(Rankings!M2:M651))/STDEV(Rankings!M2:M651)</f>
        <v>-1.2000099637355963</v>
      </c>
      <c r="G141" s="118">
        <f>(VLOOKUP($A141,Hitters!$A1:$R401,5,FALSE)-AVERAGE(Rankings!N2:N651))/STDEV(Rankings!N2:N651)</f>
        <v>-1.1315762692349129</v>
      </c>
      <c r="H141" s="118">
        <f>(VLOOKUP($A141,Hitters!$A1:$R401,6,FALSE)-AVERAGE(Rankings!O2:O651))/STDEV(Rankings!O2:O651)</f>
        <v>-0.90093132200248971</v>
      </c>
      <c r="I141" s="118">
        <f>(VLOOKUP($A141,Hitters!$A1:$R401,7,FALSE)-AVERAGE(Rankings!P2:P651))/STDEV(Rankings!P2:P651)</f>
        <v>-1.0906675040121745</v>
      </c>
      <c r="J141" s="118">
        <f>(VLOOKUP($A141,Hitters!$A1:$R401,8,FALSE)-AVERAGE(Rankings!Q2:Q651))/STDEV(Rankings!Q2:Q651)</f>
        <v>-0.19299480999249388</v>
      </c>
      <c r="K141" s="157">
        <f>(VLOOKUP($A141,Hitters!$A$1:$R$401,14,FALSE)-AVERAGE(Rankings!R$2:R$651))/STDEV(Rankings!R$2:R$651)</f>
        <v>-0.59074957000344175</v>
      </c>
      <c r="L141" s="157">
        <f>(VLOOKUP($A141,Hitters!$A$1:$R$401,15,FALSE)-AVERAGE(Rankings!S$2:S$651))/STDEV(Rankings!S$2:S$651)</f>
        <v>-1.3474202038373806</v>
      </c>
      <c r="M141" s="157">
        <f>(VLOOKUP($A141,Hitters!$A$1:$R$401,9,FALSE)-AVERAGE(Rankings!T$2:T$651))/STDEV(Rankings!T$2:T$651)</f>
        <v>-1.1551671045946652</v>
      </c>
      <c r="N141" s="157">
        <f>(VLOOKUP($A141,Hitters!$A$1:$R$401,10,FALSE)-AVERAGE(Rankings!U$2:U$651))/STDEV(Rankings!U$2:U$651)</f>
        <v>-0.9342874606010374</v>
      </c>
      <c r="O141" s="157">
        <f>(VLOOKUP($A141,Hitters!$A$1:$R$401,11,FALSE)-AVERAGE(Rankings!V$2:V$651))/STDEV(Rankings!V$2:V$651)</f>
        <v>-0.55308857595010485</v>
      </c>
      <c r="P141" s="157">
        <f>(VLOOKUP($A141,Hitters!$A$1:$R$401,12,FALSE)-AVERAGE(Rankings!W$2:W$651))/STDEV(Rankings!W$2:W$651)</f>
        <v>-1.2671056964587364</v>
      </c>
      <c r="Q141" s="157">
        <f>(VLOOKUP($A141,Hitters!$A$1:$R$401,13,FALSE)-AVERAGE(Rankings!X$2:X$651))/STDEV(Rankings!X$2:X$651)</f>
        <v>-0.93861998565968308</v>
      </c>
      <c r="R141" s="118">
        <f>(VLOOKUP($A141,Hitters!$A1:$R401,16,FALSE)-AVERAGE(Rankings!Y2:Y651))/STDEV(Rankings!Y2:Y651)</f>
        <v>-0.5249429144595722</v>
      </c>
      <c r="S141" s="118">
        <f>(VLOOKUP($A141,Hitters!$A1:$R401,17,FALSE)-AVERAGE(Rankings!Z2:Z651))/STDEV(Rankings!Z2:Z651)</f>
        <v>-0.89096573298085602</v>
      </c>
      <c r="T141" s="118">
        <f>IFERROR((VLOOKUP($A141,Hitters!$A1:$R401,18,FALSE)-AVERAGE(Rankings!AA2:AA651))/STDEV(Rankings!AA2:AA651),0)</f>
        <v>0</v>
      </c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</row>
    <row r="142" spans="1:37" ht="18.600000000000001" customHeight="1">
      <c r="A142" s="26" t="s">
        <v>658</v>
      </c>
      <c r="B142" s="27" t="s">
        <v>176</v>
      </c>
      <c r="C142" s="120" t="s">
        <v>15</v>
      </c>
      <c r="D142" s="67">
        <f>(F142*Settings!$C$2)+(G142*Settings!$C$3)+(H142*Settings!$C$4)+(I142*Settings!$C$5)+(J142*Settings!$C$6)+(M142*Settings!$C$9)+(N142*Settings!$C$10)+(O142*Settings!$C$11)+(P142*Settings!$C$12)+(Q142*Settings!$C$13)+(T142*Settings!$C$16)+(K142*Settings!$C$7)+(L142*Settings!$C$8)+(R142*Settings!$C$14)+(S142*Settings!$C$15)</f>
        <v>-2.4347565743358111</v>
      </c>
      <c r="E142" s="67"/>
      <c r="F142" s="118">
        <f>(VLOOKUP($A142,Hitters!$A1:$R401,4,FALSE)-AVERAGE(Rankings!M2:M651))/STDEV(Rankings!M2:M651)</f>
        <v>-0.98878409375063359</v>
      </c>
      <c r="G142" s="118">
        <f>(VLOOKUP($A142,Hitters!$A1:$R401,5,FALSE)-AVERAGE(Rankings!N2:N651))/STDEV(Rankings!N2:N651)</f>
        <v>-0.86955203083822019</v>
      </c>
      <c r="H142" s="118">
        <f>(VLOOKUP($A142,Hitters!$A1:$R401,6,FALSE)-AVERAGE(Rankings!O2:O651))/STDEV(Rankings!O2:O651)</f>
        <v>-0.45915736610185465</v>
      </c>
      <c r="I142" s="118">
        <f>(VLOOKUP($A142,Hitters!$A1:$R401,7,FALSE)-AVERAGE(Rankings!P2:P651))/STDEV(Rankings!P2:P651)</f>
        <v>-0.6636839785189127</v>
      </c>
      <c r="J142" s="118">
        <f>(VLOOKUP($A142,Hitters!$A1:$R401,8,FALSE)-AVERAGE(Rankings!Q2:Q651))/STDEV(Rankings!Q2:Q651)</f>
        <v>-0.82781992760533452</v>
      </c>
      <c r="K142" s="157">
        <f>(VLOOKUP($A142,Hitters!$A$1:$R$401,14,FALSE)-AVERAGE(Rankings!R$2:R$651))/STDEV(Rankings!R$2:R$651)</f>
        <v>0.38545672872851144</v>
      </c>
      <c r="L142" s="157">
        <f>(VLOOKUP($A142,Hitters!$A$1:$R$401,15,FALSE)-AVERAGE(Rankings!S$2:S$651))/STDEV(Rankings!S$2:S$651)</f>
        <v>-0.23117794524471552</v>
      </c>
      <c r="M142" s="157">
        <f>(VLOOKUP($A142,Hitters!$A$1:$R$401,9,FALSE)-AVERAGE(Rankings!T$2:T$651))/STDEV(Rankings!T$2:T$651)</f>
        <v>-0.85064825254177978</v>
      </c>
      <c r="N142" s="157">
        <f>(VLOOKUP($A142,Hitters!$A$1:$R$401,10,FALSE)-AVERAGE(Rankings!U$2:U$651))/STDEV(Rankings!U$2:U$651)</f>
        <v>-0.72587810286175458</v>
      </c>
      <c r="O142" s="157">
        <f>(VLOOKUP($A142,Hitters!$A$1:$R$401,11,FALSE)-AVERAGE(Rankings!V$2:V$651))/STDEV(Rankings!V$2:V$651)</f>
        <v>-0.55308857595010485</v>
      </c>
      <c r="P142" s="157">
        <f>(VLOOKUP($A142,Hitters!$A$1:$R$401,12,FALSE)-AVERAGE(Rankings!W$2:W$651))/STDEV(Rankings!W$2:W$651)</f>
        <v>-0.99372357487403118</v>
      </c>
      <c r="Q142" s="157">
        <f>(VLOOKUP($A142,Hitters!$A$1:$R$401,13,FALSE)-AVERAGE(Rankings!X$2:X$651))/STDEV(Rankings!X$2:X$651)</f>
        <v>-0.70321586550473691</v>
      </c>
      <c r="R142" s="118">
        <f>(VLOOKUP($A142,Hitters!$A1:$R401,16,FALSE)-AVERAGE(Rankings!Y2:Y651))/STDEV(Rankings!Y2:Y651)</f>
        <v>0.64374283361592499</v>
      </c>
      <c r="S142" s="118">
        <f>(VLOOKUP($A142,Hitters!$A1:$R401,17,FALSE)-AVERAGE(Rankings!Z2:Z651))/STDEV(Rankings!Z2:Z651)</f>
        <v>0.38363026393613719</v>
      </c>
      <c r="T142" s="118">
        <f>IFERROR((VLOOKUP($A142,Hitters!$A1:$R401,18,FALSE)-AVERAGE(Rankings!AA2:AA651))/STDEV(Rankings!AA2:AA651),0)</f>
        <v>0</v>
      </c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</row>
    <row r="143" spans="1:37" ht="18.600000000000001" customHeight="1">
      <c r="A143" s="26" t="s">
        <v>659</v>
      </c>
      <c r="B143" s="27" t="s">
        <v>95</v>
      </c>
      <c r="C143" s="120" t="s">
        <v>15</v>
      </c>
      <c r="D143" s="67">
        <f>(F143*Settings!$C$2)+(G143*Settings!$C$3)+(H143*Settings!$C$4)+(I143*Settings!$C$5)+(J143*Settings!$C$6)+(M143*Settings!$C$9)+(N143*Settings!$C$10)+(O143*Settings!$C$11)+(P143*Settings!$C$12)+(Q143*Settings!$C$13)+(T143*Settings!$C$16)+(K143*Settings!$C$7)+(L143*Settings!$C$8)+(R143*Settings!$C$14)+(S143*Settings!$C$15)</f>
        <v>-4.1243381031657194</v>
      </c>
      <c r="E143" s="67"/>
      <c r="F143" s="118">
        <f>(VLOOKUP($A143,Hitters!$A1:$R401,4,FALSE)-AVERAGE(Rankings!M2:M651))/STDEV(Rankings!M2:M651)</f>
        <v>-1.2483384427881559</v>
      </c>
      <c r="G143" s="118">
        <f>(VLOOKUP($A143,Hitters!$A1:$R401,5,FALSE)-AVERAGE(Rankings!N2:N651))/STDEV(Rankings!N2:N651)</f>
        <v>-1.2108377139057143</v>
      </c>
      <c r="H143" s="118">
        <f>(VLOOKUP($A143,Hitters!$A1:$R401,6,FALSE)-AVERAGE(Rankings!O2:O651))/STDEV(Rankings!O2:O651)</f>
        <v>-1.4750563526762572</v>
      </c>
      <c r="I143" s="118">
        <f>(VLOOKUP($A143,Hitters!$A1:$R401,7,FALSE)-AVERAGE(Rankings!P2:P651))/STDEV(Rankings!P2:P651)</f>
        <v>-1.3672294370122806</v>
      </c>
      <c r="J143" s="118">
        <f>(VLOOKUP($A143,Hitters!$A1:$R401,8,FALSE)-AVERAGE(Rankings!Q2:Q651))/STDEV(Rankings!Q2:Q651)</f>
        <v>-0.82338502159406723</v>
      </c>
      <c r="K143" s="157">
        <f>(VLOOKUP($A143,Hitters!$A$1:$R$401,14,FALSE)-AVERAGE(Rankings!R$2:R$651))/STDEV(Rankings!R$2:R$651)</f>
        <v>0.75217042202259954</v>
      </c>
      <c r="L143" s="157">
        <f>(VLOOKUP($A143,Hitters!$A$1:$R$401,15,FALSE)-AVERAGE(Rankings!S$2:S$651))/STDEV(Rankings!S$2:S$651)</f>
        <v>1.2355381588550449</v>
      </c>
      <c r="M143" s="157">
        <f>(VLOOKUP($A143,Hitters!$A$1:$R$401,9,FALSE)-AVERAGE(Rankings!T$2:T$651))/STDEV(Rankings!T$2:T$651)</f>
        <v>-1.0431367576855768</v>
      </c>
      <c r="N143" s="157">
        <f>(VLOOKUP($A143,Hitters!$A$1:$R$401,10,FALSE)-AVERAGE(Rankings!U$2:U$651))/STDEV(Rankings!U$2:U$651)</f>
        <v>-1.2676276859183762</v>
      </c>
      <c r="O143" s="157">
        <f>(VLOOKUP($A143,Hitters!$A$1:$R$401,11,FALSE)-AVERAGE(Rankings!V$2:V$651))/STDEV(Rankings!V$2:V$651)</f>
        <v>-0.55404235972427129</v>
      </c>
      <c r="P143" s="157">
        <f>(VLOOKUP($A143,Hitters!$A$1:$R$401,12,FALSE)-AVERAGE(Rankings!W$2:W$651))/STDEV(Rankings!W$2:W$651)</f>
        <v>-0.58094456262463279</v>
      </c>
      <c r="Q143" s="157">
        <f>(VLOOKUP($A143,Hitters!$A$1:$R$401,13,FALSE)-AVERAGE(Rankings!X$2:X$651))/STDEV(Rankings!X$2:X$651)</f>
        <v>-1.5882790412690724</v>
      </c>
      <c r="R143" s="118">
        <f>(VLOOKUP($A143,Hitters!$A1:$R401,16,FALSE)-AVERAGE(Rankings!Y2:Y651))/STDEV(Rankings!Y2:Y651)</f>
        <v>-1.5525448231719166</v>
      </c>
      <c r="S143" s="118">
        <f>(VLOOKUP($A143,Hitters!$A1:$R401,17,FALSE)-AVERAGE(Rankings!Z2:Z651))/STDEV(Rankings!Z2:Z651)</f>
        <v>-0.66996675677529427</v>
      </c>
      <c r="T143" s="118">
        <f>IFERROR((VLOOKUP($A143,Hitters!$A1:$R401,18,FALSE)-AVERAGE(Rankings!AA2:AA651))/STDEV(Rankings!AA2:AA651),0)</f>
        <v>0</v>
      </c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</row>
    <row r="144" spans="1:37" ht="18.600000000000001" customHeight="1">
      <c r="A144" s="26" t="s">
        <v>665</v>
      </c>
      <c r="B144" s="27" t="s">
        <v>306</v>
      </c>
      <c r="C144" s="120" t="s">
        <v>15</v>
      </c>
      <c r="D144" s="67">
        <f>(F144*Settings!$C$2)+(G144*Settings!$C$3)+(H144*Settings!$C$4)+(I144*Settings!$C$5)+(J144*Settings!$C$6)+(M144*Settings!$C$9)+(N144*Settings!$C$10)+(O144*Settings!$C$11)+(P144*Settings!$C$12)+(Q144*Settings!$C$13)+(T144*Settings!$C$16)+(K144*Settings!$C$7)+(L144*Settings!$C$8)+(R144*Settings!$C$14)+(S144*Settings!$C$15)</f>
        <v>-4.4487296621410914</v>
      </c>
      <c r="E144" s="67"/>
      <c r="F144" s="118">
        <f>(VLOOKUP($A144,Hitters!$A1:$R401,4,FALSE)-AVERAGE(Rankings!M2:M651))/STDEV(Rankings!M2:M651)</f>
        <v>-1.7118947370571556</v>
      </c>
      <c r="G144" s="118">
        <f>(VLOOKUP($A144,Hitters!$A1:$R401,5,FALSE)-AVERAGE(Rankings!N2:N651))/STDEV(Rankings!N2:N651)</f>
        <v>-1.5203021835817003</v>
      </c>
      <c r="H144" s="118">
        <f>(VLOOKUP($A144,Hitters!$A1:$R401,6,FALSE)-AVERAGE(Rankings!O2:O651))/STDEV(Rankings!O2:O651)</f>
        <v>-1.2186087306882114</v>
      </c>
      <c r="I144" s="118">
        <f>(VLOOKUP($A144,Hitters!$A1:$R401,7,FALSE)-AVERAGE(Rankings!P2:P651))/STDEV(Rankings!P2:P651)</f>
        <v>-1.452341079194533</v>
      </c>
      <c r="J144" s="118">
        <f>(VLOOKUP($A144,Hitters!$A1:$R401,8,FALSE)-AVERAGE(Rankings!Q2:Q651))/STDEV(Rankings!Q2:Q651)</f>
        <v>-0.58508801823864842</v>
      </c>
      <c r="K144" s="157">
        <f>(VLOOKUP($A144,Hitters!$A$1:$R$401,14,FALSE)-AVERAGE(Rankings!R$2:R$651))/STDEV(Rankings!R$2:R$651)</f>
        <v>0.32761034956200213</v>
      </c>
      <c r="L144" s="157">
        <f>(VLOOKUP($A144,Hitters!$A$1:$R$401,15,FALSE)-AVERAGE(Rankings!S$2:S$651))/STDEV(Rankings!S$2:S$651)</f>
        <v>-0.37843208441921172</v>
      </c>
      <c r="M144" s="157">
        <f>(VLOOKUP($A144,Hitters!$A$1:$R$401,9,FALSE)-AVERAGE(Rankings!T$2:T$651))/STDEV(Rankings!T$2:T$651)</f>
        <v>-1.5076133777851282</v>
      </c>
      <c r="N144" s="157">
        <f>(VLOOKUP($A144,Hitters!$A$1:$R$401,10,FALSE)-AVERAGE(Rankings!U$2:U$651))/STDEV(Rankings!U$2:U$651)</f>
        <v>-1.2994699965984318</v>
      </c>
      <c r="O144" s="157">
        <f>(VLOOKUP($A144,Hitters!$A$1:$R$401,11,FALSE)-AVERAGE(Rankings!V$2:V$651))/STDEV(Rankings!V$2:V$651)</f>
        <v>-0.55833438670802082</v>
      </c>
      <c r="P144" s="157">
        <f>(VLOOKUP($A144,Hitters!$A$1:$R$401,12,FALSE)-AVERAGE(Rankings!W$2:W$651))/STDEV(Rankings!W$2:W$651)</f>
        <v>-1.416206252872511</v>
      </c>
      <c r="Q144" s="157">
        <f>(VLOOKUP($A144,Hitters!$A$1:$R$401,13,FALSE)-AVERAGE(Rankings!X$2:X$651))/STDEV(Rankings!X$2:X$651)</f>
        <v>-1.5992100436900836</v>
      </c>
      <c r="R144" s="118">
        <f>(VLOOKUP($A144,Hitters!$A1:$R401,16,FALSE)-AVERAGE(Rankings!Y2:Y651))/STDEV(Rankings!Y2:Y651)</f>
        <v>-0.16536719563512142</v>
      </c>
      <c r="S144" s="118">
        <f>(VLOOKUP($A144,Hitters!$A1:$R401,17,FALSE)-AVERAGE(Rankings!Z2:Z651))/STDEV(Rankings!Z2:Z651)</f>
        <v>-0.263335947637243</v>
      </c>
      <c r="T144" s="118">
        <f>IFERROR((VLOOKUP($A144,Hitters!$A1:$R401,18,FALSE)-AVERAGE(Rankings!AA2:AA651))/STDEV(Rankings!AA2:AA651),0)</f>
        <v>0</v>
      </c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</row>
    <row r="145" spans="1:37" ht="18.600000000000001" customHeight="1">
      <c r="A145" s="26" t="s">
        <v>684</v>
      </c>
      <c r="B145" s="27" t="s">
        <v>114</v>
      </c>
      <c r="C145" s="120" t="s">
        <v>15</v>
      </c>
      <c r="D145" s="67">
        <f>(F145*Settings!$C$2)+(G145*Settings!$C$3)+(H145*Settings!$C$4)+(I145*Settings!$C$5)+(J145*Settings!$C$6)+(M145*Settings!$C$9)+(N145*Settings!$C$10)+(O145*Settings!$C$11)+(P145*Settings!$C$12)+(Q145*Settings!$C$13)+(T145*Settings!$C$16)+(K145*Settings!$C$7)+(L145*Settings!$C$8)+(R145*Settings!$C$14)+(S145*Settings!$C$15)</f>
        <v>-4.9209141592064034</v>
      </c>
      <c r="E145" s="67"/>
      <c r="F145" s="118">
        <f>(VLOOKUP($A145,Hitters!$A1:$R401,4,FALSE)-AVERAGE(Rankings!M2:M651))/STDEV(Rankings!M2:M651)</f>
        <v>-1.6365715918205177</v>
      </c>
      <c r="G145" s="118">
        <f>(VLOOKUP($A145,Hitters!$A1:$R401,5,FALSE)-AVERAGE(Rankings!N2:N651))/STDEV(Rankings!N2:N651)</f>
        <v>-1.4273233871620492</v>
      </c>
      <c r="H145" s="118">
        <f>(VLOOKUP($A145,Hitters!$A1:$R401,6,FALSE)-AVERAGE(Rankings!O2:O651))/STDEV(Rankings!O2:O651)</f>
        <v>-0.85718580886694917</v>
      </c>
      <c r="I145" s="118">
        <f>(VLOOKUP($A145,Hitters!$A1:$R401,7,FALSE)-AVERAGE(Rankings!P2:P651))/STDEV(Rankings!P2:P651)</f>
        <v>-1.2715806477416749</v>
      </c>
      <c r="J145" s="118">
        <f>(VLOOKUP($A145,Hitters!$A1:$R401,8,FALSE)-AVERAGE(Rankings!Q2:Q651))/STDEV(Rankings!Q2:Q651)</f>
        <v>-0.9652228192044211</v>
      </c>
      <c r="K145" s="157">
        <f>(VLOOKUP($A145,Hitters!$A$1:$R$401,14,FALSE)-AVERAGE(Rankings!R$2:R$651))/STDEV(Rankings!R$2:R$651)</f>
        <v>-0.39960149623130886</v>
      </c>
      <c r="L145" s="157">
        <f>(VLOOKUP($A145,Hitters!$A$1:$R$401,15,FALSE)-AVERAGE(Rankings!S$2:S$651))/STDEV(Rankings!S$2:S$651)</f>
        <v>-0.92187100961759572</v>
      </c>
      <c r="M145" s="157">
        <f>(VLOOKUP($A145,Hitters!$A$1:$R$401,9,FALSE)-AVERAGE(Rankings!T$2:T$651))/STDEV(Rankings!T$2:T$651)</f>
        <v>-1.5033298645209572</v>
      </c>
      <c r="N145" s="157">
        <f>(VLOOKUP($A145,Hitters!$A$1:$R$401,10,FALSE)-AVERAGE(Rankings!U$2:U$651))/STDEV(Rankings!U$2:U$651)</f>
        <v>-1.5484711287631909</v>
      </c>
      <c r="O145" s="157">
        <f>(VLOOKUP($A145,Hitters!$A$1:$R$401,11,FALSE)-AVERAGE(Rankings!V$2:V$651))/STDEV(Rankings!V$2:V$651)</f>
        <v>-0.54116627877302281</v>
      </c>
      <c r="P145" s="157">
        <f>(VLOOKUP($A145,Hitters!$A$1:$R$401,12,FALSE)-AVERAGE(Rankings!W$2:W$651))/STDEV(Rankings!W$2:W$651)</f>
        <v>-1.3706736674345124</v>
      </c>
      <c r="Q145" s="157">
        <f>(VLOOKUP($A145,Hitters!$A$1:$R$401,13,FALSE)-AVERAGE(Rankings!X$2:X$651))/STDEV(Rankings!X$2:X$651)</f>
        <v>-1.2474563970423196</v>
      </c>
      <c r="R145" s="118">
        <f>(VLOOKUP($A145,Hitters!$A1:$R401,16,FALSE)-AVERAGE(Rankings!Y2:Y651))/STDEV(Rankings!Y2:Y651)</f>
        <v>0.24015717161812167</v>
      </c>
      <c r="S145" s="118">
        <f>(VLOOKUP($A145,Hitters!$A1:$R401,17,FALSE)-AVERAGE(Rankings!Z2:Z651))/STDEV(Rankings!Z2:Z651)</f>
        <v>-0.17141947825131795</v>
      </c>
      <c r="T145" s="118">
        <f>IFERROR((VLOOKUP($A145,Hitters!$A1:$R401,18,FALSE)-AVERAGE(Rankings!AA2:AA651))/STDEV(Rankings!AA2:AA651),0)</f>
        <v>0</v>
      </c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</row>
    <row r="146" spans="1:37" ht="18.600000000000001" customHeight="1">
      <c r="A146" s="26" t="s">
        <v>681</v>
      </c>
      <c r="B146" s="27" t="s">
        <v>117</v>
      </c>
      <c r="C146" s="120" t="s">
        <v>15</v>
      </c>
      <c r="D146" s="67">
        <f>(F146*Settings!$C$2)+(G146*Settings!$C$3)+(H146*Settings!$C$4)+(I146*Settings!$C$5)+(J146*Settings!$C$6)+(M146*Settings!$C$9)+(N146*Settings!$C$10)+(O146*Settings!$C$11)+(P146*Settings!$C$12)+(Q146*Settings!$C$13)+(T146*Settings!$C$16)+(K146*Settings!$C$7)+(L146*Settings!$C$8)+(R146*Settings!$C$14)+(S146*Settings!$C$15)</f>
        <v>-5.0342748627430822</v>
      </c>
      <c r="E146" s="67"/>
      <c r="F146" s="118">
        <f>(VLOOKUP($A146,Hitters!$A1:$R401,4,FALSE)-AVERAGE(Rankings!M2:M651))/STDEV(Rankings!M2:M651)</f>
        <v>-1.9216420259522236</v>
      </c>
      <c r="G146" s="118">
        <f>(VLOOKUP($A146,Hitters!$A1:$R401,5,FALSE)-AVERAGE(Rankings!N2:N651))/STDEV(Rankings!N2:N651)</f>
        <v>-1.7411743667318442</v>
      </c>
      <c r="H146" s="118">
        <f>(VLOOKUP($A146,Hitters!$A1:$R401,6,FALSE)-AVERAGE(Rankings!O2:O651))/STDEV(Rankings!O2:O651)</f>
        <v>-1.5438789115582863</v>
      </c>
      <c r="I146" s="118">
        <f>(VLOOKUP($A146,Hitters!$A1:$R401,7,FALSE)-AVERAGE(Rankings!P2:P651))/STDEV(Rankings!P2:P651)</f>
        <v>-1.7378621324243497</v>
      </c>
      <c r="J146" s="118">
        <f>(VLOOKUP($A146,Hitters!$A1:$R401,8,FALSE)-AVERAGE(Rankings!Q2:Q651))/STDEV(Rankings!Q2:Q651)</f>
        <v>-0.76430573794397005</v>
      </c>
      <c r="K146" s="157">
        <f>(VLOOKUP($A146,Hitters!$A$1:$R$401,14,FALSE)-AVERAGE(Rankings!R$2:R$651))/STDEV(Rankings!R$2:R$651)</f>
        <v>0.75294628591536794</v>
      </c>
      <c r="L146" s="157">
        <f>(VLOOKUP($A146,Hitters!$A$1:$R$401,15,FALSE)-AVERAGE(Rankings!S$2:S$651))/STDEV(Rankings!S$2:S$651)</f>
        <v>0.14787128963309118</v>
      </c>
      <c r="M146" s="157">
        <f>(VLOOKUP($A146,Hitters!$A$1:$R$401,9,FALSE)-AVERAGE(Rankings!T$2:T$651))/STDEV(Rankings!T$2:T$651)</f>
        <v>-1.6671517808968406</v>
      </c>
      <c r="N146" s="157">
        <f>(VLOOKUP($A146,Hitters!$A$1:$R$401,10,FALSE)-AVERAGE(Rankings!U$2:U$651))/STDEV(Rankings!U$2:U$651)</f>
        <v>-1.8326135497415248</v>
      </c>
      <c r="O146" s="157">
        <f>(VLOOKUP($A146,Hitters!$A$1:$R$401,11,FALSE)-AVERAGE(Rankings!V$2:V$651))/STDEV(Rankings!V$2:V$651)</f>
        <v>-1.4052943781679255</v>
      </c>
      <c r="P146" s="157">
        <f>(VLOOKUP($A146,Hitters!$A$1:$R$401,12,FALSE)-AVERAGE(Rankings!W$2:W$651))/STDEV(Rankings!W$2:W$651)</f>
        <v>-1.4709448801750233</v>
      </c>
      <c r="Q146" s="157">
        <f>(VLOOKUP($A146,Hitters!$A$1:$R$401,13,FALSE)-AVERAGE(Rankings!X$2:X$651))/STDEV(Rankings!X$2:X$651)</f>
        <v>-1.9422790010048012</v>
      </c>
      <c r="R146" s="118">
        <f>(VLOOKUP($A146,Hitters!$A1:$R401,16,FALSE)-AVERAGE(Rankings!Y2:Y651))/STDEV(Rankings!Y2:Y651)</f>
        <v>-1.7131129225027537</v>
      </c>
      <c r="S146" s="118">
        <f>(VLOOKUP($A146,Hitters!$A1:$R401,17,FALSE)-AVERAGE(Rankings!Z2:Z651))/STDEV(Rankings!Z2:Z651)</f>
        <v>-1.1967758311023755</v>
      </c>
      <c r="T146" s="118">
        <f>IFERROR((VLOOKUP($A146,Hitters!$A1:$R401,18,FALSE)-AVERAGE(Rankings!AA2:AA651))/STDEV(Rankings!AA2:AA651),0)</f>
        <v>0</v>
      </c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</row>
    <row r="147" spans="1:37" ht="18.600000000000001" customHeight="1">
      <c r="A147" s="26" t="s">
        <v>685</v>
      </c>
      <c r="B147" s="27" t="s">
        <v>134</v>
      </c>
      <c r="C147" s="120" t="s">
        <v>15</v>
      </c>
      <c r="D147" s="67">
        <f>(F147*Settings!$C$2)+(G147*Settings!$C$3)+(H147*Settings!$C$4)+(I147*Settings!$C$5)+(J147*Settings!$C$6)+(M147*Settings!$C$9)+(N147*Settings!$C$10)+(O147*Settings!$C$11)+(P147*Settings!$C$12)+(Q147*Settings!$C$13)+(T147*Settings!$C$16)+(K147*Settings!$C$7)+(L147*Settings!$C$8)+(R147*Settings!$C$14)+(S147*Settings!$C$15)</f>
        <v>-5.1560622234923361</v>
      </c>
      <c r="E147" s="67"/>
      <c r="F147" s="118">
        <f>(VLOOKUP($A147,Hitters!$A1:$R401,4,FALSE)-AVERAGE(Rankings!M2:M651))/STDEV(Rankings!M2:M651)</f>
        <v>-1.7445925017308279</v>
      </c>
      <c r="G147" s="118">
        <f>(VLOOKUP($A147,Hitters!$A1:$R401,5,FALSE)-AVERAGE(Rankings!N2:N651))/STDEV(Rankings!N2:N651)</f>
        <v>-1.5757547681930377</v>
      </c>
      <c r="H147" s="118">
        <f>(VLOOKUP($A147,Hitters!$A1:$R401,6,FALSE)-AVERAGE(Rankings!O2:O651))/STDEV(Rankings!O2:O651)</f>
        <v>-1.410552618339457</v>
      </c>
      <c r="I147" s="118">
        <f>(VLOOKUP($A147,Hitters!$A1:$R401,7,FALSE)-AVERAGE(Rankings!P2:P651))/STDEV(Rankings!P2:P651)</f>
        <v>-1.6071149715720081</v>
      </c>
      <c r="J147" s="118">
        <f>(VLOOKUP($A147,Hitters!$A1:$R401,8,FALSE)-AVERAGE(Rankings!Q2:Q651))/STDEV(Rankings!Q2:Q651)</f>
        <v>-0.875336777726056</v>
      </c>
      <c r="K147" s="157">
        <f>(VLOOKUP($A147,Hitters!$A$1:$R$401,14,FALSE)-AVERAGE(Rankings!R$2:R$651))/STDEV(Rankings!R$2:R$651)</f>
        <v>0.31269691233822278</v>
      </c>
      <c r="L147" s="157">
        <f>(VLOOKUP($A147,Hitters!$A$1:$R$401,15,FALSE)-AVERAGE(Rankings!S$2:S$651))/STDEV(Rankings!S$2:S$651)</f>
        <v>0.26493552883186855</v>
      </c>
      <c r="M147" s="157">
        <f>(VLOOKUP($A147,Hitters!$A$1:$R$401,9,FALSE)-AVERAGE(Rankings!T$2:T$651))/STDEV(Rankings!T$2:T$651)</f>
        <v>-1.5381671087603341</v>
      </c>
      <c r="N147" s="157">
        <f>(VLOOKUP($A147,Hitters!$A$1:$R$401,10,FALSE)-AVERAGE(Rankings!U$2:U$651))/STDEV(Rankings!U$2:U$651)</f>
        <v>-1.6118688824595178</v>
      </c>
      <c r="O147" s="157">
        <f>(VLOOKUP($A147,Hitters!$A$1:$R$401,11,FALSE)-AVERAGE(Rankings!V$2:V$651))/STDEV(Rankings!V$2:V$651)</f>
        <v>-1.389556945894177</v>
      </c>
      <c r="P147" s="157">
        <f>(VLOOKUP($A147,Hitters!$A$1:$R$401,12,FALSE)-AVERAGE(Rankings!W$2:W$651))/STDEV(Rankings!W$2:W$651)</f>
        <v>-1.2253985946333565</v>
      </c>
      <c r="Q147" s="157">
        <f>(VLOOKUP($A147,Hitters!$A$1:$R$401,13,FALSE)-AVERAGE(Rankings!X$2:X$651))/STDEV(Rankings!X$2:X$651)</f>
        <v>-1.7972177966622938</v>
      </c>
      <c r="R147" s="118">
        <f>(VLOOKUP($A147,Hitters!$A1:$R401,16,FALSE)-AVERAGE(Rankings!Y2:Y651))/STDEV(Rankings!Y2:Y651)</f>
        <v>-1.4229458841490745</v>
      </c>
      <c r="S147" s="118">
        <f>(VLOOKUP($A147,Hitters!$A1:$R401,17,FALSE)-AVERAGE(Rankings!Z2:Z651))/STDEV(Rankings!Z2:Z651)</f>
        <v>-0.94057072405820241</v>
      </c>
      <c r="T147" s="118">
        <f>IFERROR((VLOOKUP($A147,Hitters!$A1:$R401,18,FALSE)-AVERAGE(Rankings!AA2:AA651))/STDEV(Rankings!AA2:AA651),0)</f>
        <v>0</v>
      </c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</row>
    <row r="148" spans="1:37" ht="18.600000000000001" customHeight="1">
      <c r="A148" s="26" t="s">
        <v>695</v>
      </c>
      <c r="B148" s="27" t="s">
        <v>306</v>
      </c>
      <c r="C148" s="120" t="s">
        <v>15</v>
      </c>
      <c r="D148" s="67">
        <f>(F148*Settings!$C$2)+(G148*Settings!$C$3)+(H148*Settings!$C$4)+(I148*Settings!$C$5)+(J148*Settings!$C$6)+(M148*Settings!$C$9)+(N148*Settings!$C$10)+(O148*Settings!$C$11)+(P148*Settings!$C$12)+(Q148*Settings!$C$13)+(T148*Settings!$C$16)+(K148*Settings!$C$7)+(L148*Settings!$C$8)+(R148*Settings!$C$14)+(S148*Settings!$C$15)</f>
        <v>-5.0853367732065848</v>
      </c>
      <c r="E148" s="67"/>
      <c r="F148" s="118">
        <f>(VLOOKUP($A148,Hitters!$A1:$R401,4,FALSE)-AVERAGE(Rankings!M2:M651))/STDEV(Rankings!M2:M651)</f>
        <v>-1.344488458805311</v>
      </c>
      <c r="G148" s="118">
        <f>(VLOOKUP($A148,Hitters!$A1:$R401,5,FALSE)-AVERAGE(Rankings!N2:N651))/STDEV(Rankings!N2:N651)</f>
        <v>-1.4023228163221866</v>
      </c>
      <c r="H148" s="118">
        <f>(VLOOKUP($A148,Hitters!$A1:$R401,6,FALSE)-AVERAGE(Rankings!O2:O651))/STDEV(Rankings!O2:O651)</f>
        <v>-1.3463971763046911</v>
      </c>
      <c r="I148" s="118">
        <f>(VLOOKUP($A148,Hitters!$A1:$R401,7,FALSE)-AVERAGE(Rankings!P2:P651))/STDEV(Rankings!P2:P651)</f>
        <v>-1.3792682548209543</v>
      </c>
      <c r="J148" s="118">
        <f>(VLOOKUP($A148,Hitters!$A1:$R401,8,FALSE)-AVERAGE(Rankings!Q2:Q651))/STDEV(Rankings!Q2:Q651)</f>
        <v>-0.6173994763207391</v>
      </c>
      <c r="K148" s="157">
        <f>(VLOOKUP($A148,Hitters!$A$1:$R$401,14,FALSE)-AVERAGE(Rankings!R$2:R$651))/STDEV(Rankings!R$2:R$651)</f>
        <v>-0.33994904943801385</v>
      </c>
      <c r="L148" s="157">
        <f>(VLOOKUP($A148,Hitters!$A$1:$R$401,15,FALSE)-AVERAGE(Rankings!S$2:S$651))/STDEV(Rankings!S$2:S$651)</f>
        <v>-1.2763255511966738</v>
      </c>
      <c r="M148" s="157">
        <f>(VLOOKUP($A148,Hitters!$A$1:$R$401,9,FALSE)-AVERAGE(Rankings!T$2:T$651))/STDEV(Rankings!T$2:T$651)</f>
        <v>-1.2490748953861066</v>
      </c>
      <c r="N148" s="157">
        <f>(VLOOKUP($A148,Hitters!$A$1:$R$401,10,FALSE)-AVERAGE(Rankings!U$2:U$651))/STDEV(Rankings!U$2:U$651)</f>
        <v>-1.0967979921348348</v>
      </c>
      <c r="O148" s="157">
        <f>(VLOOKUP($A148,Hitters!$A$1:$R$401,11,FALSE)-AVERAGE(Rankings!V$2:V$651))/STDEV(Rankings!V$2:V$651)</f>
        <v>-0.5521347921759383</v>
      </c>
      <c r="P148" s="157">
        <f>(VLOOKUP($A148,Hitters!$A$1:$R$401,12,FALSE)-AVERAGE(Rankings!W$2:W$651))/STDEV(Rankings!W$2:W$651)</f>
        <v>-1.381745798866157</v>
      </c>
      <c r="Q148" s="157">
        <f>(VLOOKUP($A148,Hitters!$A$1:$R$401,13,FALSE)-AVERAGE(Rankings!X$2:X$651))/STDEV(Rankings!X$2:X$651)</f>
        <v>-1.7750710479077125</v>
      </c>
      <c r="R148" s="118">
        <f>(VLOOKUP($A148,Hitters!$A1:$R401,16,FALSE)-AVERAGE(Rankings!Y2:Y651))/STDEV(Rankings!Y2:Y651)</f>
        <v>-1.4305727017540415</v>
      </c>
      <c r="S148" s="118">
        <f>(VLOOKUP($A148,Hitters!$A1:$R401,17,FALSE)-AVERAGE(Rankings!Z2:Z651))/STDEV(Rankings!Z2:Z651)</f>
        <v>-1.5263065165677512</v>
      </c>
      <c r="T148" s="118">
        <f>IFERROR((VLOOKUP($A148,Hitters!$A1:$R401,18,FALSE)-AVERAGE(Rankings!AA2:AA651))/STDEV(Rankings!AA2:AA651),0)</f>
        <v>0</v>
      </c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</row>
    <row r="149" spans="1:37" ht="18.600000000000001" customHeight="1">
      <c r="A149" s="26" t="s">
        <v>707</v>
      </c>
      <c r="B149" s="27" t="s">
        <v>97</v>
      </c>
      <c r="C149" s="120" t="s">
        <v>15</v>
      </c>
      <c r="D149" s="67">
        <f>(F149*Settings!$C$2)+(G149*Settings!$C$3)+(H149*Settings!$C$4)+(I149*Settings!$C$5)+(J149*Settings!$C$6)+(M149*Settings!$C$9)+(N149*Settings!$C$10)+(O149*Settings!$C$11)+(P149*Settings!$C$12)+(Q149*Settings!$C$13)+(T149*Settings!$C$16)+(K149*Settings!$C$7)+(L149*Settings!$C$8)+(R149*Settings!$C$14)+(S149*Settings!$C$15)</f>
        <v>-5.8540036350802884</v>
      </c>
      <c r="E149" s="67"/>
      <c r="F149" s="118">
        <f>(VLOOKUP($A149,Hitters!$A1:$R401,4,FALSE)-AVERAGE(Rankings!M2:M651))/STDEV(Rankings!M2:M651)</f>
        <v>-1.8615693885285003</v>
      </c>
      <c r="G149" s="118">
        <f>(VLOOKUP($A149,Hitters!$A1:$R401,5,FALSE)-AVERAGE(Rankings!N2:N651))/STDEV(Rankings!N2:N651)</f>
        <v>-1.5688327034473157</v>
      </c>
      <c r="H149" s="118">
        <f>(VLOOKUP($A149,Hitters!$A1:$R401,6,FALSE)-AVERAGE(Rankings!O2:O651))/STDEV(Rankings!O2:O651)</f>
        <v>-1.0922831127402766</v>
      </c>
      <c r="I149" s="118">
        <f>(VLOOKUP($A149,Hitters!$A1:$R401,7,FALSE)-AVERAGE(Rankings!P2:P651))/STDEV(Rankings!P2:P651)</f>
        <v>-1.4986892551556219</v>
      </c>
      <c r="J149" s="118">
        <f>(VLOOKUP($A149,Hitters!$A1:$R401,8,FALSE)-AVERAGE(Rankings!Q2:Q651))/STDEV(Rankings!Q2:Q651)</f>
        <v>-0.76066277943471461</v>
      </c>
      <c r="K149" s="157">
        <f>(VLOOKUP($A149,Hitters!$A$1:$R$401,14,FALSE)-AVERAGE(Rankings!R$2:R$651))/STDEV(Rankings!R$2:R$651)</f>
        <v>-0.93353578430235906</v>
      </c>
      <c r="L149" s="157">
        <f>(VLOOKUP($A149,Hitters!$A$1:$R$401,15,FALSE)-AVERAGE(Rankings!S$2:S$651))/STDEV(Rankings!S$2:S$651)</f>
        <v>-0.64169764824515763</v>
      </c>
      <c r="M149" s="157">
        <f>(VLOOKUP($A149,Hitters!$A$1:$R$401,9,FALSE)-AVERAGE(Rankings!T$2:T$651))/STDEV(Rankings!T$2:T$651)</f>
        <v>-1.7326326200260562</v>
      </c>
      <c r="N149" s="157">
        <f>(VLOOKUP($A149,Hitters!$A$1:$R$401,10,FALSE)-AVERAGE(Rankings!U$2:U$651))/STDEV(Rankings!U$2:U$651)</f>
        <v>-1.7086867189867136</v>
      </c>
      <c r="O149" s="157">
        <f>(VLOOKUP($A149,Hitters!$A$1:$R$401,11,FALSE)-AVERAGE(Rankings!V$2:V$651))/STDEV(Rankings!V$2:V$651)</f>
        <v>-1.3988563376923011</v>
      </c>
      <c r="P149" s="157">
        <f>(VLOOKUP($A149,Hitters!$A$1:$R$401,12,FALSE)-AVERAGE(Rankings!W$2:W$651))/STDEV(Rankings!W$2:W$651)</f>
        <v>-1.2945372130955637</v>
      </c>
      <c r="Q149" s="157">
        <f>(VLOOKUP($A149,Hitters!$A$1:$R$401,13,FALSE)-AVERAGE(Rankings!X$2:X$651))/STDEV(Rankings!X$2:X$651)</f>
        <v>-1.4358144952000333</v>
      </c>
      <c r="R149" s="118">
        <f>(VLOOKUP($A149,Hitters!$A1:$R401,16,FALSE)-AVERAGE(Rankings!Y2:Y651))/STDEV(Rankings!Y2:Y651)</f>
        <v>-0.59221221456123097</v>
      </c>
      <c r="S149" s="118">
        <f>(VLOOKUP($A149,Hitters!$A1:$R401,17,FALSE)-AVERAGE(Rankings!Z2:Z651))/STDEV(Rankings!Z2:Z651)</f>
        <v>-0.67449870301536108</v>
      </c>
      <c r="T149" s="118">
        <f>IFERROR((VLOOKUP($A149,Hitters!$A1:$R401,18,FALSE)-AVERAGE(Rankings!AA2:AA651))/STDEV(Rankings!AA2:AA651),0)</f>
        <v>0</v>
      </c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</row>
    <row r="150" spans="1:37" ht="18.600000000000001" customHeight="1">
      <c r="A150" s="26" t="s">
        <v>706</v>
      </c>
      <c r="B150" s="27" t="s">
        <v>78</v>
      </c>
      <c r="C150" s="120" t="s">
        <v>15</v>
      </c>
      <c r="D150" s="67">
        <f>(F150*Settings!$C$2)+(G150*Settings!$C$3)+(H150*Settings!$C$4)+(I150*Settings!$C$5)+(J150*Settings!$C$6)+(M150*Settings!$C$9)+(N150*Settings!$C$10)+(O150*Settings!$C$11)+(P150*Settings!$C$12)+(Q150*Settings!$C$13)+(T150*Settings!$C$16)+(K150*Settings!$C$7)+(L150*Settings!$C$8)+(R150*Settings!$C$14)+(S150*Settings!$C$15)</f>
        <v>-5.2668929688678645</v>
      </c>
      <c r="E150" s="67"/>
      <c r="F150" s="118">
        <f>(VLOOKUP($A150,Hitters!$A1:$R401,4,FALSE)-AVERAGE(Rankings!M2:M651))/STDEV(Rankings!M2:M651)</f>
        <v>-1.668931395102214</v>
      </c>
      <c r="G150" s="118">
        <f>(VLOOKUP($A150,Hitters!$A1:$R401,5,FALSE)-AVERAGE(Rankings!N2:N651))/STDEV(Rankings!N2:N651)</f>
        <v>-1.4413703610416473</v>
      </c>
      <c r="H150" s="118">
        <f>(VLOOKUP($A150,Hitters!$A1:$R401,6,FALSE)-AVERAGE(Rankings!O2:O651))/STDEV(Rankings!O2:O651)</f>
        <v>-1.3336496780502263</v>
      </c>
      <c r="I150" s="118">
        <f>(VLOOKUP($A150,Hitters!$A1:$R401,7,FALSE)-AVERAGE(Rankings!P2:P651))/STDEV(Rankings!P2:P651)</f>
        <v>-1.4986638031095147</v>
      </c>
      <c r="J150" s="118">
        <f>(VLOOKUP($A150,Hitters!$A1:$R401,8,FALSE)-AVERAGE(Rankings!Q2:Q651))/STDEV(Rankings!Q2:Q651)</f>
        <v>-0.51452549580937679</v>
      </c>
      <c r="K150" s="157">
        <f>(VLOOKUP($A150,Hitters!$A$1:$R$401,14,FALSE)-AVERAGE(Rankings!R$2:R$651))/STDEV(Rankings!R$2:R$651)</f>
        <v>-0.47868363085709964</v>
      </c>
      <c r="L150" s="157">
        <f>(VLOOKUP($A150,Hitters!$A$1:$R$401,15,FALSE)-AVERAGE(Rankings!S$2:S$651))/STDEV(Rankings!S$2:S$651)</f>
        <v>5.3256684048901035E-2</v>
      </c>
      <c r="M150" s="157">
        <f>(VLOOKUP($A150,Hitters!$A$1:$R$401,9,FALSE)-AVERAGE(Rankings!T$2:T$651))/STDEV(Rankings!T$2:T$651)</f>
        <v>-1.5375081067196923</v>
      </c>
      <c r="N150" s="157">
        <f>(VLOOKUP($A150,Hitters!$A$1:$R$401,10,FALSE)-AVERAGE(Rankings!U$2:U$651))/STDEV(Rankings!U$2:U$651)</f>
        <v>-1.3829484867596589</v>
      </c>
      <c r="O150" s="157">
        <f>(VLOOKUP($A150,Hitters!$A$1:$R$401,11,FALSE)-AVERAGE(Rankings!V$2:V$651))/STDEV(Rankings!V$2:V$651)</f>
        <v>-0.5559499272726045</v>
      </c>
      <c r="P150" s="157">
        <f>(VLOOKUP($A150,Hitters!$A$1:$R$401,12,FALSE)-AVERAGE(Rankings!W$2:W$651))/STDEV(Rankings!W$2:W$651)</f>
        <v>-1.0400025961388824</v>
      </c>
      <c r="Q150" s="157">
        <f>(VLOOKUP($A150,Hitters!$A$1:$R$401,13,FALSE)-AVERAGE(Rankings!X$2:X$651))/STDEV(Rankings!X$2:X$651)</f>
        <v>-1.3436998394872286</v>
      </c>
      <c r="R150" s="118">
        <f>(VLOOKUP($A150,Hitters!$A1:$R401,16,FALSE)-AVERAGE(Rankings!Y2:Y651))/STDEV(Rankings!Y2:Y651)</f>
        <v>-1.1224411144196154</v>
      </c>
      <c r="S150" s="118">
        <f>(VLOOKUP($A150,Hitters!$A1:$R401,17,FALSE)-AVERAGE(Rankings!Z2:Z651))/STDEV(Rankings!Z2:Z651)</f>
        <v>-0.80055286710600271</v>
      </c>
      <c r="T150" s="118">
        <f>IFERROR((VLOOKUP($A150,Hitters!$A1:$R401,18,FALSE)-AVERAGE(Rankings!AA2:AA651))/STDEV(Rankings!AA2:AA651),0)</f>
        <v>0</v>
      </c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</row>
    <row r="151" spans="1:37" ht="18.600000000000001" customHeight="1">
      <c r="A151" s="26" t="s">
        <v>710</v>
      </c>
      <c r="B151" s="27" t="s">
        <v>306</v>
      </c>
      <c r="C151" s="120" t="s">
        <v>15</v>
      </c>
      <c r="D151" s="67">
        <f>(F151*Settings!$C$2)+(G151*Settings!$C$3)+(H151*Settings!$C$4)+(I151*Settings!$C$5)+(J151*Settings!$C$6)+(M151*Settings!$C$9)+(N151*Settings!$C$10)+(O151*Settings!$C$11)+(P151*Settings!$C$12)+(Q151*Settings!$C$13)+(T151*Settings!$C$16)+(K151*Settings!$C$7)+(L151*Settings!$C$8)+(R151*Settings!$C$14)+(S151*Settings!$C$15)</f>
        <v>-5.718477857035996</v>
      </c>
      <c r="E151" s="67"/>
      <c r="F151" s="118">
        <f>(VLOOKUP($A151,Hitters!$A1:$R401,4,FALSE)-AVERAGE(Rankings!M2:M651))/STDEV(Rankings!M2:M651)</f>
        <v>-1.5134269096192845</v>
      </c>
      <c r="G151" s="118">
        <f>(VLOOKUP($A151,Hitters!$A1:$R401,5,FALSE)-AVERAGE(Rankings!N2:N651))/STDEV(Rankings!N2:N651)</f>
        <v>-1.3559221625321782</v>
      </c>
      <c r="H151" s="118">
        <f>(VLOOKUP($A151,Hitters!$A1:$R401,6,FALSE)-AVERAGE(Rankings!O2:O651))/STDEV(Rankings!O2:O651)</f>
        <v>-1.1340781889844236</v>
      </c>
      <c r="I151" s="118">
        <f>(VLOOKUP($A151,Hitters!$A1:$R401,7,FALSE)-AVERAGE(Rankings!P2:P651))/STDEV(Rankings!P2:P651)</f>
        <v>-1.3513219081953223</v>
      </c>
      <c r="J151" s="118">
        <f>(VLOOKUP($A151,Hitters!$A1:$R401,8,FALSE)-AVERAGE(Rankings!Q2:Q651))/STDEV(Rankings!Q2:Q651)</f>
        <v>-0.8262360326013104</v>
      </c>
      <c r="K151" s="157">
        <f>(VLOOKUP($A151,Hitters!$A$1:$R$401,14,FALSE)-AVERAGE(Rankings!R$2:R$651))/STDEV(Rankings!R$2:R$651)</f>
        <v>-1.0509195647227612</v>
      </c>
      <c r="L151" s="157">
        <f>(VLOOKUP($A151,Hitters!$A$1:$R$401,15,FALSE)-AVERAGE(Rankings!S$2:S$651))/STDEV(Rankings!S$2:S$651)</f>
        <v>-0.24716727680186606</v>
      </c>
      <c r="M151" s="157">
        <f>(VLOOKUP($A151,Hitters!$A$1:$R$401,9,FALSE)-AVERAGE(Rankings!T$2:T$651))/STDEV(Rankings!T$2:T$651)</f>
        <v>-1.4610189380479393</v>
      </c>
      <c r="N151" s="157">
        <f>(VLOOKUP($A151,Hitters!$A$1:$R$401,10,FALSE)-AVERAGE(Rankings!U$2:U$651))/STDEV(Rankings!U$2:U$651)</f>
        <v>-1.4734193762256274</v>
      </c>
      <c r="O151" s="157">
        <f>(VLOOKUP($A151,Hitters!$A$1:$R$401,11,FALSE)-AVERAGE(Rankings!V$2:V$651))/STDEV(Rankings!V$2:V$651)</f>
        <v>-0.7600596549442481</v>
      </c>
      <c r="P151" s="157">
        <f>(VLOOKUP($A151,Hitters!$A$1:$R$401,12,FALSE)-AVERAGE(Rankings!W$2:W$651))/STDEV(Rankings!W$2:W$651)</f>
        <v>-0.86664287535240336</v>
      </c>
      <c r="Q151" s="157">
        <f>(VLOOKUP($A151,Hitters!$A$1:$R$401,13,FALSE)-AVERAGE(Rankings!X$2:X$651))/STDEV(Rankings!X$2:X$651)</f>
        <v>-1.3428456077495519</v>
      </c>
      <c r="R151" s="118">
        <f>(VLOOKUP($A151,Hitters!$A1:$R401,16,FALSE)-AVERAGE(Rankings!Y2:Y651))/STDEV(Rankings!Y2:Y651)</f>
        <v>-1.2391668465381565</v>
      </c>
      <c r="S151" s="118">
        <f>(VLOOKUP($A151,Hitters!$A1:$R401,17,FALSE)-AVERAGE(Rankings!Z2:Z651))/STDEV(Rankings!Z2:Z651)</f>
        <v>-0.99897583073023011</v>
      </c>
      <c r="T151" s="118">
        <f>IFERROR((VLOOKUP($A151,Hitters!$A1:$R401,18,FALSE)-AVERAGE(Rankings!AA2:AA651))/STDEV(Rankings!AA2:AA651),0)</f>
        <v>0</v>
      </c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</row>
    <row r="152" spans="1:37" ht="18.600000000000001" customHeight="1">
      <c r="A152" s="26" t="s">
        <v>708</v>
      </c>
      <c r="B152" s="27" t="s">
        <v>91</v>
      </c>
      <c r="C152" s="120" t="s">
        <v>15</v>
      </c>
      <c r="D152" s="67">
        <f>(F152*Settings!$C$2)+(G152*Settings!$C$3)+(H152*Settings!$C$4)+(I152*Settings!$C$5)+(J152*Settings!$C$6)+(M152*Settings!$C$9)+(N152*Settings!$C$10)+(O152*Settings!$C$11)+(P152*Settings!$C$12)+(Q152*Settings!$C$13)+(T152*Settings!$C$16)+(K152*Settings!$C$7)+(L152*Settings!$C$8)+(R152*Settings!$C$14)+(S152*Settings!$C$15)</f>
        <v>-5.6475759416421276</v>
      </c>
      <c r="E152" s="67"/>
      <c r="F152" s="118">
        <f>(VLOOKUP($A152,Hitters!$A1:$R401,4,FALSE)-AVERAGE(Rankings!M2:M651))/STDEV(Rankings!M2:M651)</f>
        <v>-1.8410382339659619</v>
      </c>
      <c r="G152" s="118">
        <f>(VLOOKUP($A152,Hitters!$A1:$R401,5,FALSE)-AVERAGE(Rankings!N2:N651))/STDEV(Rankings!N2:N651)</f>
        <v>-1.6033669605303709</v>
      </c>
      <c r="H152" s="118">
        <f>(VLOOKUP($A152,Hitters!$A1:$R401,6,FALSE)-AVERAGE(Rankings!O2:O651))/STDEV(Rankings!O2:O651)</f>
        <v>-1.3363663580060958</v>
      </c>
      <c r="I152" s="118">
        <f>(VLOOKUP($A152,Hitters!$A1:$R401,7,FALSE)-AVERAGE(Rankings!P2:P651))/STDEV(Rankings!P2:P651)</f>
        <v>-1.6209354326081811</v>
      </c>
      <c r="J152" s="118">
        <f>(VLOOKUP($A152,Hitters!$A1:$R401,8,FALSE)-AVERAGE(Rankings!Q2:Q651))/STDEV(Rankings!Q2:Q651)</f>
        <v>-0.448952242642781</v>
      </c>
      <c r="K152" s="157">
        <f>(VLOOKUP($A152,Hitters!$A$1:$R$401,14,FALSE)-AVERAGE(Rankings!R$2:R$651))/STDEV(Rankings!R$2:R$651)</f>
        <v>-0.63795494785469853</v>
      </c>
      <c r="L152" s="157">
        <f>(VLOOKUP($A152,Hitters!$A$1:$R$401,15,FALSE)-AVERAGE(Rankings!S$2:S$651))/STDEV(Rankings!S$2:S$651)</f>
        <v>-1.3466342841190637</v>
      </c>
      <c r="M152" s="157">
        <f>(VLOOKUP($A152,Hitters!$A$1:$R$401,9,FALSE)-AVERAGE(Rankings!T$2:T$651))/STDEV(Rankings!T$2:T$651)</f>
        <v>-1.6943056604350997</v>
      </c>
      <c r="N152" s="157">
        <f>(VLOOKUP($A152,Hitters!$A$1:$R$401,10,FALSE)-AVERAGE(Rankings!U$2:U$651))/STDEV(Rankings!U$2:U$651)</f>
        <v>-1.6021870988067981</v>
      </c>
      <c r="O152" s="157">
        <f>(VLOOKUP($A152,Hitters!$A$1:$R$401,11,FALSE)-AVERAGE(Rankings!V$2:V$651))/STDEV(Rankings!V$2:V$651)</f>
        <v>-0.56548776501427001</v>
      </c>
      <c r="P152" s="157">
        <f>(VLOOKUP($A152,Hitters!$A$1:$R$401,12,FALSE)-AVERAGE(Rankings!W$2:W$651))/STDEV(Rankings!W$2:W$651)</f>
        <v>-1.5427271255239994</v>
      </c>
      <c r="Q152" s="157">
        <f>(VLOOKUP($A152,Hitters!$A$1:$R$401,13,FALSE)-AVERAGE(Rankings!X$2:X$651))/STDEV(Rankings!X$2:X$651)</f>
        <v>-1.6263398109144458</v>
      </c>
      <c r="R152" s="118">
        <f>(VLOOKUP($A152,Hitters!$A1:$R401,16,FALSE)-AVERAGE(Rankings!Y2:Y651))/STDEV(Rankings!Y2:Y651)</f>
        <v>-1.0324831823214415</v>
      </c>
      <c r="S152" s="118">
        <f>(VLOOKUP($A152,Hitters!$A1:$R401,17,FALSE)-AVERAGE(Rankings!Z2:Z651))/STDEV(Rankings!Z2:Z651)</f>
        <v>-1.2617304691621363</v>
      </c>
      <c r="T152" s="118">
        <f>IFERROR((VLOOKUP($A152,Hitters!$A1:$R401,18,FALSE)-AVERAGE(Rankings!AA2:AA651))/STDEV(Rankings!AA2:AA651),0)</f>
        <v>0</v>
      </c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</row>
    <row r="153" spans="1:37" ht="18.600000000000001" customHeight="1">
      <c r="A153" s="26" t="s">
        <v>720</v>
      </c>
      <c r="B153" s="27" t="s">
        <v>258</v>
      </c>
      <c r="C153" s="120" t="s">
        <v>15</v>
      </c>
      <c r="D153" s="67">
        <f>(F153*Settings!$C$2)+(G153*Settings!$C$3)+(H153*Settings!$C$4)+(I153*Settings!$C$5)+(J153*Settings!$C$6)+(M153*Settings!$C$9)+(N153*Settings!$C$10)+(O153*Settings!$C$11)+(P153*Settings!$C$12)+(Q153*Settings!$C$13)+(T153*Settings!$C$16)+(K153*Settings!$C$7)+(L153*Settings!$C$8)+(R153*Settings!$C$14)+(S153*Settings!$C$15)</f>
        <v>-6.5967388389508912</v>
      </c>
      <c r="E153" s="67"/>
      <c r="F153" s="118">
        <f>(VLOOKUP($A153,Hitters!$A1:$R401,4,FALSE)-AVERAGE(Rankings!M2:M651))/STDEV(Rankings!M2:M651)</f>
        <v>-1.9911775823512736</v>
      </c>
      <c r="G153" s="118">
        <f>(VLOOKUP($A153,Hitters!$A1:$R401,5,FALSE)-AVERAGE(Rankings!N2:N651))/STDEV(Rankings!N2:N651)</f>
        <v>-1.755677740484787</v>
      </c>
      <c r="H153" s="118">
        <f>(VLOOKUP($A153,Hitters!$A1:$R401,6,FALSE)-AVERAGE(Rankings!O2:O651))/STDEV(Rankings!O2:O651)</f>
        <v>-1.3432625455863803</v>
      </c>
      <c r="I153" s="118">
        <f>(VLOOKUP($A153,Hitters!$A1:$R401,7,FALSE)-AVERAGE(Rankings!P2:P651))/STDEV(Rankings!P2:P651)</f>
        <v>-1.6751482908163744</v>
      </c>
      <c r="J153" s="118">
        <f>(VLOOKUP($A153,Hitters!$A1:$R401,8,FALSE)-AVERAGE(Rankings!Q2:Q651))/STDEV(Rankings!Q2:Q651)</f>
        <v>-0.82829509610654184</v>
      </c>
      <c r="K153" s="157">
        <f>(VLOOKUP($A153,Hitters!$A$1:$R$401,14,FALSE)-AVERAGE(Rankings!R$2:R$651))/STDEV(Rankings!R$2:R$651)</f>
        <v>-0.99435516595680662</v>
      </c>
      <c r="L153" s="157">
        <f>(VLOOKUP($A153,Hitters!$A$1:$R$401,15,FALSE)-AVERAGE(Rankings!S$2:S$651))/STDEV(Rankings!S$2:S$651)</f>
        <v>-0.54972632092284457</v>
      </c>
      <c r="M153" s="157">
        <f>(VLOOKUP($A153,Hitters!$A$1:$R$401,9,FALSE)-AVERAGE(Rankings!T$2:T$651))/STDEV(Rankings!T$2:T$651)</f>
        <v>-1.8417573670286789</v>
      </c>
      <c r="N153" s="157">
        <f>(VLOOKUP($A153,Hitters!$A$1:$R$401,10,FALSE)-AVERAGE(Rankings!U$2:U$651))/STDEV(Rankings!U$2:U$651)</f>
        <v>-1.8052176878501254</v>
      </c>
      <c r="O153" s="157">
        <f>(VLOOKUP($A153,Hitters!$A$1:$R$401,11,FALSE)-AVERAGE(Rankings!V$2:V$651))/STDEV(Rankings!V$2:V$651)</f>
        <v>-1.4038637025066756</v>
      </c>
      <c r="P153" s="157">
        <f>(VLOOKUP($A153,Hitters!$A$1:$R$401,12,FALSE)-AVERAGE(Rankings!W$2:W$651))/STDEV(Rankings!W$2:W$651)</f>
        <v>-1.3507065090662094</v>
      </c>
      <c r="Q153" s="157">
        <f>(VLOOKUP($A153,Hitters!$A$1:$R$401,13,FALSE)-AVERAGE(Rankings!X$2:X$651))/STDEV(Rankings!X$2:X$651)</f>
        <v>-1.7978821991249314</v>
      </c>
      <c r="R153" s="118">
        <f>(VLOOKUP($A153,Hitters!$A1:$R401,16,FALSE)-AVERAGE(Rankings!Y2:Y651))/STDEV(Rankings!Y2:Y651)</f>
        <v>-1.4084681712673235</v>
      </c>
      <c r="S153" s="118">
        <f>(VLOOKUP($A153,Hitters!$A1:$R401,17,FALSE)-AVERAGE(Rankings!Z2:Z651))/STDEV(Rankings!Z2:Z651)</f>
        <v>-1.2366402764255546</v>
      </c>
      <c r="T153" s="118">
        <f>IFERROR((VLOOKUP($A153,Hitters!$A1:$R401,18,FALSE)-AVERAGE(Rankings!AA2:AA651))/STDEV(Rankings!AA2:AA651),0)</f>
        <v>0</v>
      </c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</row>
    <row r="154" spans="1:37" ht="18.600000000000001" customHeight="1">
      <c r="A154" s="26" t="s">
        <v>129</v>
      </c>
      <c r="B154" s="27" t="s">
        <v>91</v>
      </c>
      <c r="C154" s="121" t="s">
        <v>19</v>
      </c>
      <c r="D154" s="67">
        <f>(F154*Settings!$C$2)+(G154*Settings!$C$3)+(H154*Settings!$C$4)+(I154*Settings!$C$5)+(J154*Settings!$C$6)+(M154*Settings!$C$9)+(N154*Settings!$C$10)+(O154*Settings!$C$11)+(P154*Settings!$C$12)+(Q154*Settings!$C$13)+(T154*Settings!$C$16)+(K154*Settings!$C$7)+(L154*Settings!$C$8)+(R154*Settings!$C$14)+(S154*Settings!$C$15)</f>
        <v>4.6381927959611602</v>
      </c>
      <c r="E154" s="67"/>
      <c r="F154" s="118">
        <f>(VLOOKUP($A154,Hitters!$A1:$R401,4,FALSE)-AVERAGE(Rankings!M2:M651))/STDEV(Rankings!M2:M651)</f>
        <v>0.79607450762230292</v>
      </c>
      <c r="G154" s="118">
        <f>(VLOOKUP($A154,Hitters!$A1:$R401,5,FALSE)-AVERAGE(Rankings!N2:N651))/STDEV(Rankings!N2:N651)</f>
        <v>0.85574091259748408</v>
      </c>
      <c r="H154" s="118">
        <f>(VLOOKUP($A154,Hitters!$A1:$R401,6,FALSE)-AVERAGE(Rankings!O2:O651))/STDEV(Rankings!O2:O651)</f>
        <v>0.67251398166883603</v>
      </c>
      <c r="I154" s="118">
        <f>(VLOOKUP($A154,Hitters!$A1:$R401,7,FALSE)-AVERAGE(Rankings!P2:P651))/STDEV(Rankings!P2:P651)</f>
        <v>1.038752481494992</v>
      </c>
      <c r="J154" s="118">
        <f>(VLOOKUP($A154,Hitters!$A1:$R401,8,FALSE)-AVERAGE(Rankings!Q2:Q651))/STDEV(Rankings!Q2:Q651)</f>
        <v>1.2624463092052083</v>
      </c>
      <c r="K154" s="157">
        <f>(VLOOKUP($A154,Hitters!$A$1:$R$401,14,FALSE)-AVERAGE(Rankings!R$2:R$651))/STDEV(Rankings!R$2:R$651)</f>
        <v>0.8087391109946398</v>
      </c>
      <c r="L154" s="157">
        <f>(VLOOKUP($A154,Hitters!$A$1:$R$401,15,FALSE)-AVERAGE(Rankings!S$2:S$651))/STDEV(Rankings!S$2:S$651)</f>
        <v>0.45216160997831661</v>
      </c>
      <c r="M154" s="157">
        <f>(VLOOKUP($A154,Hitters!$A$1:$R$401,9,FALSE)-AVERAGE(Rankings!T$2:T$651))/STDEV(Rankings!T$2:T$651)</f>
        <v>0.86605206332983742</v>
      </c>
      <c r="N154" s="157">
        <f>(VLOOKUP($A154,Hitters!$A$1:$R$401,10,FALSE)-AVERAGE(Rankings!U$2:U$651))/STDEV(Rankings!U$2:U$651)</f>
        <v>0.67919971435367144</v>
      </c>
      <c r="O154" s="157">
        <f>(VLOOKUP($A154,Hitters!$A$1:$R$401,11,FALSE)-AVERAGE(Rankings!V$2:V$651))/STDEV(Rankings!V$2:V$651)</f>
        <v>1.1985353253067812</v>
      </c>
      <c r="P154" s="157">
        <f>(VLOOKUP($A154,Hitters!$A$1:$R$401,12,FALSE)-AVERAGE(Rankings!W$2:W$651))/STDEV(Rankings!W$2:W$651)</f>
        <v>0.3282142744816367</v>
      </c>
      <c r="Q154" s="157">
        <f>(VLOOKUP($A154,Hitters!$A$1:$R$401,13,FALSE)-AVERAGE(Rankings!X$2:X$651))/STDEV(Rankings!X$2:X$651)</f>
        <v>0.7788920184706033</v>
      </c>
      <c r="R154" s="118">
        <f>(VLOOKUP($A154,Hitters!$A1:$R401,16,FALSE)-AVERAGE(Rankings!Y2:Y651))/STDEV(Rankings!Y2:Y651)</f>
        <v>0.80371415917542766</v>
      </c>
      <c r="S154" s="118">
        <f>(VLOOKUP($A154,Hitters!$A1:$R401,17,FALSE)-AVERAGE(Rankings!Z2:Z651))/STDEV(Rankings!Z2:Z651)</f>
        <v>0.75780658155429081</v>
      </c>
      <c r="T154" s="118">
        <f>IFERROR((VLOOKUP($A154,Hitters!$A1:$R401,18,FALSE)-AVERAGE(Rankings!AA2:AA651))/STDEV(Rankings!AA2:AA651),0)</f>
        <v>0</v>
      </c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</row>
    <row r="155" spans="1:37" ht="18.600000000000001" customHeight="1">
      <c r="A155" s="26" t="s">
        <v>142</v>
      </c>
      <c r="B155" s="27" t="s">
        <v>94</v>
      </c>
      <c r="C155" s="121" t="s">
        <v>19</v>
      </c>
      <c r="D155" s="67">
        <f>(F155*Settings!$C$2)+(G155*Settings!$C$3)+(H155*Settings!$C$4)+(I155*Settings!$C$5)+(J155*Settings!$C$6)+(M155*Settings!$C$9)+(N155*Settings!$C$10)+(O155*Settings!$C$11)+(P155*Settings!$C$12)+(Q155*Settings!$C$13)+(T155*Settings!$C$16)+(K155*Settings!$C$7)+(L155*Settings!$C$8)+(R155*Settings!$C$14)+(S155*Settings!$C$15)</f>
        <v>4.3313745715784968</v>
      </c>
      <c r="E155" s="67"/>
      <c r="F155" s="118">
        <f>(VLOOKUP($A155,Hitters!$A1:$R401,4,FALSE)-AVERAGE(Rankings!M2:M651))/STDEV(Rankings!M2:M651)</f>
        <v>0.83447537078556877</v>
      </c>
      <c r="G155" s="118">
        <f>(VLOOKUP($A155,Hitters!$A1:$R401,5,FALSE)-AVERAGE(Rankings!N2:N651))/STDEV(Rankings!N2:N651)</f>
        <v>0.98809687586734396</v>
      </c>
      <c r="H155" s="118">
        <f>(VLOOKUP($A155,Hitters!$A1:$R401,6,FALSE)-AVERAGE(Rankings!O2:O651))/STDEV(Rankings!O2:O651)</f>
        <v>1.4294228124503403</v>
      </c>
      <c r="I155" s="118">
        <f>(VLOOKUP($A155,Hitters!$A1:$R401,7,FALSE)-AVERAGE(Rankings!P2:P651))/STDEV(Rankings!P2:P651)</f>
        <v>1.0761924413185848</v>
      </c>
      <c r="J155" s="118">
        <f>(VLOOKUP($A155,Hitters!$A1:$R401,8,FALSE)-AVERAGE(Rankings!Q2:Q651))/STDEV(Rankings!Q2:Q651)</f>
        <v>1.1276568443627613</v>
      </c>
      <c r="K155" s="157">
        <f>(VLOOKUP($A155,Hitters!$A$1:$R$401,14,FALSE)-AVERAGE(Rankings!R$2:R$651))/STDEV(Rankings!R$2:R$651)</f>
        <v>-0.28999440242053337</v>
      </c>
      <c r="L155" s="157">
        <f>(VLOOKUP($A155,Hitters!$A$1:$R$401,15,FALSE)-AVERAGE(Rankings!S$2:S$651))/STDEV(Rankings!S$2:S$651)</f>
        <v>-0.27658464611054012</v>
      </c>
      <c r="M155" s="157">
        <f>(VLOOKUP($A155,Hitters!$A$1:$R$401,9,FALSE)-AVERAGE(Rankings!T$2:T$651))/STDEV(Rankings!T$2:T$651)</f>
        <v>0.62165217016640117</v>
      </c>
      <c r="N155" s="157">
        <f>(VLOOKUP($A155,Hitters!$A$1:$R$401,10,FALSE)-AVERAGE(Rankings!U$2:U$651))/STDEV(Rankings!U$2:U$651)</f>
        <v>0.61343530243112421</v>
      </c>
      <c r="O155" s="157">
        <f>(VLOOKUP($A155,Hitters!$A$1:$R$401,11,FALSE)-AVERAGE(Rankings!V$2:V$651))/STDEV(Rankings!V$2:V$651)</f>
        <v>0.69732195198225422</v>
      </c>
      <c r="P155" s="157">
        <f>(VLOOKUP($A155,Hitters!$A$1:$R$401,12,FALSE)-AVERAGE(Rankings!W$2:W$651))/STDEV(Rankings!W$2:W$651)</f>
        <v>0.46506084273791731</v>
      </c>
      <c r="Q155" s="157">
        <f>(VLOOKUP($A155,Hitters!$A$1:$R$401,13,FALSE)-AVERAGE(Rankings!X$2:X$651))/STDEV(Rankings!X$2:X$651)</f>
        <v>1.0065922338802051</v>
      </c>
      <c r="R155" s="118">
        <f>(VLOOKUP($A155,Hitters!$A1:$R401,16,FALSE)-AVERAGE(Rankings!Y2:Y651))/STDEV(Rankings!Y2:Y651)</f>
        <v>1.0453082186795843</v>
      </c>
      <c r="S155" s="118">
        <f>(VLOOKUP($A155,Hitters!$A1:$R401,17,FALSE)-AVERAGE(Rankings!Z2:Z651))/STDEV(Rankings!Z2:Z651)</f>
        <v>0.66012109864131596</v>
      </c>
      <c r="T155" s="118">
        <f>IFERROR((VLOOKUP($A155,Hitters!$A1:$R401,18,FALSE)-AVERAGE(Rankings!AA2:AA651))/STDEV(Rankings!AA2:AA651),0)</f>
        <v>0</v>
      </c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</row>
    <row r="156" spans="1:37" ht="18.600000000000001" customHeight="1">
      <c r="A156" s="26" t="s">
        <v>159</v>
      </c>
      <c r="B156" s="27" t="s">
        <v>81</v>
      </c>
      <c r="C156" s="121" t="s">
        <v>19</v>
      </c>
      <c r="D156" s="67">
        <f>(F156*Settings!$C$2)+(G156*Settings!$C$3)+(H156*Settings!$C$4)+(I156*Settings!$C$5)+(J156*Settings!$C$6)+(M156*Settings!$C$9)+(N156*Settings!$C$10)+(O156*Settings!$C$11)+(P156*Settings!$C$12)+(Q156*Settings!$C$13)+(T156*Settings!$C$16)+(K156*Settings!$C$7)+(L156*Settings!$C$8)+(R156*Settings!$C$14)+(S156*Settings!$C$15)</f>
        <v>3.4196863433302758</v>
      </c>
      <c r="E156" s="67"/>
      <c r="F156" s="118">
        <f>(VLOOKUP($A156,Hitters!$A1:$R401,4,FALSE)-AVERAGE(Rankings!M2:M651))/STDEV(Rankings!M2:M651)</f>
        <v>0.57568143487999246</v>
      </c>
      <c r="G156" s="118">
        <f>(VLOOKUP($A156,Hitters!$A1:$R401,5,FALSE)-AVERAGE(Rankings!N2:N651))/STDEV(Rankings!N2:N651)</f>
        <v>0.86765802040147511</v>
      </c>
      <c r="H156" s="118">
        <f>(VLOOKUP($A156,Hitters!$A1:$R401,6,FALSE)-AVERAGE(Rankings!O2:O651))/STDEV(Rankings!O2:O651)</f>
        <v>1.2877375039826817</v>
      </c>
      <c r="I156" s="118">
        <f>(VLOOKUP($A156,Hitters!$A1:$R401,7,FALSE)-AVERAGE(Rankings!P2:P651))/STDEV(Rankings!P2:P651)</f>
        <v>1.3179105231980257</v>
      </c>
      <c r="J156" s="118">
        <f>(VLOOKUP($A156,Hitters!$A1:$R401,8,FALSE)-AVERAGE(Rankings!Q2:Q651))/STDEV(Rankings!Q2:Q651)</f>
        <v>-0.68447742974115766</v>
      </c>
      <c r="K156" s="157">
        <f>(VLOOKUP($A156,Hitters!$A$1:$R$401,14,FALSE)-AVERAGE(Rankings!R$2:R$651))/STDEV(Rankings!R$2:R$651)</f>
        <v>0.63085772548925068</v>
      </c>
      <c r="L156" s="157">
        <f>(VLOOKUP($A156,Hitters!$A$1:$R$401,15,FALSE)-AVERAGE(Rankings!S$2:S$651))/STDEV(Rankings!S$2:S$651)</f>
        <v>1.1905981247352688</v>
      </c>
      <c r="M156" s="157">
        <f>(VLOOKUP($A156,Hitters!$A$1:$R$401,9,FALSE)-AVERAGE(Rankings!T$2:T$651))/STDEV(Rankings!T$2:T$651)</f>
        <v>0.61870163830261848</v>
      </c>
      <c r="N156" s="157">
        <f>(VLOOKUP($A156,Hitters!$A$1:$R$401,10,FALSE)-AVERAGE(Rankings!U$2:U$651))/STDEV(Rankings!U$2:U$651)</f>
        <v>0.6837895969742197</v>
      </c>
      <c r="O156" s="157">
        <f>(VLOOKUP($A156,Hitters!$A$1:$R$401,11,FALSE)-AVERAGE(Rankings!V$2:V$651))/STDEV(Rankings!V$2:V$651)</f>
        <v>0.30722438834813154</v>
      </c>
      <c r="P156" s="157">
        <f>(VLOOKUP($A156,Hitters!$A$1:$R$401,12,FALSE)-AVERAGE(Rankings!W$2:W$651))/STDEV(Rankings!W$2:W$651)</f>
        <v>1.0512306772665798</v>
      </c>
      <c r="Q156" s="157">
        <f>(VLOOKUP($A156,Hitters!$A$1:$R$401,13,FALSE)-AVERAGE(Rankings!X$2:X$651))/STDEV(Rankings!X$2:X$651)</f>
        <v>9.2342807078582848E-2</v>
      </c>
      <c r="R156" s="118">
        <f>(VLOOKUP($A156,Hitters!$A1:$R401,16,FALSE)-AVERAGE(Rankings!Y2:Y651))/STDEV(Rankings!Y2:Y651)</f>
        <v>1.6302954053711236</v>
      </c>
      <c r="S156" s="118">
        <f>(VLOOKUP($A156,Hitters!$A1:$R401,17,FALSE)-AVERAGE(Rankings!Z2:Z651))/STDEV(Rankings!Z2:Z651)</f>
        <v>1.6400781685312795</v>
      </c>
      <c r="T156" s="118">
        <f>IFERROR((VLOOKUP($A156,Hitters!$A1:$R401,18,FALSE)-AVERAGE(Rankings!AA2:AA651))/STDEV(Rankings!AA2:AA651),0)</f>
        <v>0</v>
      </c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</row>
    <row r="157" spans="1:37" ht="18.600000000000001" customHeight="1">
      <c r="A157" s="26" t="s">
        <v>164</v>
      </c>
      <c r="B157" s="27" t="s">
        <v>117</v>
      </c>
      <c r="C157" s="121" t="s">
        <v>19</v>
      </c>
      <c r="D157" s="67">
        <f>(F157*Settings!$C$2)+(G157*Settings!$C$3)+(H157*Settings!$C$4)+(I157*Settings!$C$5)+(J157*Settings!$C$6)+(M157*Settings!$C$9)+(N157*Settings!$C$10)+(O157*Settings!$C$11)+(P157*Settings!$C$12)+(Q157*Settings!$C$13)+(T157*Settings!$C$16)+(K157*Settings!$C$7)+(L157*Settings!$C$8)+(R157*Settings!$C$14)+(S157*Settings!$C$15)</f>
        <v>3.4429192132752755</v>
      </c>
      <c r="E157" s="67"/>
      <c r="F157" s="118">
        <f>(VLOOKUP($A157,Hitters!$A1:$R401,4,FALSE)-AVERAGE(Rankings!M2:M651))/STDEV(Rankings!M2:M651)</f>
        <v>0.96268947386644199</v>
      </c>
      <c r="G157" s="118">
        <f>(VLOOKUP($A157,Hitters!$A1:$R401,5,FALSE)-AVERAGE(Rankings!N2:N651))/STDEV(Rankings!N2:N651)</f>
        <v>0.53943044482133284</v>
      </c>
      <c r="H157" s="118">
        <f>(VLOOKUP($A157,Hitters!$A1:$R401,6,FALSE)-AVERAGE(Rankings!O2:O651))/STDEV(Rankings!O2:O651)</f>
        <v>1.7869100312586124</v>
      </c>
      <c r="I157" s="118">
        <f>(VLOOKUP($A157,Hitters!$A1:$R401,7,FALSE)-AVERAGE(Rankings!P2:P651))/STDEV(Rankings!P2:P651)</f>
        <v>1.519338016089876</v>
      </c>
      <c r="J157" s="118">
        <f>(VLOOKUP($A157,Hitters!$A1:$R401,8,FALSE)-AVERAGE(Rankings!Q2:Q651))/STDEV(Rankings!Q2:Q651)</f>
        <v>-0.82639442210171288</v>
      </c>
      <c r="K157" s="157">
        <f>(VLOOKUP($A157,Hitters!$A$1:$R$401,14,FALSE)-AVERAGE(Rankings!R$2:R$651))/STDEV(Rankings!R$2:R$651)</f>
        <v>0.42363514320716683</v>
      </c>
      <c r="L157" s="157">
        <f>(VLOOKUP($A157,Hitters!$A$1:$R$401,15,FALSE)-AVERAGE(Rankings!S$2:S$651))/STDEV(Rankings!S$2:S$651)</f>
        <v>-0.95102760101864847</v>
      </c>
      <c r="M157" s="157">
        <f>(VLOOKUP($A157,Hitters!$A$1:$R$401,9,FALSE)-AVERAGE(Rankings!T$2:T$651))/STDEV(Rankings!T$2:T$651)</f>
        <v>0.9195810018128695</v>
      </c>
      <c r="N157" s="157">
        <f>(VLOOKUP($A157,Hitters!$A$1:$R$401,10,FALSE)-AVERAGE(Rankings!U$2:U$651))/STDEV(Rankings!U$2:U$651)</f>
        <v>0.45529950277003756</v>
      </c>
      <c r="O157" s="157">
        <f>(VLOOKUP($A157,Hitters!$A$1:$R$401,11,FALSE)-AVERAGE(Rankings!V$2:V$651))/STDEV(Rankings!V$2:V$651)</f>
        <v>-0.55118100840177164</v>
      </c>
      <c r="P157" s="157">
        <f>(VLOOKUP($A157,Hitters!$A$1:$R$401,12,FALSE)-AVERAGE(Rankings!W$2:W$651))/STDEV(Rankings!W$2:W$651)</f>
        <v>-0.69916133670238778</v>
      </c>
      <c r="Q157" s="157">
        <f>(VLOOKUP($A157,Hitters!$A$1:$R$401,13,FALSE)-AVERAGE(Rankings!X$2:X$651))/STDEV(Rankings!X$2:X$651)</f>
        <v>1.1534884545480926</v>
      </c>
      <c r="R157" s="118">
        <f>(VLOOKUP($A157,Hitters!$A1:$R401,16,FALSE)-AVERAGE(Rankings!Y2:Y651))/STDEV(Rankings!Y2:Y651)</f>
        <v>1.4017001732337009</v>
      </c>
      <c r="S157" s="118">
        <f>(VLOOKUP($A157,Hitters!$A1:$R401,17,FALSE)-AVERAGE(Rankings!Z2:Z651))/STDEV(Rankings!Z2:Z651)</f>
        <v>0.66680466853468912</v>
      </c>
      <c r="T157" s="118">
        <f>IFERROR((VLOOKUP($A157,Hitters!$A1:$R401,18,FALSE)-AVERAGE(Rankings!AA2:AA651))/STDEV(Rankings!AA2:AA651),0)</f>
        <v>0</v>
      </c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</row>
    <row r="158" spans="1:37" ht="18.600000000000001" customHeight="1">
      <c r="A158" s="26" t="s">
        <v>198</v>
      </c>
      <c r="B158" s="27" t="s">
        <v>94</v>
      </c>
      <c r="C158" s="121" t="s">
        <v>19</v>
      </c>
      <c r="D158" s="67">
        <f>(F158*Settings!$C$2)+(G158*Settings!$C$3)+(H158*Settings!$C$4)+(I158*Settings!$C$5)+(J158*Settings!$C$6)+(M158*Settings!$C$9)+(N158*Settings!$C$10)+(O158*Settings!$C$11)+(P158*Settings!$C$12)+(Q158*Settings!$C$13)+(T158*Settings!$C$16)+(K158*Settings!$C$7)+(L158*Settings!$C$8)+(R158*Settings!$C$14)+(S158*Settings!$C$15)</f>
        <v>2.0141560020283644</v>
      </c>
      <c r="E158" s="67"/>
      <c r="F158" s="118">
        <f>(VLOOKUP($A158,Hitters!$A1:$R401,4,FALSE)-AVERAGE(Rankings!M2:M651))/STDEV(Rankings!M2:M651)</f>
        <v>0.32100640343912307</v>
      </c>
      <c r="G158" s="118">
        <f>(VLOOKUP($A158,Hitters!$A1:$R401,5,FALSE)-AVERAGE(Rankings!N2:N651))/STDEV(Rankings!N2:N651)</f>
        <v>0.37337695756954853</v>
      </c>
      <c r="H158" s="118">
        <f>(VLOOKUP($A158,Hitters!$A1:$R401,6,FALSE)-AVERAGE(Rankings!O2:O651))/STDEV(Rankings!O2:O651)</f>
        <v>0.25268244079637797</v>
      </c>
      <c r="I158" s="118">
        <f>(VLOOKUP($A158,Hitters!$A1:$R401,7,FALSE)-AVERAGE(Rankings!P2:P651))/STDEV(Rankings!P2:P651)</f>
        <v>0.6285545804093845</v>
      </c>
      <c r="J158" s="118">
        <f>(VLOOKUP($A158,Hitters!$A1:$R401,8,FALSE)-AVERAGE(Rankings!Q2:Q651))/STDEV(Rankings!Q2:Q651)</f>
        <v>-0.89347237552213155</v>
      </c>
      <c r="K158" s="157">
        <f>(VLOOKUP($A158,Hitters!$A$1:$R$401,14,FALSE)-AVERAGE(Rankings!R$2:R$651))/STDEV(Rankings!R$2:R$651)</f>
        <v>1.6530143987751851</v>
      </c>
      <c r="L158" s="157">
        <f>(VLOOKUP($A158,Hitters!$A$1:$R$401,15,FALSE)-AVERAGE(Rankings!S$2:S$651))/STDEV(Rankings!S$2:S$651)</f>
        <v>2.0451448678397313</v>
      </c>
      <c r="M158" s="157">
        <f>(VLOOKUP($A158,Hitters!$A$1:$R$401,9,FALSE)-AVERAGE(Rankings!T$2:T$651))/STDEV(Rankings!T$2:T$651)</f>
        <v>0.60971524683932277</v>
      </c>
      <c r="N158" s="157">
        <f>(VLOOKUP($A158,Hitters!$A$1:$R$401,10,FALSE)-AVERAGE(Rankings!U$2:U$651))/STDEV(Rankings!U$2:U$651)</f>
        <v>0.41119359946320355</v>
      </c>
      <c r="O158" s="157">
        <f>(VLOOKUP($A158,Hitters!$A$1:$R$401,11,FALSE)-AVERAGE(Rankings!V$2:V$651))/STDEV(Rankings!V$2:V$651)</f>
        <v>-1.3731041757898039</v>
      </c>
      <c r="P158" s="157">
        <f>(VLOOKUP($A158,Hitters!$A$1:$R$401,12,FALSE)-AVERAGE(Rankings!W$2:W$651))/STDEV(Rankings!W$2:W$651)</f>
        <v>0.91911153591369832</v>
      </c>
      <c r="Q158" s="157">
        <f>(VLOOKUP($A158,Hitters!$A$1:$R$401,13,FALSE)-AVERAGE(Rankings!X$2:X$651))/STDEV(Rankings!X$2:X$651)</f>
        <v>-1.0375526761676486</v>
      </c>
      <c r="R158" s="118">
        <f>(VLOOKUP($A158,Hitters!$A1:$R401,16,FALSE)-AVERAGE(Rankings!Y2:Y651))/STDEV(Rankings!Y2:Y651)</f>
        <v>0.80660140045573103</v>
      </c>
      <c r="S158" s="118">
        <f>(VLOOKUP($A158,Hitters!$A1:$R401,17,FALSE)-AVERAGE(Rankings!Z2:Z651))/STDEV(Rankings!Z2:Z651)</f>
        <v>1.3595464968166071</v>
      </c>
      <c r="T158" s="118">
        <f>IFERROR((VLOOKUP($A158,Hitters!$A1:$R401,18,FALSE)-AVERAGE(Rankings!AA2:AA651))/STDEV(Rankings!AA2:AA651),0)</f>
        <v>0</v>
      </c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</row>
    <row r="159" spans="1:37" ht="18.600000000000001" customHeight="1">
      <c r="A159" s="26" t="s">
        <v>200</v>
      </c>
      <c r="B159" s="27" t="s">
        <v>117</v>
      </c>
      <c r="C159" s="121" t="s">
        <v>19</v>
      </c>
      <c r="D159" s="67">
        <f>(F159*Settings!$C$2)+(G159*Settings!$C$3)+(H159*Settings!$C$4)+(I159*Settings!$C$5)+(J159*Settings!$C$6)+(M159*Settings!$C$9)+(N159*Settings!$C$10)+(O159*Settings!$C$11)+(P159*Settings!$C$12)+(Q159*Settings!$C$13)+(T159*Settings!$C$16)+(K159*Settings!$C$7)+(L159*Settings!$C$8)+(R159*Settings!$C$14)+(S159*Settings!$C$15)</f>
        <v>1.3232336724924585</v>
      </c>
      <c r="E159" s="67"/>
      <c r="F159" s="118">
        <f>(VLOOKUP($A159,Hitters!$A1:$R401,4,FALSE)-AVERAGE(Rankings!M2:M651))/STDEV(Rankings!M2:M651)</f>
        <v>0.7395504648143264</v>
      </c>
      <c r="G159" s="118">
        <f>(VLOOKUP($A159,Hitters!$A1:$R401,5,FALSE)-AVERAGE(Rankings!N2:N651))/STDEV(Rankings!N2:N651)</f>
        <v>0.75353269651686905</v>
      </c>
      <c r="H159" s="118">
        <f>(VLOOKUP($A159,Hitters!$A1:$R401,6,FALSE)-AVERAGE(Rankings!O2:O651))/STDEV(Rankings!O2:O651)</f>
        <v>0.85564607407860727</v>
      </c>
      <c r="I159" s="118">
        <f>(VLOOKUP($A159,Hitters!$A1:$R401,7,FALSE)-AVERAGE(Rankings!P2:P651))/STDEV(Rankings!P2:P651)</f>
        <v>0.70235278809701696</v>
      </c>
      <c r="J159" s="118">
        <f>(VLOOKUP($A159,Hitters!$A1:$R401,8,FALSE)-AVERAGE(Rankings!Q2:Q651))/STDEV(Rankings!Q2:Q651)</f>
        <v>-0.31337083029832202</v>
      </c>
      <c r="K159" s="157">
        <f>(VLOOKUP($A159,Hitters!$A$1:$R$401,14,FALSE)-AVERAGE(Rankings!R$2:R$651))/STDEV(Rankings!R$2:R$651)</f>
        <v>-0.67492705590171265</v>
      </c>
      <c r="L159" s="157">
        <f>(VLOOKUP($A159,Hitters!$A$1:$R$401,15,FALSE)-AVERAGE(Rankings!S$2:S$651))/STDEV(Rankings!S$2:S$651)</f>
        <v>0.37548031455761299</v>
      </c>
      <c r="M159" s="157">
        <f>(VLOOKUP($A159,Hitters!$A$1:$R$401,9,FALSE)-AVERAGE(Rankings!T$2:T$651))/STDEV(Rankings!T$2:T$651)</f>
        <v>0.44472509957321132</v>
      </c>
      <c r="N159" s="157">
        <f>(VLOOKUP($A159,Hitters!$A$1:$R$401,10,FALSE)-AVERAGE(Rankings!U$2:U$651))/STDEV(Rankings!U$2:U$651)</f>
        <v>0.71907431961968682</v>
      </c>
      <c r="O159" s="157">
        <f>(VLOOKUP($A159,Hitters!$A$1:$R$401,11,FALSE)-AVERAGE(Rankings!V$2:V$651))/STDEV(Rankings!V$2:V$651)</f>
        <v>1.1785058660492833</v>
      </c>
      <c r="P159" s="157">
        <f>(VLOOKUP($A159,Hitters!$A$1:$R$401,12,FALSE)-AVERAGE(Rankings!W$2:W$651))/STDEV(Rankings!W$2:W$651)</f>
        <v>1.3558697991007309</v>
      </c>
      <c r="Q159" s="157">
        <f>(VLOOKUP($A159,Hitters!$A$1:$R$401,13,FALSE)-AVERAGE(Rankings!X$2:X$651))/STDEV(Rankings!X$2:X$651)</f>
        <v>1.1421777935770023</v>
      </c>
      <c r="R159" s="118">
        <f>(VLOOKUP($A159,Hitters!$A1:$R401,16,FALSE)-AVERAGE(Rankings!Y2:Y651))/STDEV(Rankings!Y2:Y651)</f>
        <v>0.43209690393333261</v>
      </c>
      <c r="S159" s="118">
        <f>(VLOOKUP($A159,Hitters!$A1:$R401,17,FALSE)-AVERAGE(Rankings!Z2:Z651))/STDEV(Rankings!Z2:Z651)</f>
        <v>0.45725446572040801</v>
      </c>
      <c r="T159" s="118">
        <f>IFERROR((VLOOKUP($A159,Hitters!$A1:$R401,18,FALSE)-AVERAGE(Rankings!AA2:AA651))/STDEV(Rankings!AA2:AA651),0)</f>
        <v>0</v>
      </c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</row>
    <row r="160" spans="1:37" ht="18.600000000000001" customHeight="1">
      <c r="A160" s="26" t="s">
        <v>208</v>
      </c>
      <c r="B160" s="27" t="s">
        <v>99</v>
      </c>
      <c r="C160" s="121" t="s">
        <v>19</v>
      </c>
      <c r="D160" s="67">
        <f>(F160*Settings!$C$2)+(G160*Settings!$C$3)+(H160*Settings!$C$4)+(I160*Settings!$C$5)+(J160*Settings!$C$6)+(M160*Settings!$C$9)+(N160*Settings!$C$10)+(O160*Settings!$C$11)+(P160*Settings!$C$12)+(Q160*Settings!$C$13)+(T160*Settings!$C$16)+(K160*Settings!$C$7)+(L160*Settings!$C$8)+(R160*Settings!$C$14)+(S160*Settings!$C$15)</f>
        <v>2.1138941904153112</v>
      </c>
      <c r="E160" s="67"/>
      <c r="F160" s="118">
        <f>(VLOOKUP($A160,Hitters!$A1:$R401,4,FALSE)-AVERAGE(Rankings!M2:M651))/STDEV(Rankings!M2:M651)</f>
        <v>0.7291581520110666</v>
      </c>
      <c r="G160" s="118">
        <f>(VLOOKUP($A160,Hitters!$A1:$R401,5,FALSE)-AVERAGE(Rankings!N2:N651))/STDEV(Rankings!N2:N651)</f>
        <v>1.0357653070833093</v>
      </c>
      <c r="H160" s="118">
        <f>(VLOOKUP($A160,Hitters!$A1:$R401,6,FALSE)-AVERAGE(Rankings!O2:O651))/STDEV(Rankings!O2:O651)</f>
        <v>0.41505631200488957</v>
      </c>
      <c r="I160" s="118">
        <f>(VLOOKUP($A160,Hitters!$A1:$R401,7,FALSE)-AVERAGE(Rankings!P2:P651))/STDEV(Rankings!P2:P651)</f>
        <v>0.52818443658590675</v>
      </c>
      <c r="J160" s="118">
        <f>(VLOOKUP($A160,Hitters!$A1:$R401,8,FALSE)-AVERAGE(Rankings!Q2:Q651))/STDEV(Rankings!Q2:Q651)</f>
        <v>-0.39573337050757285</v>
      </c>
      <c r="K160" s="157">
        <f>(VLOOKUP($A160,Hitters!$A$1:$R$401,14,FALSE)-AVERAGE(Rankings!R$2:R$651))/STDEV(Rankings!R$2:R$651)</f>
        <v>0.53062150524877838</v>
      </c>
      <c r="L160" s="157">
        <f>(VLOOKUP($A160,Hitters!$A$1:$R$401,15,FALSE)-AVERAGE(Rankings!S$2:S$651))/STDEV(Rankings!S$2:S$651)</f>
        <v>1.6248623586677433</v>
      </c>
      <c r="M160" s="157">
        <f>(VLOOKUP($A160,Hitters!$A$1:$R$401,9,FALSE)-AVERAGE(Rankings!T$2:T$651))/STDEV(Rankings!T$2:T$651)</f>
        <v>0.73485074796571748</v>
      </c>
      <c r="N160" s="157">
        <f>(VLOOKUP($A160,Hitters!$A$1:$R$401,10,FALSE)-AVERAGE(Rankings!U$2:U$651))/STDEV(Rankings!U$2:U$651)</f>
        <v>1.4716716355577582</v>
      </c>
      <c r="O160" s="157">
        <f>(VLOOKUP($A160,Hitters!$A$1:$R$401,11,FALSE)-AVERAGE(Rankings!V$2:V$651))/STDEV(Rankings!V$2:V$651)</f>
        <v>6.3055742161492345E-2</v>
      </c>
      <c r="P160" s="157">
        <f>(VLOOKUP($A160,Hitters!$A$1:$R$401,12,FALSE)-AVERAGE(Rankings!W$2:W$651))/STDEV(Rankings!W$2:W$651)</f>
        <v>1.73449937227163</v>
      </c>
      <c r="Q160" s="157">
        <f>(VLOOKUP($A160,Hitters!$A$1:$R$401,13,FALSE)-AVERAGE(Rankings!X$2:X$651))/STDEV(Rankings!X$2:X$651)</f>
        <v>0.15286670760360316</v>
      </c>
      <c r="R160" s="118">
        <f>(VLOOKUP($A160,Hitters!$A1:$R401,16,FALSE)-AVERAGE(Rankings!Y2:Y651))/STDEV(Rankings!Y2:Y651)</f>
        <v>0.62758065233507965</v>
      </c>
      <c r="S160" s="118">
        <f>(VLOOKUP($A160,Hitters!$A1:$R401,17,FALSE)-AVERAGE(Rankings!Z2:Z651))/STDEV(Rankings!Z2:Z651)</f>
        <v>1.070462879629718</v>
      </c>
      <c r="T160" s="118">
        <f>IFERROR((VLOOKUP($A160,Hitters!$A1:$R401,18,FALSE)-AVERAGE(Rankings!AA2:AA651))/STDEV(Rankings!AA2:AA651),0)</f>
        <v>0</v>
      </c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</row>
    <row r="161" spans="1:37" ht="18.600000000000001" customHeight="1">
      <c r="A161" s="26" t="s">
        <v>234</v>
      </c>
      <c r="B161" s="27" t="s">
        <v>223</v>
      </c>
      <c r="C161" s="121" t="s">
        <v>19</v>
      </c>
      <c r="D161" s="67">
        <f>(F161*Settings!$C$2)+(G161*Settings!$C$3)+(H161*Settings!$C$4)+(I161*Settings!$C$5)+(J161*Settings!$C$6)+(M161*Settings!$C$9)+(N161*Settings!$C$10)+(O161*Settings!$C$11)+(P161*Settings!$C$12)+(Q161*Settings!$C$13)+(T161*Settings!$C$16)+(K161*Settings!$C$7)+(L161*Settings!$C$8)+(R161*Settings!$C$14)+(S161*Settings!$C$15)</f>
        <v>1.1875732052143664</v>
      </c>
      <c r="E161" s="67"/>
      <c r="F161" s="118">
        <f>(VLOOKUP($A161,Hitters!$A1:$R401,4,FALSE)-AVERAGE(Rankings!M2:M651))/STDEV(Rankings!M2:M651)</f>
        <v>0.57470979587806192</v>
      </c>
      <c r="G161" s="118">
        <f>(VLOOKUP($A161,Hitters!$A1:$R401,5,FALSE)-AVERAGE(Rankings!N2:N651))/STDEV(Rankings!N2:N651)</f>
        <v>0.33798061183684225</v>
      </c>
      <c r="H161" s="118">
        <f>(VLOOKUP($A161,Hitters!$A1:$R401,6,FALSE)-AVERAGE(Rankings!O2:O651))/STDEV(Rankings!O2:O651)</f>
        <v>3.3258290514605778E-2</v>
      </c>
      <c r="I161" s="118">
        <f>(VLOOKUP($A161,Hitters!$A1:$R401,7,FALSE)-AVERAGE(Rankings!P2:P651))/STDEV(Rankings!P2:P651)</f>
        <v>0.55648711185703836</v>
      </c>
      <c r="J161" s="118">
        <f>(VLOOKUP($A161,Hitters!$A1:$R401,8,FALSE)-AVERAGE(Rankings!Q2:Q651))/STDEV(Rankings!Q2:Q651)</f>
        <v>-0.68558615624397456</v>
      </c>
      <c r="K161" s="157">
        <f>(VLOOKUP($A161,Hitters!$A$1:$R$401,14,FALSE)-AVERAGE(Rankings!R$2:R$651))/STDEV(Rankings!R$2:R$651)</f>
        <v>0.94543334724985462</v>
      </c>
      <c r="L161" s="157">
        <f>(VLOOKUP($A161,Hitters!$A$1:$R$401,15,FALSE)-AVERAGE(Rankings!S$2:S$651))/STDEV(Rankings!S$2:S$651)</f>
        <v>0.71358863569709219</v>
      </c>
      <c r="M161" s="157">
        <f>(VLOOKUP($A161,Hitters!$A$1:$R$401,9,FALSE)-AVERAGE(Rankings!T$2:T$651))/STDEV(Rankings!T$2:T$651)</f>
        <v>0.69246493489717242</v>
      </c>
      <c r="N161" s="157">
        <f>(VLOOKUP($A161,Hitters!$A$1:$R$401,10,FALSE)-AVERAGE(Rankings!U$2:U$651))/STDEV(Rankings!U$2:U$651)</f>
        <v>0.74231060038621421</v>
      </c>
      <c r="O161" s="157">
        <f>(VLOOKUP($A161,Hitters!$A$1:$R$401,11,FALSE)-AVERAGE(Rankings!V$2:V$651))/STDEV(Rankings!V$2:V$651)</f>
        <v>-0.56262641369177036</v>
      </c>
      <c r="P161" s="157">
        <f>(VLOOKUP($A161,Hitters!$A$1:$R$401,12,FALSE)-AVERAGE(Rankings!W$2:W$651))/STDEV(Rankings!W$2:W$651)</f>
        <v>0.33984623278342052</v>
      </c>
      <c r="Q161" s="157">
        <f>(VLOOKUP($A161,Hitters!$A$1:$R$401,13,FALSE)-AVERAGE(Rankings!X$2:X$651))/STDEV(Rankings!X$2:X$651)</f>
        <v>0.60874171161040569</v>
      </c>
      <c r="R161" s="118">
        <f>(VLOOKUP($A161,Hitters!$A1:$R401,16,FALSE)-AVERAGE(Rankings!Y2:Y651))/STDEV(Rankings!Y2:Y651)</f>
        <v>0.17366799989854004</v>
      </c>
      <c r="S161" s="118">
        <f>(VLOOKUP($A161,Hitters!$A1:$R401,17,FALSE)-AVERAGE(Rankings!Z2:Z651))/STDEV(Rankings!Z2:Z651)</f>
        <v>0.39558854768913765</v>
      </c>
      <c r="T161" s="118">
        <f>IFERROR((VLOOKUP($A161,Hitters!$A1:$R401,18,FALSE)-AVERAGE(Rankings!AA2:AA651))/STDEV(Rankings!AA2:AA651),0)</f>
        <v>0</v>
      </c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</row>
    <row r="162" spans="1:37" ht="18.600000000000001" customHeight="1">
      <c r="A162" s="26" t="s">
        <v>247</v>
      </c>
      <c r="B162" s="27" t="s">
        <v>123</v>
      </c>
      <c r="C162" s="121" t="s">
        <v>19</v>
      </c>
      <c r="D162" s="67">
        <f>(F162*Settings!$C$2)+(G162*Settings!$C$3)+(H162*Settings!$C$4)+(I162*Settings!$C$5)+(J162*Settings!$C$6)+(M162*Settings!$C$9)+(N162*Settings!$C$10)+(O162*Settings!$C$11)+(P162*Settings!$C$12)+(Q162*Settings!$C$13)+(T162*Settings!$C$16)+(K162*Settings!$C$7)+(L162*Settings!$C$8)+(R162*Settings!$C$14)+(S162*Settings!$C$15)</f>
        <v>2.1597334532985166</v>
      </c>
      <c r="E162" s="67"/>
      <c r="F162" s="118">
        <f>(VLOOKUP($A162,Hitters!$A1:$R401,4,FALSE)-AVERAGE(Rankings!M2:M651))/STDEV(Rankings!M2:M651)</f>
        <v>0.45676127007845901</v>
      </c>
      <c r="G162" s="118">
        <f>(VLOOKUP($A162,Hitters!$A1:$R401,5,FALSE)-AVERAGE(Rankings!N2:N651))/STDEV(Rankings!N2:N651)</f>
        <v>0.74617958744632129</v>
      </c>
      <c r="H162" s="118">
        <f>(VLOOKUP($A162,Hitters!$A1:$R401,6,FALSE)-AVERAGE(Rankings!O2:O651))/STDEV(Rankings!O2:O651)</f>
        <v>0.90196895024920354</v>
      </c>
      <c r="I162" s="118">
        <f>(VLOOKUP($A162,Hitters!$A1:$R401,7,FALSE)-AVERAGE(Rankings!P2:P651))/STDEV(Rankings!P2:P651)</f>
        <v>0.67819879634134783</v>
      </c>
      <c r="J162" s="118">
        <f>(VLOOKUP($A162,Hitters!$A1:$R401,8,FALSE)-AVERAGE(Rankings!Q2:Q651))/STDEV(Rankings!Q2:Q651)</f>
        <v>-0.18697600897720257</v>
      </c>
      <c r="K162" s="157">
        <f>(VLOOKUP($A162,Hitters!$A$1:$R$401,14,FALSE)-AVERAGE(Rankings!R$2:R$651))/STDEV(Rankings!R$2:R$651)</f>
        <v>2.0362128238846162E-2</v>
      </c>
      <c r="L162" s="157">
        <f>(VLOOKUP($A162,Hitters!$A$1:$R$401,15,FALSE)-AVERAGE(Rankings!S$2:S$651))/STDEV(Rankings!S$2:S$651)</f>
        <v>0.49005283981067421</v>
      </c>
      <c r="M162" s="157">
        <f>(VLOOKUP($A162,Hitters!$A$1:$R$401,9,FALSE)-AVERAGE(Rankings!T$2:T$651))/STDEV(Rankings!T$2:T$651)</f>
        <v>0.3694640710681088</v>
      </c>
      <c r="N162" s="157">
        <f>(VLOOKUP($A162,Hitters!$A$1:$R$401,10,FALSE)-AVERAGE(Rankings!U$2:U$651))/STDEV(Rankings!U$2:U$651)</f>
        <v>0.32147573761466852</v>
      </c>
      <c r="O162" s="157">
        <f>(VLOOKUP($A162,Hitters!$A$1:$R$401,11,FALSE)-AVERAGE(Rankings!V$2:V$651))/STDEV(Rankings!V$2:V$651)</f>
        <v>0.14794249806231624</v>
      </c>
      <c r="P162" s="157">
        <f>(VLOOKUP($A162,Hitters!$A$1:$R$401,12,FALSE)-AVERAGE(Rankings!W$2:W$651))/STDEV(Rankings!W$2:W$651)</f>
        <v>0.70917645961144971</v>
      </c>
      <c r="Q162" s="157">
        <f>(VLOOKUP($A162,Hitters!$A$1:$R$401,13,FALSE)-AVERAGE(Rankings!X$2:X$651))/STDEV(Rankings!X$2:X$651)</f>
        <v>0.74649448886390124</v>
      </c>
      <c r="R162" s="118">
        <f>(VLOOKUP($A162,Hitters!$A1:$R401,16,FALSE)-AVERAGE(Rankings!Y2:Y651))/STDEV(Rankings!Y2:Y651)</f>
        <v>0.88838374672357057</v>
      </c>
      <c r="S162" s="118">
        <f>(VLOOKUP($A162,Hitters!$A1:$R401,17,FALSE)-AVERAGE(Rankings!Z2:Z651))/STDEV(Rankings!Z2:Z651)</f>
        <v>0.83397114005096107</v>
      </c>
      <c r="T162" s="118">
        <f>IFERROR((VLOOKUP($A162,Hitters!$A1:$R401,18,FALSE)-AVERAGE(Rankings!AA2:AA651))/STDEV(Rankings!AA2:AA651),0)</f>
        <v>0</v>
      </c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</row>
    <row r="163" spans="1:37" ht="18.600000000000001" customHeight="1">
      <c r="A163" s="26" t="s">
        <v>267</v>
      </c>
      <c r="B163" s="27" t="s">
        <v>73</v>
      </c>
      <c r="C163" s="121" t="s">
        <v>19</v>
      </c>
      <c r="D163" s="67">
        <f>(F163*Settings!$C$2)+(G163*Settings!$C$3)+(H163*Settings!$C$4)+(I163*Settings!$C$5)+(J163*Settings!$C$6)+(M163*Settings!$C$9)+(N163*Settings!$C$10)+(O163*Settings!$C$11)+(P163*Settings!$C$12)+(Q163*Settings!$C$13)+(T163*Settings!$C$16)+(K163*Settings!$C$7)+(L163*Settings!$C$8)+(R163*Settings!$C$14)+(S163*Settings!$C$15)</f>
        <v>1.5601845009677435</v>
      </c>
      <c r="E163" s="67"/>
      <c r="F163" s="118">
        <f>(VLOOKUP($A163,Hitters!$A1:$R401,4,FALSE)-AVERAGE(Rankings!M2:M651))/STDEV(Rankings!M2:M651)</f>
        <v>0.6897856498458701</v>
      </c>
      <c r="G163" s="118">
        <f>(VLOOKUP($A163,Hitters!$A1:$R401,5,FALSE)-AVERAGE(Rankings!N2:N651))/STDEV(Rankings!N2:N651)</f>
        <v>0.65568563478154551</v>
      </c>
      <c r="H163" s="118">
        <f>(VLOOKUP($A163,Hitters!$A1:$R401,6,FALSE)-AVERAGE(Rankings!O2:O651))/STDEV(Rankings!O2:O651)</f>
        <v>0.78243503219094279</v>
      </c>
      <c r="I163" s="118">
        <f>(VLOOKUP($A163,Hitters!$A1:$R401,7,FALSE)-AVERAGE(Rankings!P2:P651))/STDEV(Rankings!P2:P651)</f>
        <v>0.91327389418682725</v>
      </c>
      <c r="J163" s="118">
        <f>(VLOOKUP($A163,Hitters!$A1:$R401,8,FALSE)-AVERAGE(Rankings!Q2:Q651))/STDEV(Rankings!Q2:Q651)</f>
        <v>-0.82639442210171288</v>
      </c>
      <c r="K163" s="157">
        <f>(VLOOKUP($A163,Hitters!$A$1:$R$401,14,FALSE)-AVERAGE(Rankings!R$2:R$651))/STDEV(Rankings!R$2:R$651)</f>
        <v>3.5184361910140814E-2</v>
      </c>
      <c r="L163" s="157">
        <f>(VLOOKUP($A163,Hitters!$A$1:$R$401,15,FALSE)-AVERAGE(Rankings!S$2:S$651))/STDEV(Rankings!S$2:S$651)</f>
        <v>0.36881717578857459</v>
      </c>
      <c r="M163" s="157">
        <f>(VLOOKUP($A163,Hitters!$A$1:$R$401,9,FALSE)-AVERAGE(Rankings!T$2:T$651))/STDEV(Rankings!T$2:T$651)</f>
        <v>0.57749903344340736</v>
      </c>
      <c r="N163" s="157">
        <f>(VLOOKUP($A163,Hitters!$A$1:$R$401,10,FALSE)-AVERAGE(Rankings!U$2:U$651))/STDEV(Rankings!U$2:U$651)</f>
        <v>1.0274570581877933</v>
      </c>
      <c r="O163" s="157">
        <f>(VLOOKUP($A163,Hitters!$A$1:$R$401,11,FALSE)-AVERAGE(Rankings!V$2:V$651))/STDEV(Rankings!V$2:V$651)</f>
        <v>-0.53258222480552375</v>
      </c>
      <c r="P163" s="157">
        <f>(VLOOKUP($A163,Hitters!$A$1:$R$401,12,FALSE)-AVERAGE(Rankings!W$2:W$651))/STDEV(Rankings!W$2:W$651)</f>
        <v>0.76450601527688689</v>
      </c>
      <c r="Q163" s="157">
        <f>(VLOOKUP($A163,Hitters!$A$1:$R$401,13,FALSE)-AVERAGE(Rankings!X$2:X$651))/STDEV(Rankings!X$2:X$651)</f>
        <v>0.73279514284856717</v>
      </c>
      <c r="R163" s="118">
        <f>(VLOOKUP($A163,Hitters!$A1:$R401,16,FALSE)-AVERAGE(Rankings!Y2:Y651))/STDEV(Rankings!Y2:Y651)</f>
        <v>0.64613284073769606</v>
      </c>
      <c r="S163" s="118">
        <f>(VLOOKUP($A163,Hitters!$A1:$R401,17,FALSE)-AVERAGE(Rankings!Z2:Z651))/STDEV(Rankings!Z2:Z651)</f>
        <v>0.61122711406874963</v>
      </c>
      <c r="T163" s="118">
        <f>IFERROR((VLOOKUP($A163,Hitters!$A1:$R401,18,FALSE)-AVERAGE(Rankings!AA2:AA651))/STDEV(Rankings!AA2:AA651),0)</f>
        <v>0</v>
      </c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</row>
    <row r="164" spans="1:37" ht="18.600000000000001" customHeight="1">
      <c r="A164" s="26" t="s">
        <v>334</v>
      </c>
      <c r="B164" s="27" t="s">
        <v>97</v>
      </c>
      <c r="C164" s="121" t="s">
        <v>19</v>
      </c>
      <c r="D164" s="67">
        <f>(F164*Settings!$C$2)+(G164*Settings!$C$3)+(H164*Settings!$C$4)+(I164*Settings!$C$5)+(J164*Settings!$C$6)+(M164*Settings!$C$9)+(N164*Settings!$C$10)+(O164*Settings!$C$11)+(P164*Settings!$C$12)+(Q164*Settings!$C$13)+(T164*Settings!$C$16)+(K164*Settings!$C$7)+(L164*Settings!$C$8)+(R164*Settings!$C$14)+(S164*Settings!$C$15)</f>
        <v>0.62097436204523637</v>
      </c>
      <c r="E164" s="67"/>
      <c r="F164" s="118">
        <f>(VLOOKUP($A164,Hitters!$A1:$R401,4,FALSE)-AVERAGE(Rankings!M2:M651))/STDEV(Rankings!M2:M651)</f>
        <v>0.25297055071696628</v>
      </c>
      <c r="G164" s="118">
        <f>(VLOOKUP($A164,Hitters!$A1:$R401,5,FALSE)-AVERAGE(Rankings!N2:N651))/STDEV(Rankings!N2:N651)</f>
        <v>0.15871688380659088</v>
      </c>
      <c r="H164" s="118">
        <f>(VLOOKUP($A164,Hitters!$A1:$R401,6,FALSE)-AVERAGE(Rankings!O2:O651))/STDEV(Rankings!O2:O651)</f>
        <v>0.67418578471860169</v>
      </c>
      <c r="I164" s="118">
        <f>(VLOOKUP($A164,Hitters!$A1:$R401,7,FALSE)-AVERAGE(Rankings!P2:P651))/STDEV(Rankings!P2:P651)</f>
        <v>0.48593404004806601</v>
      </c>
      <c r="J164" s="118">
        <f>(VLOOKUP($A164,Hitters!$A1:$R401,8,FALSE)-AVERAGE(Rankings!Q2:Q651))/STDEV(Rankings!Q2:Q651)</f>
        <v>-0.68606132474518178</v>
      </c>
      <c r="K164" s="157">
        <f>(VLOOKUP($A164,Hitters!$A$1:$R$401,14,FALSE)-AVERAGE(Rankings!R$2:R$651))/STDEV(Rankings!R$2:R$651)</f>
        <v>-1.1801021782840511E-2</v>
      </c>
      <c r="L164" s="157">
        <f>(VLOOKUP($A164,Hitters!$A$1:$R$401,15,FALSE)-AVERAGE(Rankings!S$2:S$651))/STDEV(Rankings!S$2:S$651)</f>
        <v>0.19437735196916428</v>
      </c>
      <c r="M164" s="157">
        <f>(VLOOKUP($A164,Hitters!$A$1:$R$401,9,FALSE)-AVERAGE(Rankings!T$2:T$651))/STDEV(Rankings!T$2:T$651)</f>
        <v>0.18377526879820544</v>
      </c>
      <c r="N164" s="157">
        <f>(VLOOKUP($A164,Hitters!$A$1:$R$401,10,FALSE)-AVERAGE(Rankings!U$2:U$651))/STDEV(Rankings!U$2:U$651)</f>
        <v>-0.22529402955817815</v>
      </c>
      <c r="O164" s="157">
        <f>(VLOOKUP($A164,Hitters!$A$1:$R$401,11,FALSE)-AVERAGE(Rankings!V$2:V$651))/STDEV(Rankings!V$2:V$651)</f>
        <v>-0.54831965707927199</v>
      </c>
      <c r="P164" s="157">
        <f>(VLOOKUP($A164,Hitters!$A$1:$R$401,12,FALSE)-AVERAGE(Rankings!W$2:W$651))/STDEV(Rankings!W$2:W$651)</f>
        <v>0.30320867428208009</v>
      </c>
      <c r="Q164" s="157">
        <f>(VLOOKUP($A164,Hitters!$A$1:$R$401,13,FALSE)-AVERAGE(Rankings!X$2:X$651))/STDEV(Rankings!X$2:X$651)</f>
        <v>0.78120160798358107</v>
      </c>
      <c r="R164" s="118">
        <f>(VLOOKUP($A164,Hitters!$A1:$R401,16,FALSE)-AVERAGE(Rankings!Y2:Y651))/STDEV(Rankings!Y2:Y651)</f>
        <v>0.54141266646618125</v>
      </c>
      <c r="S164" s="118">
        <f>(VLOOKUP($A164,Hitters!$A1:$R401,17,FALSE)-AVERAGE(Rankings!Z2:Z651))/STDEV(Rankings!Z2:Z651)</f>
        <v>0.4690041786627186</v>
      </c>
      <c r="T164" s="118">
        <f>IFERROR((VLOOKUP($A164,Hitters!$A1:$R401,18,FALSE)-AVERAGE(Rankings!AA2:AA651))/STDEV(Rankings!AA2:AA651),0)</f>
        <v>0</v>
      </c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</row>
    <row r="165" spans="1:37" ht="18.600000000000001" customHeight="1">
      <c r="A165" s="26" t="s">
        <v>325</v>
      </c>
      <c r="B165" s="27" t="s">
        <v>306</v>
      </c>
      <c r="C165" s="121" t="s">
        <v>19</v>
      </c>
      <c r="D165" s="67">
        <f>(F165*Settings!$C$2)+(G165*Settings!$C$3)+(H165*Settings!$C$4)+(I165*Settings!$C$5)+(J165*Settings!$C$6)+(M165*Settings!$C$9)+(N165*Settings!$C$10)+(O165*Settings!$C$11)+(P165*Settings!$C$12)+(Q165*Settings!$C$13)+(T165*Settings!$C$16)+(K165*Settings!$C$7)+(L165*Settings!$C$8)+(R165*Settings!$C$14)+(S165*Settings!$C$15)</f>
        <v>2.4567343162932631E-2</v>
      </c>
      <c r="E165" s="67"/>
      <c r="F165" s="118">
        <f>(VLOOKUP($A165,Hitters!$A1:$R401,4,FALSE)-AVERAGE(Rankings!M2:M651))/STDEV(Rankings!M2:M651)</f>
        <v>0.17431003673456616</v>
      </c>
      <c r="G165" s="118">
        <f>(VLOOKUP($A165,Hitters!$A1:$R401,5,FALSE)-AVERAGE(Rankings!N2:N651))/STDEV(Rankings!N2:N651)</f>
        <v>-0.21228550212532368</v>
      </c>
      <c r="H165" s="118">
        <f>(VLOOKUP($A165,Hitters!$A1:$R401,6,FALSE)-AVERAGE(Rankings!O2:O651))/STDEV(Rankings!O2:O651)</f>
        <v>-0.13970366667575673</v>
      </c>
      <c r="I165" s="118">
        <f>(VLOOKUP($A165,Hitters!$A1:$R401,7,FALSE)-AVERAGE(Rankings!P2:P651))/STDEV(Rankings!P2:P651)</f>
        <v>5.1162188446021779E-2</v>
      </c>
      <c r="J165" s="118">
        <f>(VLOOKUP($A165,Hitters!$A1:$R401,8,FALSE)-AVERAGE(Rankings!Q2:Q651))/STDEV(Rankings!Q2:Q651)</f>
        <v>-0.3940702807533476</v>
      </c>
      <c r="K165" s="157">
        <f>(VLOOKUP($A165,Hitters!$A$1:$R$401,14,FALSE)-AVERAGE(Rankings!R$2:R$651))/STDEV(Rankings!R$2:R$651)</f>
        <v>0.71946460427133896</v>
      </c>
      <c r="L165" s="157">
        <f>(VLOOKUP($A165,Hitters!$A$1:$R$401,15,FALSE)-AVERAGE(Rankings!S$2:S$651))/STDEV(Rankings!S$2:S$651)</f>
        <v>0.16884819877396237</v>
      </c>
      <c r="M165" s="157">
        <f>(VLOOKUP($A165,Hitters!$A$1:$R$401,9,FALSE)-AVERAGE(Rankings!T$2:T$651))/STDEV(Rankings!T$2:T$651)</f>
        <v>0.26860680421171806</v>
      </c>
      <c r="N165" s="157">
        <f>(VLOOKUP($A165,Hitters!$A$1:$R$401,10,FALSE)-AVERAGE(Rankings!U$2:U$651))/STDEV(Rankings!U$2:U$651)</f>
        <v>0.43407129564999997</v>
      </c>
      <c r="O165" s="157">
        <f>(VLOOKUP($A165,Hitters!$A$1:$R$401,11,FALSE)-AVERAGE(Rankings!V$2:V$651))/STDEV(Rankings!V$2:V$651)</f>
        <v>-1.3008550548966871</v>
      </c>
      <c r="P165" s="157">
        <f>(VLOOKUP($A165,Hitters!$A$1:$R$401,12,FALSE)-AVERAGE(Rankings!W$2:W$651))/STDEV(Rankings!W$2:W$651)</f>
        <v>-0.2487184166897268</v>
      </c>
      <c r="Q165" s="157">
        <f>(VLOOKUP($A165,Hitters!$A$1:$R$401,13,FALSE)-AVERAGE(Rankings!X$2:X$651))/STDEV(Rankings!X$2:X$651)</f>
        <v>-1.138921509038618</v>
      </c>
      <c r="R165" s="118">
        <f>(VLOOKUP($A165,Hitters!$A1:$R401,16,FALSE)-AVERAGE(Rankings!Y2:Y651))/STDEV(Rankings!Y2:Y651)</f>
        <v>5.5327227732023629E-2</v>
      </c>
      <c r="S165" s="118">
        <f>(VLOOKUP($A165,Hitters!$A1:$R401,17,FALSE)-AVERAGE(Rankings!Z2:Z651))/STDEV(Rankings!Z2:Z651)</f>
        <v>0.10401948671581208</v>
      </c>
      <c r="T165" s="118">
        <f>IFERROR((VLOOKUP($A165,Hitters!$A1:$R401,18,FALSE)-AVERAGE(Rankings!AA2:AA651))/STDEV(Rankings!AA2:AA651),0)</f>
        <v>0</v>
      </c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</row>
    <row r="166" spans="1:37" ht="18.600000000000001" customHeight="1">
      <c r="A166" s="26" t="s">
        <v>377</v>
      </c>
      <c r="B166" s="27" t="s">
        <v>94</v>
      </c>
      <c r="C166" s="121" t="s">
        <v>19</v>
      </c>
      <c r="D166" s="67">
        <f>(F166*Settings!$C$2)+(G166*Settings!$C$3)+(H166*Settings!$C$4)+(I166*Settings!$C$5)+(J166*Settings!$C$6)+(M166*Settings!$C$9)+(N166*Settings!$C$10)+(O166*Settings!$C$11)+(P166*Settings!$C$12)+(Q166*Settings!$C$13)+(T166*Settings!$C$16)+(K166*Settings!$C$7)+(L166*Settings!$C$8)+(R166*Settings!$C$14)+(S166*Settings!$C$15)</f>
        <v>-0.33232806686624172</v>
      </c>
      <c r="E166" s="67"/>
      <c r="F166" s="118">
        <f>(VLOOKUP($A166,Hitters!$A1:$R401,4,FALSE)-AVERAGE(Rankings!M2:M651))/STDEV(Rankings!M2:M651)</f>
        <v>-0.19157541525338623</v>
      </c>
      <c r="G166" s="118">
        <f>(VLOOKUP($A166,Hitters!$A1:$R401,5,FALSE)-AVERAGE(Rankings!N2:N651))/STDEV(Rankings!N2:N651)</f>
        <v>-1.1216002368620387E-2</v>
      </c>
      <c r="H166" s="118">
        <f>(VLOOKUP($A166,Hitters!$A1:$R401,6,FALSE)-AVERAGE(Rankings!O2:O651))/STDEV(Rankings!O2:O651)</f>
        <v>0.70636799342659518</v>
      </c>
      <c r="I166" s="118">
        <f>(VLOOKUP($A166,Hitters!$A1:$R401,7,FALSE)-AVERAGE(Rankings!P2:P651))/STDEV(Rankings!P2:P651)</f>
        <v>0.27567468715704141</v>
      </c>
      <c r="J166" s="118">
        <f>(VLOOKUP($A166,Hitters!$A1:$R401,8,FALSE)-AVERAGE(Rankings!Q2:Q651))/STDEV(Rankings!Q2:Q651)</f>
        <v>-0.68495259824236487</v>
      </c>
      <c r="K166" s="157">
        <f>(VLOOKUP($A166,Hitters!$A$1:$R$401,14,FALSE)-AVERAGE(Rankings!R$2:R$651))/STDEV(Rankings!R$2:R$651)</f>
        <v>-0.61820214683889296</v>
      </c>
      <c r="L166" s="157">
        <f>(VLOOKUP($A166,Hitters!$A$1:$R$401,15,FALSE)-AVERAGE(Rankings!S$2:S$651))/STDEV(Rankings!S$2:S$651)</f>
        <v>-0.18363786081666078</v>
      </c>
      <c r="M166" s="157">
        <f>(VLOOKUP($A166,Hitters!$A$1:$R$401,9,FALSE)-AVERAGE(Rankings!T$2:T$651))/STDEV(Rankings!T$2:T$651)</f>
        <v>-0.31754555630085879</v>
      </c>
      <c r="N166" s="157">
        <f>(VLOOKUP($A166,Hitters!$A$1:$R$401,10,FALSE)-AVERAGE(Rankings!U$2:U$651))/STDEV(Rankings!U$2:U$651)</f>
        <v>-0.26222824127040484</v>
      </c>
      <c r="O166" s="157">
        <f>(VLOOKUP($A166,Hitters!$A$1:$R$401,11,FALSE)-AVERAGE(Rankings!V$2:V$651))/STDEV(Rankings!V$2:V$651)</f>
        <v>-0.56453398124010357</v>
      </c>
      <c r="P166" s="157">
        <f>(VLOOKUP($A166,Hitters!$A$1:$R$401,12,FALSE)-AVERAGE(Rankings!W$2:W$651))/STDEV(Rankings!W$2:W$651)</f>
        <v>3.5331516920411546E-2</v>
      </c>
      <c r="Q166" s="157">
        <f>(VLOOKUP($A166,Hitters!$A$1:$R$401,13,FALSE)-AVERAGE(Rankings!X$2:X$651))/STDEV(Rankings!X$2:X$651)</f>
        <v>-0.31870084980644597</v>
      </c>
      <c r="R166" s="118">
        <f>(VLOOKUP($A166,Hitters!$A1:$R401,16,FALSE)-AVERAGE(Rankings!Y2:Y651))/STDEV(Rankings!Y2:Y651)</f>
        <v>1.0006888391535873</v>
      </c>
      <c r="S166" s="118">
        <f>(VLOOKUP($A166,Hitters!$A1:$R401,17,FALSE)-AVERAGE(Rankings!Z2:Z651))/STDEV(Rankings!Z2:Z651)</f>
        <v>0.66248698667591466</v>
      </c>
      <c r="T166" s="118">
        <f>IFERROR((VLOOKUP($A166,Hitters!$A1:$R401,18,FALSE)-AVERAGE(Rankings!AA2:AA651))/STDEV(Rankings!AA2:AA651),0)</f>
        <v>0</v>
      </c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</row>
    <row r="167" spans="1:37" ht="18.600000000000001" customHeight="1">
      <c r="A167" s="26" t="s">
        <v>383</v>
      </c>
      <c r="B167" s="27" t="s">
        <v>73</v>
      </c>
      <c r="C167" s="121" t="s">
        <v>19</v>
      </c>
      <c r="D167" s="67">
        <f>(F167*Settings!$C$2)+(G167*Settings!$C$3)+(H167*Settings!$C$4)+(I167*Settings!$C$5)+(J167*Settings!$C$6)+(M167*Settings!$C$9)+(N167*Settings!$C$10)+(O167*Settings!$C$11)+(P167*Settings!$C$12)+(Q167*Settings!$C$13)+(T167*Settings!$C$16)+(K167*Settings!$C$7)+(L167*Settings!$C$8)+(R167*Settings!$C$14)+(S167*Settings!$C$15)</f>
        <v>-0.76216070609421005</v>
      </c>
      <c r="E167" s="67"/>
      <c r="F167" s="118">
        <f>(VLOOKUP($A167,Hitters!$A1:$R401,4,FALSE)-AVERAGE(Rankings!M2:M651))/STDEV(Rankings!M2:M651)</f>
        <v>-0.22102030152929036</v>
      </c>
      <c r="G167" s="118">
        <f>(VLOOKUP($A167,Hitters!$A1:$R401,5,FALSE)-AVERAGE(Rankings!N2:N651))/STDEV(Rankings!N2:N651)</f>
        <v>-0.26593784279180377</v>
      </c>
      <c r="H167" s="118">
        <f>(VLOOKUP($A167,Hitters!$A1:$R401,6,FALSE)-AVERAGE(Rankings!O2:O651))/STDEV(Rankings!O2:O651)</f>
        <v>2.6782263959713583E-3</v>
      </c>
      <c r="I167" s="118">
        <f>(VLOOKUP($A167,Hitters!$A1:$R401,7,FALSE)-AVERAGE(Rankings!P2:P651))/STDEV(Rankings!P2:P651)</f>
        <v>7.9955182483241443E-3</v>
      </c>
      <c r="J167" s="118">
        <f>(VLOOKUP($A167,Hitters!$A1:$R401,8,FALSE)-AVERAGE(Rankings!Q2:Q651))/STDEV(Rankings!Q2:Q651)</f>
        <v>-0.92435832810060059</v>
      </c>
      <c r="K167" s="157">
        <f>(VLOOKUP($A167,Hitters!$A$1:$R$401,14,FALSE)-AVERAGE(Rankings!R$2:R$651))/STDEV(Rankings!R$2:R$651)</f>
        <v>0.41746172015389893</v>
      </c>
      <c r="L167" s="157">
        <f>(VLOOKUP($A167,Hitters!$A$1:$R$401,15,FALSE)-AVERAGE(Rankings!S$2:S$651))/STDEV(Rankings!S$2:S$651)</f>
        <v>-0.36626621066699072</v>
      </c>
      <c r="M167" s="157">
        <f>(VLOOKUP($A167,Hitters!$A$1:$R$401,9,FALSE)-AVERAGE(Rankings!T$2:T$651))/STDEV(Rankings!T$2:T$651)</f>
        <v>-0.15228581729084825</v>
      </c>
      <c r="N167" s="157">
        <f>(VLOOKUP($A167,Hitters!$A$1:$R$401,10,FALSE)-AVERAGE(Rankings!U$2:U$651))/STDEV(Rankings!U$2:U$651)</f>
        <v>-0.14310644388398014</v>
      </c>
      <c r="O167" s="157">
        <f>(VLOOKUP($A167,Hitters!$A$1:$R$401,11,FALSE)-AVERAGE(Rankings!V$2:V$651))/STDEV(Rankings!V$2:V$651)</f>
        <v>-0.56358019746593702</v>
      </c>
      <c r="P167" s="157">
        <f>(VLOOKUP($A167,Hitters!$A$1:$R$401,12,FALSE)-AVERAGE(Rankings!W$2:W$651))/STDEV(Rankings!W$2:W$651)</f>
        <v>-0.69434060532063235</v>
      </c>
      <c r="Q167" s="157">
        <f>(VLOOKUP($A167,Hitters!$A$1:$R$401,13,FALSE)-AVERAGE(Rankings!X$2:X$651))/STDEV(Rankings!X$2:X$651)</f>
        <v>-0.2292121657316846</v>
      </c>
      <c r="R167" s="118">
        <f>(VLOOKUP($A167,Hitters!$A1:$R401,16,FALSE)-AVERAGE(Rankings!Y2:Y651))/STDEV(Rankings!Y2:Y651)</f>
        <v>0.47438284242822215</v>
      </c>
      <c r="S167" s="118">
        <f>(VLOOKUP($A167,Hitters!$A1:$R401,17,FALSE)-AVERAGE(Rankings!Z2:Z651))/STDEV(Rankings!Z2:Z651)</f>
        <v>0.20896210000055915</v>
      </c>
      <c r="T167" s="118">
        <f>IFERROR((VLOOKUP($A167,Hitters!$A1:$R401,18,FALSE)-AVERAGE(Rankings!AA2:AA651))/STDEV(Rankings!AA2:AA651),0)</f>
        <v>0</v>
      </c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</row>
    <row r="168" spans="1:37" ht="18.600000000000001" customHeight="1">
      <c r="A168" s="26" t="s">
        <v>394</v>
      </c>
      <c r="B168" s="27" t="s">
        <v>140</v>
      </c>
      <c r="C168" s="121" t="s">
        <v>19</v>
      </c>
      <c r="D168" s="67">
        <f>(F168*Settings!$C$2)+(G168*Settings!$C$3)+(H168*Settings!$C$4)+(I168*Settings!$C$5)+(J168*Settings!$C$6)+(M168*Settings!$C$9)+(N168*Settings!$C$10)+(O168*Settings!$C$11)+(P168*Settings!$C$12)+(Q168*Settings!$C$13)+(T168*Settings!$C$16)+(K168*Settings!$C$7)+(L168*Settings!$C$8)+(R168*Settings!$C$14)+(S168*Settings!$C$15)</f>
        <v>-1.9734303921247727</v>
      </c>
      <c r="E168" s="67"/>
      <c r="F168" s="118">
        <f>(VLOOKUP($A168,Hitters!$A1:$R401,4,FALSE)-AVERAGE(Rankings!M2:M651))/STDEV(Rankings!M2:M651)</f>
        <v>0.2442680448735858</v>
      </c>
      <c r="G168" s="118">
        <f>(VLOOKUP($A168,Hitters!$A1:$R401,5,FALSE)-AVERAGE(Rankings!N2:N651))/STDEV(Rankings!N2:N651)</f>
        <v>-0.29372752396877039</v>
      </c>
      <c r="H168" s="118">
        <f>(VLOOKUP($A168,Hitters!$A1:$R401,6,FALSE)-AVERAGE(Rankings!O2:O651))/STDEV(Rankings!O2:O651)</f>
        <v>0.17692886510386116</v>
      </c>
      <c r="I168" s="118">
        <f>(VLOOKUP($A168,Hitters!$A1:$R401,7,FALSE)-AVERAGE(Rankings!P2:P651))/STDEV(Rankings!P2:P651)</f>
        <v>3.2633098880029063E-2</v>
      </c>
      <c r="J168" s="118">
        <f>(VLOOKUP($A168,Hitters!$A1:$R401,8,FALSE)-AVERAGE(Rankings!Q2:Q651))/STDEV(Rankings!Q2:Q651)</f>
        <v>-0.67869621297646987</v>
      </c>
      <c r="K168" s="157">
        <f>(VLOOKUP($A168,Hitters!$A$1:$R$401,14,FALSE)-AVERAGE(Rankings!R$2:R$651))/STDEV(Rankings!R$2:R$651)</f>
        <v>-1.2105686191634226</v>
      </c>
      <c r="L168" s="157">
        <f>(VLOOKUP($A168,Hitters!$A$1:$R$401,15,FALSE)-AVERAGE(Rankings!S$2:S$651))/STDEV(Rankings!S$2:S$651)</f>
        <v>-1.2847338565166364</v>
      </c>
      <c r="M168" s="157">
        <f>(VLOOKUP($A168,Hitters!$A$1:$R$401,9,FALSE)-AVERAGE(Rankings!T$2:T$651))/STDEV(Rankings!T$2:T$651)</f>
        <v>-8.142812060276057E-2</v>
      </c>
      <c r="N168" s="157">
        <f>(VLOOKUP($A168,Hitters!$A$1:$R$401,10,FALSE)-AVERAGE(Rankings!U$2:U$651))/STDEV(Rankings!U$2:U$651)</f>
        <v>7.4052377600722877E-2</v>
      </c>
      <c r="O168" s="157">
        <f>(VLOOKUP($A168,Hitters!$A$1:$R$401,11,FALSE)-AVERAGE(Rankings!V$2:V$651))/STDEV(Rankings!V$2:V$651)</f>
        <v>1.1074526469414946E-2</v>
      </c>
      <c r="P168" s="157">
        <f>(VLOOKUP($A168,Hitters!$A$1:$R$401,12,FALSE)-AVERAGE(Rankings!W$2:W$651))/STDEV(Rankings!W$2:W$651)</f>
        <v>-0.18169469973693475</v>
      </c>
      <c r="Q168" s="157">
        <f>(VLOOKUP($A168,Hitters!$A$1:$R$401,13,FALSE)-AVERAGE(Rankings!X$2:X$651))/STDEV(Rankings!X$2:X$651)</f>
        <v>0.94621070531146467</v>
      </c>
      <c r="R168" s="118">
        <f>(VLOOKUP($A168,Hitters!$A1:$R401,16,FALSE)-AVERAGE(Rankings!Y2:Y651))/STDEV(Rankings!Y2:Y651)</f>
        <v>-0.44306433289903091</v>
      </c>
      <c r="S168" s="118">
        <f>(VLOOKUP($A168,Hitters!$A1:$R401,17,FALSE)-AVERAGE(Rankings!Z2:Z651))/STDEV(Rankings!Z2:Z651)</f>
        <v>-0.80750831553383862</v>
      </c>
      <c r="T168" s="118">
        <f>IFERROR((VLOOKUP($A168,Hitters!$A1:$R401,18,FALSE)-AVERAGE(Rankings!AA2:AA651))/STDEV(Rankings!AA2:AA651),0)</f>
        <v>0</v>
      </c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</row>
    <row r="169" spans="1:37" ht="18.600000000000001" customHeight="1">
      <c r="A169" s="26" t="s">
        <v>409</v>
      </c>
      <c r="B169" s="27" t="s">
        <v>71</v>
      </c>
      <c r="C169" s="121" t="s">
        <v>19</v>
      </c>
      <c r="D169" s="67">
        <f>(F169*Settings!$C$2)+(G169*Settings!$C$3)+(H169*Settings!$C$4)+(I169*Settings!$C$5)+(J169*Settings!$C$6)+(M169*Settings!$C$9)+(N169*Settings!$C$10)+(O169*Settings!$C$11)+(P169*Settings!$C$12)+(Q169*Settings!$C$13)+(T169*Settings!$C$16)+(K169*Settings!$C$7)+(L169*Settings!$C$8)+(R169*Settings!$C$14)+(S169*Settings!$C$15)</f>
        <v>-0.78652594541503607</v>
      </c>
      <c r="E169" s="67"/>
      <c r="F169" s="118">
        <f>(VLOOKUP($A169,Hitters!$A1:$R401,4,FALSE)-AVERAGE(Rankings!M2:M651))/STDEV(Rankings!M2:M651)</f>
        <v>0.17262022977468641</v>
      </c>
      <c r="G169" s="118">
        <f>(VLOOKUP($A169,Hitters!$A1:$R401,5,FALSE)-AVERAGE(Rankings!N2:N651))/STDEV(Rankings!N2:N651)</f>
        <v>-9.3367979570602513E-2</v>
      </c>
      <c r="H169" s="118">
        <f>(VLOOKUP($A169,Hitters!$A1:$R401,6,FALSE)-AVERAGE(Rankings!O2:O651))/STDEV(Rankings!O2:O651)</f>
        <v>0.99837625945236952</v>
      </c>
      <c r="I169" s="118">
        <f>(VLOOKUP($A169,Hitters!$A1:$R401,7,FALSE)-AVERAGE(Rankings!P2:P651))/STDEV(Rankings!P2:P651)</f>
        <v>0.46506336224021672</v>
      </c>
      <c r="J169" s="118">
        <f>(VLOOKUP($A169,Hitters!$A1:$R401,8,FALSE)-AVERAGE(Rankings!Q2:Q651))/STDEV(Rankings!Q2:Q651)</f>
        <v>-0.68495259824236487</v>
      </c>
      <c r="K169" s="157">
        <f>(VLOOKUP($A169,Hitters!$A$1:$R$401,14,FALSE)-AVERAGE(Rankings!R$2:R$651))/STDEV(Rankings!R$2:R$651)</f>
        <v>-1.471644989294655</v>
      </c>
      <c r="L169" s="157">
        <f>(VLOOKUP($A169,Hitters!$A$1:$R$401,15,FALSE)-AVERAGE(Rankings!S$2:S$651))/STDEV(Rankings!S$2:S$651)</f>
        <v>-1.3152069409720266</v>
      </c>
      <c r="M169" s="157">
        <f>(VLOOKUP($A169,Hitters!$A$1:$R$401,9,FALSE)-AVERAGE(Rankings!T$2:T$651))/STDEV(Rankings!T$2:T$651)</f>
        <v>-0.19311398917242253</v>
      </c>
      <c r="N169" s="157">
        <f>(VLOOKUP($A169,Hitters!$A$1:$R$401,10,FALSE)-AVERAGE(Rankings!U$2:U$651))/STDEV(Rankings!U$2:U$651)</f>
        <v>0.26022949139672336</v>
      </c>
      <c r="O169" s="157">
        <f>(VLOOKUP($A169,Hitters!$A$1:$R$401,11,FALSE)-AVERAGE(Rankings!V$2:V$651))/STDEV(Rankings!V$2:V$651)</f>
        <v>-0.55308857595010485</v>
      </c>
      <c r="P169" s="157">
        <f>(VLOOKUP($A169,Hitters!$A$1:$R$401,12,FALSE)-AVERAGE(Rankings!W$2:W$651))/STDEV(Rankings!W$2:W$651)</f>
        <v>-8.7363872118458155E-2</v>
      </c>
      <c r="Q169" s="157">
        <f>(VLOOKUP($A169,Hitters!$A$1:$R$401,13,FALSE)-AVERAGE(Rankings!X$2:X$651))/STDEV(Rankings!X$2:X$651)</f>
        <v>0.86915583875177493</v>
      </c>
      <c r="R169" s="118">
        <f>(VLOOKUP($A169,Hitters!$A1:$R401,16,FALSE)-AVERAGE(Rankings!Y2:Y651))/STDEV(Rankings!Y2:Y651)</f>
        <v>0.66079256606638581</v>
      </c>
      <c r="S169" s="118">
        <f>(VLOOKUP($A169,Hitters!$A1:$R401,17,FALSE)-AVERAGE(Rankings!Z2:Z651))/STDEV(Rankings!Z2:Z651)</f>
        <v>-1.1953790517195665E-2</v>
      </c>
      <c r="T169" s="118">
        <f>IFERROR((VLOOKUP($A169,Hitters!$A1:$R401,18,FALSE)-AVERAGE(Rankings!AA2:AA651))/STDEV(Rankings!AA2:AA651),0)</f>
        <v>0</v>
      </c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</row>
    <row r="170" spans="1:37" ht="18.600000000000001" customHeight="1">
      <c r="A170" s="26" t="s">
        <v>415</v>
      </c>
      <c r="B170" s="27" t="s">
        <v>156</v>
      </c>
      <c r="C170" s="121" t="s">
        <v>19</v>
      </c>
      <c r="D170" s="67">
        <f>(F170*Settings!$C$2)+(G170*Settings!$C$3)+(H170*Settings!$C$4)+(I170*Settings!$C$5)+(J170*Settings!$C$6)+(M170*Settings!$C$9)+(N170*Settings!$C$10)+(O170*Settings!$C$11)+(P170*Settings!$C$12)+(Q170*Settings!$C$13)+(T170*Settings!$C$16)+(K170*Settings!$C$7)+(L170*Settings!$C$8)+(R170*Settings!$C$14)+(S170*Settings!$C$15)</f>
        <v>-1.9903216541973758</v>
      </c>
      <c r="E170" s="67"/>
      <c r="F170" s="118">
        <f>(VLOOKUP($A170,Hitters!$A1:$R401,4,FALSE)-AVERAGE(Rankings!M2:M651))/STDEV(Rankings!M2:M651)</f>
        <v>-0.2533801048109865</v>
      </c>
      <c r="G170" s="118">
        <f>(VLOOKUP($A170,Hitters!$A1:$R401,5,FALSE)-AVERAGE(Rankings!N2:N651))/STDEV(Rankings!N2:N651)</f>
        <v>-0.59961686130355885</v>
      </c>
      <c r="H170" s="118">
        <f>(VLOOKUP($A170,Hitters!$A1:$R401,6,FALSE)-AVERAGE(Rankings!O2:O651))/STDEV(Rankings!O2:O651)</f>
        <v>-0.78975641919305828</v>
      </c>
      <c r="I170" s="118">
        <f>(VLOOKUP($A170,Hitters!$A1:$R401,7,FALSE)-AVERAGE(Rankings!P2:P651))/STDEV(Rankings!P2:P651)</f>
        <v>-0.55566549484024108</v>
      </c>
      <c r="J170" s="118">
        <f>(VLOOKUP($A170,Hitters!$A1:$R401,8,FALSE)-AVERAGE(Rankings!Q2:Q651))/STDEV(Rankings!Q2:Q651)</f>
        <v>-0.32936816983896494</v>
      </c>
      <c r="K170" s="157">
        <f>(VLOOKUP($A170,Hitters!$A$1:$R$401,14,FALSE)-AVERAGE(Rankings!R$2:R$651))/STDEV(Rankings!R$2:R$651)</f>
        <v>0.28408529097844709</v>
      </c>
      <c r="L170" s="157">
        <f>(VLOOKUP($A170,Hitters!$A$1:$R$401,15,FALSE)-AVERAGE(Rankings!S$2:S$651))/STDEV(Rankings!S$2:S$651)</f>
        <v>-0.51527984761429935</v>
      </c>
      <c r="M170" s="157">
        <f>(VLOOKUP($A170,Hitters!$A$1:$R$401,9,FALSE)-AVERAGE(Rankings!T$2:T$651))/STDEV(Rankings!T$2:T$651)</f>
        <v>-0.20569493722103716</v>
      </c>
      <c r="N170" s="157">
        <f>(VLOOKUP($A170,Hitters!$A$1:$R$401,10,FALSE)-AVERAGE(Rankings!U$2:U$651))/STDEV(Rankings!U$2:U$651)</f>
        <v>-0.32239873374915851</v>
      </c>
      <c r="O170" s="157">
        <f>(VLOOKUP($A170,Hitters!$A$1:$R$401,11,FALSE)-AVERAGE(Rankings!V$2:V$651))/STDEV(Rankings!V$2:V$651)</f>
        <v>-0.56548776501427001</v>
      </c>
      <c r="P170" s="157">
        <f>(VLOOKUP($A170,Hitters!$A$1:$R$401,12,FALSE)-AVERAGE(Rankings!W$2:W$651))/STDEV(Rankings!W$2:W$651)</f>
        <v>-0.74211249823918835</v>
      </c>
      <c r="Q170" s="157">
        <f>(VLOOKUP($A170,Hitters!$A$1:$R$401,13,FALSE)-AVERAGE(Rankings!X$2:X$651))/STDEV(Rankings!X$2:X$651)</f>
        <v>-0.80286041579410006</v>
      </c>
      <c r="R170" s="118">
        <f>(VLOOKUP($A170,Hitters!$A1:$R401,16,FALSE)-AVERAGE(Rankings!Y2:Y651))/STDEV(Rankings!Y2:Y651)</f>
        <v>-0.8855778742393039</v>
      </c>
      <c r="S170" s="118">
        <f>(VLOOKUP($A170,Hitters!$A1:$R401,17,FALSE)-AVERAGE(Rankings!Z2:Z651))/STDEV(Rankings!Z2:Z651)</f>
        <v>-0.8413910580502787</v>
      </c>
      <c r="T170" s="118">
        <f>IFERROR((VLOOKUP($A170,Hitters!$A1:$R401,18,FALSE)-AVERAGE(Rankings!AA2:AA651))/STDEV(Rankings!AA2:AA651),0)</f>
        <v>0</v>
      </c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</row>
    <row r="171" spans="1:37" ht="18.600000000000001" customHeight="1">
      <c r="A171" s="26" t="s">
        <v>444</v>
      </c>
      <c r="B171" s="27" t="s">
        <v>86</v>
      </c>
      <c r="C171" s="121" t="s">
        <v>19</v>
      </c>
      <c r="D171" s="67">
        <f>(F171*Settings!$C$2)+(G171*Settings!$C$3)+(H171*Settings!$C$4)+(I171*Settings!$C$5)+(J171*Settings!$C$6)+(M171*Settings!$C$9)+(N171*Settings!$C$10)+(O171*Settings!$C$11)+(P171*Settings!$C$12)+(Q171*Settings!$C$13)+(T171*Settings!$C$16)+(K171*Settings!$C$7)+(L171*Settings!$C$8)+(R171*Settings!$C$14)+(S171*Settings!$C$15)</f>
        <v>-1.8813306704607216</v>
      </c>
      <c r="E171" s="67"/>
      <c r="F171" s="118">
        <f>(VLOOKUP($A171,Hitters!$A1:$R401,4,FALSE)-AVERAGE(Rankings!M2:M651))/STDEV(Rankings!M2:M651)</f>
        <v>-0.10374769851363898</v>
      </c>
      <c r="G171" s="118">
        <f>(VLOOKUP($A171,Hitters!$A1:$R401,5,FALSE)-AVERAGE(Rankings!N2:N651))/STDEV(Rankings!N2:N651)</f>
        <v>-0.39192956338336232</v>
      </c>
      <c r="H171" s="118">
        <f>(VLOOKUP($A171,Hitters!$A1:$R401,6,FALSE)-AVERAGE(Rankings!O2:O651))/STDEV(Rankings!O2:O651)</f>
        <v>2.998434287548063E-2</v>
      </c>
      <c r="I171" s="118">
        <f>(VLOOKUP($A171,Hitters!$A1:$R401,7,FALSE)-AVERAGE(Rankings!P2:P651))/STDEV(Rankings!P2:P651)</f>
        <v>-0.14077169124786723</v>
      </c>
      <c r="J171" s="118">
        <f>(VLOOKUP($A171,Hitters!$A1:$R401,8,FALSE)-AVERAGE(Rankings!Q2:Q651))/STDEV(Rankings!Q2:Q651)</f>
        <v>-0.60084777352868768</v>
      </c>
      <c r="K171" s="157">
        <f>(VLOOKUP($A171,Hitters!$A$1:$R$401,14,FALSE)-AVERAGE(Rankings!R$2:R$651))/STDEV(Rankings!R$2:R$651)</f>
        <v>-0.77776598517628481</v>
      </c>
      <c r="L171" s="157">
        <f>(VLOOKUP($A171,Hitters!$A$1:$R$401,15,FALSE)-AVERAGE(Rankings!S$2:S$651))/STDEV(Rankings!S$2:S$651)</f>
        <v>-0.72252630109827309</v>
      </c>
      <c r="M171" s="157">
        <f>(VLOOKUP($A171,Hitters!$A$1:$R$401,9,FALSE)-AVERAGE(Rankings!T$2:T$651))/STDEV(Rankings!T$2:T$651)</f>
        <v>-0.27483024221199254</v>
      </c>
      <c r="N171" s="157">
        <f>(VLOOKUP($A171,Hitters!$A$1:$R$401,10,FALSE)-AVERAGE(Rankings!U$2:U$651))/STDEV(Rankings!U$2:U$651)</f>
        <v>-0.1832679168137803</v>
      </c>
      <c r="O171" s="157">
        <f>(VLOOKUP($A171,Hitters!$A$1:$R$401,11,FALSE)-AVERAGE(Rankings!V$2:V$651))/STDEV(Rankings!V$2:V$651)</f>
        <v>-0.5521347921759383</v>
      </c>
      <c r="P171" s="157">
        <f>(VLOOKUP($A171,Hitters!$A$1:$R$401,12,FALSE)-AVERAGE(Rankings!W$2:W$651))/STDEV(Rankings!W$2:W$651)</f>
        <v>-0.21528431194529493</v>
      </c>
      <c r="Q171" s="157">
        <f>(VLOOKUP($A171,Hitters!$A$1:$R$401,13,FALSE)-AVERAGE(Rankings!X$2:X$651))/STDEV(Rankings!X$2:X$651)</f>
        <v>-0.40731948303727794</v>
      </c>
      <c r="R171" s="118">
        <f>(VLOOKUP($A171,Hitters!$A1:$R401,16,FALSE)-AVERAGE(Rankings!Y2:Y651))/STDEV(Rankings!Y2:Y651)</f>
        <v>-0.20303696781627575</v>
      </c>
      <c r="S171" s="118">
        <f>(VLOOKUP($A171,Hitters!$A1:$R401,17,FALSE)-AVERAGE(Rankings!Z2:Z651))/STDEV(Rankings!Z2:Z651)</f>
        <v>-0.42039974024332194</v>
      </c>
      <c r="T171" s="118">
        <f>IFERROR((VLOOKUP($A171,Hitters!$A1:$R401,18,FALSE)-AVERAGE(Rankings!AA2:AA651))/STDEV(Rankings!AA2:AA651),0)</f>
        <v>0</v>
      </c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</row>
    <row r="172" spans="1:37" ht="18.600000000000001" customHeight="1">
      <c r="A172" s="26" t="s">
        <v>452</v>
      </c>
      <c r="B172" s="27" t="s">
        <v>176</v>
      </c>
      <c r="C172" s="121" t="s">
        <v>19</v>
      </c>
      <c r="D172" s="67">
        <f>(F172*Settings!$C$2)+(G172*Settings!$C$3)+(H172*Settings!$C$4)+(I172*Settings!$C$5)+(J172*Settings!$C$6)+(M172*Settings!$C$9)+(N172*Settings!$C$10)+(O172*Settings!$C$11)+(P172*Settings!$C$12)+(Q172*Settings!$C$13)+(T172*Settings!$C$16)+(K172*Settings!$C$7)+(L172*Settings!$C$8)+(R172*Settings!$C$14)+(S172*Settings!$C$15)</f>
        <v>-1.9323480131909516</v>
      </c>
      <c r="E172" s="67"/>
      <c r="F172" s="118">
        <f>(VLOOKUP($A172,Hitters!$A1:$R401,4,FALSE)-AVERAGE(Rankings!M2:M651))/STDEV(Rankings!M2:M651)</f>
        <v>-0.4266698085466501</v>
      </c>
      <c r="G172" s="118">
        <f>(VLOOKUP($A172,Hitters!$A1:$R401,5,FALSE)-AVERAGE(Rankings!N2:N651))/STDEV(Rankings!N2:N651)</f>
        <v>-0.57126935805917101</v>
      </c>
      <c r="H172" s="118">
        <f>(VLOOKUP($A172,Hitters!$A1:$R401,6,FALSE)-AVERAGE(Rankings!O2:O651))/STDEV(Rankings!O2:O651)</f>
        <v>-0.34268842030149782</v>
      </c>
      <c r="I172" s="118">
        <f>(VLOOKUP($A172,Hitters!$A1:$R401,7,FALSE)-AVERAGE(Rankings!P2:P651))/STDEV(Rankings!P2:P651)</f>
        <v>-0.34023937658946773</v>
      </c>
      <c r="J172" s="118">
        <f>(VLOOKUP($A172,Hitters!$A1:$R401,8,FALSE)-AVERAGE(Rankings!Q2:Q651))/STDEV(Rankings!Q2:Q651)</f>
        <v>-0.87644550422887291</v>
      </c>
      <c r="K172" s="157">
        <f>(VLOOKUP($A172,Hitters!$A$1:$R$401,14,FALSE)-AVERAGE(Rankings!R$2:R$651))/STDEV(Rankings!R$2:R$651)</f>
        <v>0.19829464598805796</v>
      </c>
      <c r="L172" s="157">
        <f>(VLOOKUP($A172,Hitters!$A$1:$R$401,15,FALSE)-AVERAGE(Rankings!S$2:S$651))/STDEV(Rankings!S$2:S$651)</f>
        <v>-0.2921977925459659</v>
      </c>
      <c r="M172" s="157">
        <f>(VLOOKUP($A172,Hitters!$A$1:$R$401,9,FALSE)-AVERAGE(Rankings!T$2:T$651))/STDEV(Rankings!T$2:T$651)</f>
        <v>-0.37532805340985137</v>
      </c>
      <c r="N172" s="157">
        <f>(VLOOKUP($A172,Hitters!$A$1:$R$401,10,FALSE)-AVERAGE(Rankings!U$2:U$651))/STDEV(Rankings!U$2:U$651)</f>
        <v>-0.42918522159285843</v>
      </c>
      <c r="O172" s="157">
        <f>(VLOOKUP($A172,Hitters!$A$1:$R$401,11,FALSE)-AVERAGE(Rankings!V$2:V$651))/STDEV(Rankings!V$2:V$651)</f>
        <v>-0.52972087348302421</v>
      </c>
      <c r="P172" s="157">
        <f>(VLOOKUP($A172,Hitters!$A$1:$R$401,12,FALSE)-AVERAGE(Rankings!W$2:W$651))/STDEV(Rankings!W$2:W$651)</f>
        <v>-0.63530997201371886</v>
      </c>
      <c r="Q172" s="157">
        <f>(VLOOKUP($A172,Hitters!$A$1:$R$401,13,FALSE)-AVERAGE(Rankings!X$2:X$651))/STDEV(Rankings!X$2:X$651)</f>
        <v>-0.66381047182783592</v>
      </c>
      <c r="R172" s="118">
        <f>(VLOOKUP($A172,Hitters!$A1:$R401,16,FALSE)-AVERAGE(Rankings!Y2:Y651))/STDEV(Rankings!Y2:Y651)</f>
        <v>-2.7529803676531399E-2</v>
      </c>
      <c r="S172" s="118">
        <f>(VLOOKUP($A172,Hitters!$A1:$R401,17,FALSE)-AVERAGE(Rankings!Z2:Z651))/STDEV(Rankings!Z2:Z651)</f>
        <v>-0.13010338522655829</v>
      </c>
      <c r="T172" s="118">
        <f>IFERROR((VLOOKUP($A172,Hitters!$A1:$R401,18,FALSE)-AVERAGE(Rankings!AA2:AA651))/STDEV(Rankings!AA2:AA651),0)</f>
        <v>0</v>
      </c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</row>
    <row r="173" spans="1:37" ht="18.600000000000001" customHeight="1">
      <c r="A173" s="26" t="s">
        <v>483</v>
      </c>
      <c r="B173" s="27" t="s">
        <v>63</v>
      </c>
      <c r="C173" s="121" t="s">
        <v>19</v>
      </c>
      <c r="D173" s="67">
        <f>(F173*Settings!$C$2)+(G173*Settings!$C$3)+(H173*Settings!$C$4)+(I173*Settings!$C$5)+(J173*Settings!$C$6)+(M173*Settings!$C$9)+(N173*Settings!$C$10)+(O173*Settings!$C$11)+(P173*Settings!$C$12)+(Q173*Settings!$C$13)+(T173*Settings!$C$16)+(K173*Settings!$C$7)+(L173*Settings!$C$8)+(R173*Settings!$C$14)+(S173*Settings!$C$15)</f>
        <v>-3.0877515541670855</v>
      </c>
      <c r="E173" s="67"/>
      <c r="F173" s="118">
        <f>(VLOOKUP($A173,Hitters!$A1:$R401,4,FALSE)-AVERAGE(Rankings!M2:M651))/STDEV(Rankings!M2:M651)</f>
        <v>-0.74718394366183261</v>
      </c>
      <c r="G173" s="118">
        <f>(VLOOKUP($A173,Hitters!$A1:$R401,5,FALSE)-AVERAGE(Rankings!N2:N651))/STDEV(Rankings!N2:N651)</f>
        <v>-0.81455584610022658</v>
      </c>
      <c r="H173" s="118">
        <f>(VLOOKUP($A173,Hitters!$A1:$R401,6,FALSE)-AVERAGE(Rankings!O2:O651))/STDEV(Rankings!O2:O651)</f>
        <v>-1.035859759810678</v>
      </c>
      <c r="I173" s="118">
        <f>(VLOOKUP($A173,Hitters!$A1:$R401,7,FALSE)-AVERAGE(Rankings!P2:P651))/STDEV(Rankings!P2:P651)</f>
        <v>-0.79460930369400462</v>
      </c>
      <c r="J173" s="118">
        <f>(VLOOKUP($A173,Hitters!$A1:$R401,8,FALSE)-AVERAGE(Rankings!Q2:Q651))/STDEV(Rankings!Q2:Q651)</f>
        <v>-0.68558615624397456</v>
      </c>
      <c r="K173" s="157">
        <f>(VLOOKUP($A173,Hitters!$A$1:$R$401,14,FALSE)-AVERAGE(Rankings!R$2:R$651))/STDEV(Rankings!R$2:R$651)</f>
        <v>0.24285951168179795</v>
      </c>
      <c r="L173" s="157">
        <f>(VLOOKUP($A173,Hitters!$A$1:$R$401,15,FALSE)-AVERAGE(Rankings!S$2:S$651))/STDEV(Rankings!S$2:S$651)</f>
        <v>0.22110605977730746</v>
      </c>
      <c r="M173" s="157">
        <f>(VLOOKUP($A173,Hitters!$A$1:$R$401,9,FALSE)-AVERAGE(Rankings!T$2:T$651))/STDEV(Rankings!T$2:T$651)</f>
        <v>-0.65377139290007324</v>
      </c>
      <c r="N173" s="157">
        <f>(VLOOKUP($A173,Hitters!$A$1:$R$401,10,FALSE)-AVERAGE(Rankings!U$2:U$651))/STDEV(Rankings!U$2:U$651)</f>
        <v>-0.64885413513567436</v>
      </c>
      <c r="O173" s="157">
        <f>(VLOOKUP($A173,Hitters!$A$1:$R$401,11,FALSE)-AVERAGE(Rankings!V$2:V$651))/STDEV(Rankings!V$2:V$651)</f>
        <v>-0.56548776501427001</v>
      </c>
      <c r="P173" s="157">
        <f>(VLOOKUP($A173,Hitters!$A$1:$R$401,12,FALSE)-AVERAGE(Rankings!W$2:W$651))/STDEV(Rankings!W$2:W$651)</f>
        <v>-0.53326597418443333</v>
      </c>
      <c r="Q173" s="157">
        <f>(VLOOKUP($A173,Hitters!$A$1:$R$401,13,FALSE)-AVERAGE(Rankings!X$2:X$651))/STDEV(Rankings!X$2:X$651)</f>
        <v>-1.2141888165916879</v>
      </c>
      <c r="R173" s="118">
        <f>(VLOOKUP($A173,Hitters!$A1:$R401,16,FALSE)-AVERAGE(Rankings!Y2:Y651))/STDEV(Rankings!Y2:Y651)</f>
        <v>-0.96624990002117306</v>
      </c>
      <c r="S173" s="118">
        <f>(VLOOKUP($A173,Hitters!$A1:$R401,17,FALSE)-AVERAGE(Rankings!Z2:Z651))/STDEV(Rankings!Z2:Z651)</f>
        <v>-0.6231804385822608</v>
      </c>
      <c r="T173" s="118">
        <f>IFERROR((VLOOKUP($A173,Hitters!$A1:$R401,18,FALSE)-AVERAGE(Rankings!AA2:AA651))/STDEV(Rankings!AA2:AA651),0)</f>
        <v>0</v>
      </c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</row>
    <row r="174" spans="1:37" ht="18.600000000000001" customHeight="1">
      <c r="A174" s="26" t="s">
        <v>492</v>
      </c>
      <c r="B174" s="27" t="s">
        <v>84</v>
      </c>
      <c r="C174" s="121" t="s">
        <v>19</v>
      </c>
      <c r="D174" s="67">
        <f>(F174*Settings!$C$2)+(G174*Settings!$C$3)+(H174*Settings!$C$4)+(I174*Settings!$C$5)+(J174*Settings!$C$6)+(M174*Settings!$C$9)+(N174*Settings!$C$10)+(O174*Settings!$C$11)+(P174*Settings!$C$12)+(Q174*Settings!$C$13)+(T174*Settings!$C$16)+(K174*Settings!$C$7)+(L174*Settings!$C$8)+(R174*Settings!$C$14)+(S174*Settings!$C$15)</f>
        <v>-3.2636162381615068</v>
      </c>
      <c r="E174" s="67"/>
      <c r="F174" s="118">
        <f>(VLOOKUP($A174,Hitters!$A1:$R401,4,FALSE)-AVERAGE(Rankings!M2:M651))/STDEV(Rankings!M2:M651)</f>
        <v>-0.86707574746529748</v>
      </c>
      <c r="G174" s="118">
        <f>(VLOOKUP($A174,Hitters!$A1:$R401,5,FALSE)-AVERAGE(Rankings!N2:N651))/STDEV(Rankings!N2:N651)</f>
        <v>-0.8156968457835877</v>
      </c>
      <c r="H174" s="118">
        <f>(VLOOKUP($A174,Hitters!$A1:$R401,6,FALSE)-AVERAGE(Rankings!O2:O651))/STDEV(Rankings!O2:O651)</f>
        <v>-0.52763163268184887</v>
      </c>
      <c r="I174" s="118">
        <f>(VLOOKUP($A174,Hitters!$A1:$R401,7,FALSE)-AVERAGE(Rankings!P2:P651))/STDEV(Rankings!P2:P651)</f>
        <v>-0.7251252178215315</v>
      </c>
      <c r="J174" s="118">
        <f>(VLOOKUP($A174,Hitters!$A1:$R401,8,FALSE)-AVERAGE(Rankings!Q2:Q651))/STDEV(Rankings!Q2:Q651)</f>
        <v>-0.68273514523673118</v>
      </c>
      <c r="K174" s="157">
        <f>(VLOOKUP($A174,Hitters!$A$1:$R$401,14,FALSE)-AVERAGE(Rankings!R$2:R$651))/STDEV(Rankings!R$2:R$651)</f>
        <v>-0.51242739663780723</v>
      </c>
      <c r="L174" s="157">
        <f>(VLOOKUP($A174,Hitters!$A$1:$R$401,15,FALSE)-AVERAGE(Rankings!S$2:S$651))/STDEV(Rankings!S$2:S$651)</f>
        <v>-0.17773447719370095</v>
      </c>
      <c r="M174" s="157">
        <f>(VLOOKUP($A174,Hitters!$A$1:$R$401,9,FALSE)-AVERAGE(Rankings!T$2:T$651))/STDEV(Rankings!T$2:T$651)</f>
        <v>-0.86602995926312121</v>
      </c>
      <c r="N174" s="157">
        <f>(VLOOKUP($A174,Hitters!$A$1:$R$401,10,FALSE)-AVERAGE(Rankings!U$2:U$651))/STDEV(Rankings!U$2:U$651)</f>
        <v>-0.98621050774599284</v>
      </c>
      <c r="O174" s="157">
        <f>(VLOOKUP($A174,Hitters!$A$1:$R$401,11,FALSE)-AVERAGE(Rankings!V$2:V$651))/STDEV(Rankings!V$2:V$651)</f>
        <v>-0.5521347921759383</v>
      </c>
      <c r="P174" s="157">
        <f>(VLOOKUP($A174,Hitters!$A$1:$R$401,12,FALSE)-AVERAGE(Rankings!W$2:W$651))/STDEV(Rankings!W$2:W$651)</f>
        <v>-0.51861717108245442</v>
      </c>
      <c r="Q174" s="157">
        <f>(VLOOKUP($A174,Hitters!$A$1:$R$401,13,FALSE)-AVERAGE(Rankings!X$2:X$651))/STDEV(Rankings!X$2:X$651)</f>
        <v>-0.90925972445360992</v>
      </c>
      <c r="R174" s="118">
        <f>(VLOOKUP($A174,Hitters!$A1:$R401,16,FALSE)-AVERAGE(Rankings!Y2:Y651))/STDEV(Rankings!Y2:Y651)</f>
        <v>-0.3212530188798709</v>
      </c>
      <c r="S174" s="118">
        <f>(VLOOKUP($A174,Hitters!$A1:$R401,17,FALSE)-AVERAGE(Rankings!Z2:Z651))/STDEV(Rankings!Z2:Z651)</f>
        <v>-0.30175704225916877</v>
      </c>
      <c r="T174" s="118">
        <f>IFERROR((VLOOKUP($A174,Hitters!$A1:$R401,18,FALSE)-AVERAGE(Rankings!AA2:AA651))/STDEV(Rankings!AA2:AA651),0)</f>
        <v>0</v>
      </c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</row>
    <row r="175" spans="1:37" ht="18.600000000000001" customHeight="1">
      <c r="A175" s="26" t="s">
        <v>487</v>
      </c>
      <c r="B175" s="27" t="s">
        <v>120</v>
      </c>
      <c r="C175" s="121" t="s">
        <v>19</v>
      </c>
      <c r="D175" s="67">
        <f>(F175*Settings!$C$2)+(G175*Settings!$C$3)+(H175*Settings!$C$4)+(I175*Settings!$C$5)+(J175*Settings!$C$6)+(M175*Settings!$C$9)+(N175*Settings!$C$10)+(O175*Settings!$C$11)+(P175*Settings!$C$12)+(Q175*Settings!$C$13)+(T175*Settings!$C$16)+(K175*Settings!$C$7)+(L175*Settings!$C$8)+(R175*Settings!$C$14)+(S175*Settings!$C$15)</f>
        <v>-1.6865500789365275</v>
      </c>
      <c r="E175" s="67"/>
      <c r="F175" s="118">
        <f>(VLOOKUP($A175,Hitters!$A1:$R401,4,FALSE)-AVERAGE(Rankings!M2:M651))/STDEV(Rankings!M2:M651)</f>
        <v>-0.72830035088517731</v>
      </c>
      <c r="G175" s="118">
        <f>(VLOOKUP($A175,Hitters!$A1:$R401,5,FALSE)-AVERAGE(Rankings!N2:N651))/STDEV(Rankings!N2:N651)</f>
        <v>-0.76300801596083456</v>
      </c>
      <c r="H175" s="118">
        <f>(VLOOKUP($A175,Hitters!$A1:$R401,6,FALSE)-AVERAGE(Rankings!O2:O651))/STDEV(Rankings!O2:O651)</f>
        <v>-0.97421202235056092</v>
      </c>
      <c r="I175" s="118">
        <f>(VLOOKUP($A175,Hitters!$A1:$R401,7,FALSE)-AVERAGE(Rankings!P2:P651))/STDEV(Rankings!P2:P651)</f>
        <v>-0.69677163845818579</v>
      </c>
      <c r="J175" s="118">
        <f>(VLOOKUP($A175,Hitters!$A1:$R401,8,FALSE)-AVERAGE(Rankings!Q2:Q651))/STDEV(Rankings!Q2:Q651)</f>
        <v>-0.54430272188502893</v>
      </c>
      <c r="K175" s="157">
        <f>(VLOOKUP($A175,Hitters!$A$1:$R$401,14,FALSE)-AVERAGE(Rankings!R$2:R$651))/STDEV(Rankings!R$2:R$651)</f>
        <v>1.2917443197180831</v>
      </c>
      <c r="L175" s="157">
        <f>(VLOOKUP($A175,Hitters!$A$1:$R$401,15,FALSE)-AVERAGE(Rankings!S$2:S$651))/STDEV(Rankings!S$2:S$651)</f>
        <v>0.45607925257039045</v>
      </c>
      <c r="M175" s="157">
        <f>(VLOOKUP($A175,Hitters!$A$1:$R$401,9,FALSE)-AVERAGE(Rankings!T$2:T$651))/STDEV(Rankings!T$2:T$651)</f>
        <v>-0.48082828918894449</v>
      </c>
      <c r="N175" s="157">
        <f>(VLOOKUP($A175,Hitters!$A$1:$R$401,10,FALSE)-AVERAGE(Rankings!U$2:U$651))/STDEV(Rankings!U$2:U$651)</f>
        <v>-0.60037349995613021</v>
      </c>
      <c r="O175" s="157">
        <f>(VLOOKUP($A175,Hitters!$A$1:$R$401,11,FALSE)-AVERAGE(Rankings!V$2:V$651))/STDEV(Rankings!V$2:V$651)</f>
        <v>-0.56262641369177036</v>
      </c>
      <c r="P175" s="157">
        <f>(VLOOKUP($A175,Hitters!$A$1:$R$401,12,FALSE)-AVERAGE(Rankings!W$2:W$651))/STDEV(Rankings!W$2:W$651)</f>
        <v>-0.86160443352114968</v>
      </c>
      <c r="Q175" s="157">
        <f>(VLOOKUP($A175,Hitters!$A$1:$R$401,13,FALSE)-AVERAGE(Rankings!X$2:X$651))/STDEV(Rankings!X$2:X$651)</f>
        <v>-1.1105103942077406</v>
      </c>
      <c r="R175" s="118">
        <f>(VLOOKUP($A175,Hitters!$A1:$R401,16,FALSE)-AVERAGE(Rankings!Y2:Y651))/STDEV(Rankings!Y2:Y651)</f>
        <v>-0.37233376109969879</v>
      </c>
      <c r="S175" s="118">
        <f>(VLOOKUP($A175,Hitters!$A1:$R401,17,FALSE)-AVERAGE(Rankings!Z2:Z651))/STDEV(Rankings!Z2:Z651)</f>
        <v>-0.10052246900859117</v>
      </c>
      <c r="T175" s="118">
        <f>IFERROR((VLOOKUP($A175,Hitters!$A1:$R401,18,FALSE)-AVERAGE(Rankings!AA2:AA651))/STDEV(Rankings!AA2:AA651),0)</f>
        <v>0</v>
      </c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</row>
    <row r="176" spans="1:37" ht="18.600000000000001" customHeight="1">
      <c r="A176" s="26" t="s">
        <v>510</v>
      </c>
      <c r="B176" s="27" t="s">
        <v>68</v>
      </c>
      <c r="C176" s="121" t="s">
        <v>19</v>
      </c>
      <c r="D176" s="67">
        <f>(F176*Settings!$C$2)+(G176*Settings!$C$3)+(H176*Settings!$C$4)+(I176*Settings!$C$5)+(J176*Settings!$C$6)+(M176*Settings!$C$9)+(N176*Settings!$C$10)+(O176*Settings!$C$11)+(P176*Settings!$C$12)+(Q176*Settings!$C$13)+(T176*Settings!$C$16)+(K176*Settings!$C$7)+(L176*Settings!$C$8)+(R176*Settings!$C$14)+(S176*Settings!$C$15)</f>
        <v>-3.2542190813720158</v>
      </c>
      <c r="E176" s="67"/>
      <c r="F176" s="118">
        <f>(VLOOKUP($A176,Hitters!$A1:$R401,4,FALSE)-AVERAGE(Rankings!M2:M651))/STDEV(Rankings!M2:M651)</f>
        <v>-0.44263848431751346</v>
      </c>
      <c r="G176" s="118">
        <f>(VLOOKUP($A176,Hitters!$A1:$R401,5,FALSE)-AVERAGE(Rankings!N2:N651))/STDEV(Rankings!N2:N651)</f>
        <v>-0.79962142802245861</v>
      </c>
      <c r="H176" s="118">
        <f>(VLOOKUP($A176,Hitters!$A1:$R401,6,FALSE)-AVERAGE(Rankings!O2:O651))/STDEV(Rankings!O2:O651)</f>
        <v>-0.63915482779331478</v>
      </c>
      <c r="I176" s="118">
        <f>(VLOOKUP($A176,Hitters!$A1:$R401,7,FALSE)-AVERAGE(Rankings!P2:P651))/STDEV(Rankings!P2:P651)</f>
        <v>-0.60020657552772327</v>
      </c>
      <c r="J176" s="118">
        <f>(VLOOKUP($A176,Hitters!$A1:$R401,8,FALSE)-AVERAGE(Rankings!Q2:Q651))/STDEV(Rankings!Q2:Q651)</f>
        <v>-0.68400226123995056</v>
      </c>
      <c r="K176" s="157">
        <f>(VLOOKUP($A176,Hitters!$A$1:$R$401,14,FALSE)-AVERAGE(Rankings!R$2:R$651))/STDEV(Rankings!R$2:R$651)</f>
        <v>-0.53123398878856887</v>
      </c>
      <c r="L176" s="157">
        <f>(VLOOKUP($A176,Hitters!$A$1:$R$401,15,FALSE)-AVERAGE(Rankings!S$2:S$651))/STDEV(Rankings!S$2:S$651)</f>
        <v>-1.7056020963574843</v>
      </c>
      <c r="M176" s="157">
        <f>(VLOOKUP($A176,Hitters!$A$1:$R$401,9,FALSE)-AVERAGE(Rankings!T$2:T$651))/STDEV(Rankings!T$2:T$651)</f>
        <v>-0.51225070467226896</v>
      </c>
      <c r="N176" s="157">
        <f>(VLOOKUP($A176,Hitters!$A$1:$R$401,10,FALSE)-AVERAGE(Rankings!U$2:U$651))/STDEV(Rankings!U$2:U$651)</f>
        <v>-0.64914100279945863</v>
      </c>
      <c r="O176" s="157">
        <f>(VLOOKUP($A176,Hitters!$A$1:$R$401,11,FALSE)-AVERAGE(Rankings!V$2:V$651))/STDEV(Rankings!V$2:V$651)</f>
        <v>-0.53687425178927339</v>
      </c>
      <c r="P176" s="157">
        <f>(VLOOKUP($A176,Hitters!$A$1:$R$401,12,FALSE)-AVERAGE(Rankings!W$2:W$651))/STDEV(Rankings!W$2:W$651)</f>
        <v>-1.1811722718923496</v>
      </c>
      <c r="Q176" s="157">
        <f>(VLOOKUP($A176,Hitters!$A$1:$R$401,13,FALSE)-AVERAGE(Rankings!X$2:X$651))/STDEV(Rankings!X$2:X$651)</f>
        <v>-0.8232987010733277</v>
      </c>
      <c r="R176" s="118">
        <f>(VLOOKUP($A176,Hitters!$A1:$R401,16,FALSE)-AVERAGE(Rankings!Y2:Y651))/STDEV(Rankings!Y2:Y651)</f>
        <v>-0.95809554157305754</v>
      </c>
      <c r="S176" s="118">
        <f>(VLOOKUP($A176,Hitters!$A1:$R401,17,FALSE)-AVERAGE(Rankings!Z2:Z651))/STDEV(Rankings!Z2:Z651)</f>
        <v>-1.3424682579640028</v>
      </c>
      <c r="T176" s="118">
        <f>IFERROR((VLOOKUP($A176,Hitters!$A1:$R401,18,FALSE)-AVERAGE(Rankings!AA2:AA651))/STDEV(Rankings!AA2:AA651),0)</f>
        <v>0</v>
      </c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</row>
    <row r="177" spans="1:37" ht="18.600000000000001" customHeight="1">
      <c r="A177" s="26" t="s">
        <v>503</v>
      </c>
      <c r="B177" s="27" t="s">
        <v>134</v>
      </c>
      <c r="C177" s="121" t="s">
        <v>19</v>
      </c>
      <c r="D177" s="67">
        <f>(F177*Settings!$C$2)+(G177*Settings!$C$3)+(H177*Settings!$C$4)+(I177*Settings!$C$5)+(J177*Settings!$C$6)+(M177*Settings!$C$9)+(N177*Settings!$C$10)+(O177*Settings!$C$11)+(P177*Settings!$C$12)+(Q177*Settings!$C$13)+(T177*Settings!$C$16)+(K177*Settings!$C$7)+(L177*Settings!$C$8)+(R177*Settings!$C$14)+(S177*Settings!$C$15)</f>
        <v>-3.2048879873629277</v>
      </c>
      <c r="E177" s="67"/>
      <c r="F177" s="118">
        <f>(VLOOKUP($A177,Hitters!$A1:$R401,4,FALSE)-AVERAGE(Rankings!M2:M651))/STDEV(Rankings!M2:M651)</f>
        <v>-1.0455193624285946</v>
      </c>
      <c r="G177" s="118">
        <f>(VLOOKUP($A177,Hitters!$A1:$R401,5,FALSE)-AVERAGE(Rankings!N2:N651))/STDEV(Rankings!N2:N651)</f>
        <v>-0.95216040791354684</v>
      </c>
      <c r="H177" s="118">
        <f>(VLOOKUP($A177,Hitters!$A1:$R401,6,FALSE)-AVERAGE(Rankings!O2:O651))/STDEV(Rankings!O2:O651)</f>
        <v>-0.67349644877392245</v>
      </c>
      <c r="I177" s="118">
        <f>(VLOOKUP($A177,Hitters!$A1:$R401,7,FALSE)-AVERAGE(Rankings!P2:P651))/STDEV(Rankings!P2:P651)</f>
        <v>-0.8985045559033209</v>
      </c>
      <c r="J177" s="118">
        <f>(VLOOKUP($A177,Hitters!$A1:$R401,8,FALSE)-AVERAGE(Rankings!Q2:Q651))/STDEV(Rankings!Q2:Q651)</f>
        <v>-0.39549578625696924</v>
      </c>
      <c r="K177" s="157">
        <f>(VLOOKUP($A177,Hitters!$A$1:$R$401,14,FALSE)-AVERAGE(Rankings!R$2:R$651))/STDEV(Rankings!R$2:R$651)</f>
        <v>-0.28523078851516825</v>
      </c>
      <c r="L177" s="157">
        <f>(VLOOKUP($A177,Hitters!$A$1:$R$401,15,FALSE)-AVERAGE(Rankings!S$2:S$651))/STDEV(Rankings!S$2:S$651)</f>
        <v>-0.52619013211934451</v>
      </c>
      <c r="M177" s="157">
        <f>(VLOOKUP($A177,Hitters!$A$1:$R$401,9,FALSE)-AVERAGE(Rankings!T$2:T$651))/STDEV(Rankings!T$2:T$651)</f>
        <v>-0.98718149350745477</v>
      </c>
      <c r="N177" s="157">
        <f>(VLOOKUP($A177,Hitters!$A$1:$R$401,10,FALSE)-AVERAGE(Rankings!U$2:U$651))/STDEV(Rankings!U$2:U$651)</f>
        <v>-1.1401150093662618</v>
      </c>
      <c r="O177" s="157">
        <f>(VLOOKUP($A177,Hitters!$A$1:$R$401,11,FALSE)-AVERAGE(Rankings!V$2:V$651))/STDEV(Rankings!V$2:V$651)</f>
        <v>-0.55308857595010485</v>
      </c>
      <c r="P177" s="157">
        <f>(VLOOKUP($A177,Hitters!$A$1:$R$401,12,FALSE)-AVERAGE(Rankings!W$2:W$651))/STDEV(Rankings!W$2:W$651)</f>
        <v>-0.91366833244410717</v>
      </c>
      <c r="Q177" s="157">
        <f>(VLOOKUP($A177,Hitters!$A$1:$R$401,13,FALSE)-AVERAGE(Rankings!X$2:X$651))/STDEV(Rankings!X$2:X$651)</f>
        <v>-1.2215288818932062</v>
      </c>
      <c r="R177" s="118">
        <f>(VLOOKUP($A177,Hitters!$A1:$R401,16,FALSE)-AVERAGE(Rankings!Y2:Y651))/STDEV(Rankings!Y2:Y651)</f>
        <v>-0.31362076973102904</v>
      </c>
      <c r="S177" s="118">
        <f>(VLOOKUP($A177,Hitters!$A1:$R401,17,FALSE)-AVERAGE(Rankings!Z2:Z651))/STDEV(Rankings!Z2:Z651)</f>
        <v>-0.42734244412201744</v>
      </c>
      <c r="T177" s="118">
        <f>IFERROR((VLOOKUP($A177,Hitters!$A1:$R401,18,FALSE)-AVERAGE(Rankings!AA2:AA651))/STDEV(Rankings!AA2:AA651),0)</f>
        <v>0</v>
      </c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</row>
    <row r="178" spans="1:37" ht="18.600000000000001" customHeight="1">
      <c r="A178" s="26" t="s">
        <v>523</v>
      </c>
      <c r="B178" s="27" t="s">
        <v>258</v>
      </c>
      <c r="C178" s="121" t="s">
        <v>19</v>
      </c>
      <c r="D178" s="67">
        <f>(F178*Settings!$C$2)+(G178*Settings!$C$3)+(H178*Settings!$C$4)+(I178*Settings!$C$5)+(J178*Settings!$C$6)+(M178*Settings!$C$9)+(N178*Settings!$C$10)+(O178*Settings!$C$11)+(P178*Settings!$C$12)+(Q178*Settings!$C$13)+(T178*Settings!$C$16)+(K178*Settings!$C$7)+(L178*Settings!$C$8)+(R178*Settings!$C$14)+(S178*Settings!$C$15)</f>
        <v>-3.1908971388820881</v>
      </c>
      <c r="E178" s="67"/>
      <c r="F178" s="118">
        <f>(VLOOKUP($A178,Hitters!$A1:$R401,4,FALSE)-AVERAGE(Rankings!M2:M651))/STDEV(Rankings!M2:M651)</f>
        <v>-0.67980289113662962</v>
      </c>
      <c r="G178" s="118">
        <f>(VLOOKUP($A178,Hitters!$A1:$R401,5,FALSE)-AVERAGE(Rankings!N2:N651))/STDEV(Rankings!N2:N651)</f>
        <v>-0.75727766199551105</v>
      </c>
      <c r="H178" s="118">
        <f>(VLOOKUP($A178,Hitters!$A1:$R401,6,FALSE)-AVERAGE(Rankings!O2:O651))/STDEV(Rankings!O2:O651)</f>
        <v>-0.10236673189765191</v>
      </c>
      <c r="I178" s="118">
        <f>(VLOOKUP($A178,Hitters!$A1:$R401,7,FALSE)-AVERAGE(Rankings!P2:P651))/STDEV(Rankings!P2:P651)</f>
        <v>-0.46128930787499217</v>
      </c>
      <c r="J178" s="118">
        <f>(VLOOKUP($A178,Hitters!$A1:$R401,8,FALSE)-AVERAGE(Rankings!Q2:Q651))/STDEV(Rankings!Q2:Q651)</f>
        <v>-0.82599844835070679</v>
      </c>
      <c r="K178" s="157">
        <f>(VLOOKUP($A178,Hitters!$A$1:$R$401,14,FALSE)-AVERAGE(Rankings!R$2:R$651))/STDEV(Rankings!R$2:R$651)</f>
        <v>-1.0439649887632263</v>
      </c>
      <c r="L178" s="157">
        <f>(VLOOKUP($A178,Hitters!$A$1:$R$401,15,FALSE)-AVERAGE(Rankings!S$2:S$651))/STDEV(Rankings!S$2:S$651)</f>
        <v>-1.2001107332356273</v>
      </c>
      <c r="M178" s="157">
        <f>(VLOOKUP($A178,Hitters!$A$1:$R$401,9,FALSE)-AVERAGE(Rankings!T$2:T$651))/STDEV(Rankings!T$2:T$651)</f>
        <v>-0.78939101740031337</v>
      </c>
      <c r="N178" s="157">
        <f>(VLOOKUP($A178,Hitters!$A$1:$R$401,10,FALSE)-AVERAGE(Rankings!U$2:U$651))/STDEV(Rankings!U$2:U$651)</f>
        <v>-0.8784916999949941</v>
      </c>
      <c r="O178" s="157">
        <f>(VLOOKUP($A178,Hitters!$A$1:$R$401,11,FALSE)-AVERAGE(Rankings!V$2:V$651))/STDEV(Rankings!V$2:V$651)</f>
        <v>-0.5521347921759383</v>
      </c>
      <c r="P178" s="157">
        <f>(VLOOKUP($A178,Hitters!$A$1:$R$401,12,FALSE)-AVERAGE(Rankings!W$2:W$651))/STDEV(Rankings!W$2:W$651)</f>
        <v>-0.74808398485400796</v>
      </c>
      <c r="Q178" s="157">
        <f>(VLOOKUP($A178,Hitters!$A$1:$R$401,13,FALSE)-AVERAGE(Rankings!X$2:X$651))/STDEV(Rankings!X$2:X$651)</f>
        <v>1.3484562406020117E-2</v>
      </c>
      <c r="R178" s="118">
        <f>(VLOOKUP($A178,Hitters!$A1:$R401,16,FALSE)-AVERAGE(Rankings!Y2:Y651))/STDEV(Rankings!Y2:Y651)</f>
        <v>5.1269027360560443E-3</v>
      </c>
      <c r="S178" s="118">
        <f>(VLOOKUP($A178,Hitters!$A1:$R401,17,FALSE)-AVERAGE(Rankings!Z2:Z651))/STDEV(Rankings!Z2:Z651)</f>
        <v>-0.44798382786750307</v>
      </c>
      <c r="T178" s="118">
        <f>IFERROR((VLOOKUP($A178,Hitters!$A1:$R401,18,FALSE)-AVERAGE(Rankings!AA2:AA651))/STDEV(Rankings!AA2:AA651),0)</f>
        <v>0</v>
      </c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</row>
    <row r="179" spans="1:37" ht="18.600000000000001" customHeight="1">
      <c r="A179" s="26" t="s">
        <v>535</v>
      </c>
      <c r="B179" s="27" t="s">
        <v>114</v>
      </c>
      <c r="C179" s="121" t="s">
        <v>19</v>
      </c>
      <c r="D179" s="67">
        <f>(F179*Settings!$C$2)+(G179*Settings!$C$3)+(H179*Settings!$C$4)+(I179*Settings!$C$5)+(J179*Settings!$C$6)+(M179*Settings!$C$9)+(N179*Settings!$C$10)+(O179*Settings!$C$11)+(P179*Settings!$C$12)+(Q179*Settings!$C$13)+(T179*Settings!$C$16)+(K179*Settings!$C$7)+(L179*Settings!$C$8)+(R179*Settings!$C$14)+(S179*Settings!$C$15)</f>
        <v>-3.2315837548599369</v>
      </c>
      <c r="E179" s="67"/>
      <c r="F179" s="118">
        <f>(VLOOKUP($A179,Hitters!$A1:$R401,4,FALSE)-AVERAGE(Rankings!M2:M651))/STDEV(Rankings!M2:M651)</f>
        <v>-0.64313408010724027</v>
      </c>
      <c r="G179" s="118">
        <f>(VLOOKUP($A179,Hitters!$A1:$R401,5,FALSE)-AVERAGE(Rankings!N2:N651))/STDEV(Rankings!N2:N651)</f>
        <v>-0.57836891164452731</v>
      </c>
      <c r="H179" s="118">
        <f>(VLOOKUP($A179,Hitters!$A1:$R401,6,FALSE)-AVERAGE(Rankings!O2:O651))/STDEV(Rankings!O2:O651)</f>
        <v>-0.19765950573430735</v>
      </c>
      <c r="I179" s="118">
        <f>(VLOOKUP($A179,Hitters!$A1:$R401,7,FALSE)-AVERAGE(Rankings!P2:P651))/STDEV(Rankings!P2:P651)</f>
        <v>-0.49992551386561995</v>
      </c>
      <c r="J179" s="118">
        <f>(VLOOKUP($A179,Hitters!$A1:$R401,8,FALSE)-AVERAGE(Rankings!Q2:Q651))/STDEV(Rankings!Q2:Q651)</f>
        <v>-0.82655281160211536</v>
      </c>
      <c r="K179" s="157">
        <f>(VLOOKUP($A179,Hitters!$A$1:$R$401,14,FALSE)-AVERAGE(Rankings!R$2:R$651))/STDEV(Rankings!R$2:R$651)</f>
        <v>-1.1290770120133669</v>
      </c>
      <c r="L179" s="157">
        <f>(VLOOKUP($A179,Hitters!$A$1:$R$401,15,FALSE)-AVERAGE(Rankings!S$2:S$651))/STDEV(Rankings!S$2:S$651)</f>
        <v>1.2870345323024885</v>
      </c>
      <c r="M179" s="157">
        <f>(VLOOKUP($A179,Hitters!$A$1:$R$401,9,FALSE)-AVERAGE(Rankings!T$2:T$651))/STDEV(Rankings!T$2:T$651)</f>
        <v>-0.77303578493711445</v>
      </c>
      <c r="N179" s="157">
        <f>(VLOOKUP($A179,Hitters!$A$1:$R$401,10,FALSE)-AVERAGE(Rankings!U$2:U$651))/STDEV(Rankings!U$2:U$651)</f>
        <v>-1.1165918609359502</v>
      </c>
      <c r="O179" s="157">
        <f>(VLOOKUP($A179,Hitters!$A$1:$R$401,11,FALSE)-AVERAGE(Rankings!V$2:V$651))/STDEV(Rankings!V$2:V$651)</f>
        <v>-1.4038637025066756</v>
      </c>
      <c r="P179" s="157">
        <f>(VLOOKUP($A179,Hitters!$A$1:$R$401,12,FALSE)-AVERAGE(Rankings!W$2:W$651))/STDEV(Rankings!W$2:W$651)</f>
        <v>0.90719966417684472</v>
      </c>
      <c r="Q179" s="157">
        <f>(VLOOKUP($A179,Hitters!$A$1:$R$401,13,FALSE)-AVERAGE(Rankings!X$2:X$651))/STDEV(Rankings!X$2:X$651)</f>
        <v>-0.42446739421582524</v>
      </c>
      <c r="R179" s="118">
        <f>(VLOOKUP($A179,Hitters!$A1:$R401,16,FALSE)-AVERAGE(Rankings!Y2:Y651))/STDEV(Rankings!Y2:Y651)</f>
        <v>-0.57521483813167995</v>
      </c>
      <c r="S179" s="118">
        <f>(VLOOKUP($A179,Hitters!$A1:$R401,17,FALSE)-AVERAGE(Rankings!Z2:Z651))/STDEV(Rankings!Z2:Z651)</f>
        <v>6.3939325865193603E-2</v>
      </c>
      <c r="T179" s="118">
        <f>IFERROR((VLOOKUP($A179,Hitters!$A1:$R401,18,FALSE)-AVERAGE(Rankings!AA2:AA651))/STDEV(Rankings!AA2:AA651),0)</f>
        <v>0</v>
      </c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</row>
    <row r="180" spans="1:37" ht="18.600000000000001" customHeight="1">
      <c r="A180" s="26" t="s">
        <v>519</v>
      </c>
      <c r="B180" s="27" t="s">
        <v>101</v>
      </c>
      <c r="C180" s="121" t="s">
        <v>19</v>
      </c>
      <c r="D180" s="67">
        <f>(F180*Settings!$C$2)+(G180*Settings!$C$3)+(H180*Settings!$C$4)+(I180*Settings!$C$5)+(J180*Settings!$C$6)+(M180*Settings!$C$9)+(N180*Settings!$C$10)+(O180*Settings!$C$11)+(P180*Settings!$C$12)+(Q180*Settings!$C$13)+(T180*Settings!$C$16)+(K180*Settings!$C$7)+(L180*Settings!$C$8)+(R180*Settings!$C$14)+(S180*Settings!$C$15)</f>
        <v>-3.2135805027154745</v>
      </c>
      <c r="E180" s="67"/>
      <c r="F180" s="118">
        <f>(VLOOKUP($A180,Hitters!$A1:$R401,4,FALSE)-AVERAGE(Rankings!M2:M651))/STDEV(Rankings!M2:M651)</f>
        <v>-0.84819215468864206</v>
      </c>
      <c r="G180" s="118">
        <f>(VLOOKUP($A180,Hitters!$A1:$R401,5,FALSE)-AVERAGE(Rankings!N2:N651))/STDEV(Rankings!N2:N651)</f>
        <v>-0.95375780747025196</v>
      </c>
      <c r="H180" s="118">
        <f>(VLOOKUP($A180,Hitters!$A1:$R401,6,FALSE)-AVERAGE(Rankings!O2:O651))/STDEV(Rankings!O2:O651)</f>
        <v>-0.54037913093631373</v>
      </c>
      <c r="I180" s="118">
        <f>(VLOOKUP($A180,Hitters!$A1:$R401,7,FALSE)-AVERAGE(Rankings!P2:P651))/STDEV(Rankings!P2:P651)</f>
        <v>-0.74238170508216761</v>
      </c>
      <c r="J180" s="118">
        <f>(VLOOKUP($A180,Hitters!$A1:$R401,8,FALSE)-AVERAGE(Rankings!Q2:Q651))/STDEV(Rankings!Q2:Q651)</f>
        <v>-0.53923425787215207</v>
      </c>
      <c r="K180" s="157">
        <f>(VLOOKUP($A180,Hitters!$A$1:$R$401,14,FALSE)-AVERAGE(Rankings!R$2:R$651))/STDEV(Rankings!R$2:R$651)</f>
        <v>-0.43782760135458904</v>
      </c>
      <c r="L180" s="157">
        <f>(VLOOKUP($A180,Hitters!$A$1:$R$401,15,FALSE)-AVERAGE(Rankings!S$2:S$651))/STDEV(Rankings!S$2:S$651)</f>
        <v>-1.4271824608675197</v>
      </c>
      <c r="M180" s="157">
        <f>(VLOOKUP($A180,Hitters!$A$1:$R$401,9,FALSE)-AVERAGE(Rankings!T$2:T$651))/STDEV(Rankings!T$2:T$651)</f>
        <v>-0.83965490031834777</v>
      </c>
      <c r="N180" s="157">
        <f>(VLOOKUP($A180,Hitters!$A$1:$R$401,10,FALSE)-AVERAGE(Rankings!U$2:U$651))/STDEV(Rankings!U$2:U$651)</f>
        <v>-0.84148577136682123</v>
      </c>
      <c r="O180" s="157">
        <f>(VLOOKUP($A180,Hitters!$A$1:$R$401,11,FALSE)-AVERAGE(Rankings!V$2:V$651))/STDEV(Rankings!V$2:V$651)</f>
        <v>-1.3022857305579369</v>
      </c>
      <c r="P180" s="157">
        <f>(VLOOKUP($A180,Hitters!$A$1:$R$401,12,FALSE)-AVERAGE(Rankings!W$2:W$651))/STDEV(Rankings!W$2:W$651)</f>
        <v>-1.2148551885790659</v>
      </c>
      <c r="Q180" s="157">
        <f>(VLOOKUP($A180,Hitters!$A$1:$R$401,13,FALSE)-AVERAGE(Rankings!X$2:X$651))/STDEV(Rankings!X$2:X$651)</f>
        <v>-0.63549427163447803</v>
      </c>
      <c r="R180" s="118">
        <f>(VLOOKUP($A180,Hitters!$A1:$R401,16,FALSE)-AVERAGE(Rankings!Y2:Y651))/STDEV(Rankings!Y2:Y651)</f>
        <v>-0.40090152871765566</v>
      </c>
      <c r="S180" s="118">
        <f>(VLOOKUP($A180,Hitters!$A1:$R401,17,FALSE)-AVERAGE(Rankings!Z2:Z651))/STDEV(Rankings!Z2:Z651)</f>
        <v>-0.83030361767721206</v>
      </c>
      <c r="T180" s="118">
        <f>IFERROR((VLOOKUP($A180,Hitters!$A1:$R401,18,FALSE)-AVERAGE(Rankings!AA2:AA651))/STDEV(Rankings!AA2:AA651),0)</f>
        <v>0</v>
      </c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</row>
    <row r="181" spans="1:37" ht="18.600000000000001" customHeight="1">
      <c r="A181" s="26" t="s">
        <v>568</v>
      </c>
      <c r="B181" s="27" t="s">
        <v>120</v>
      </c>
      <c r="C181" s="121" t="s">
        <v>19</v>
      </c>
      <c r="D181" s="67">
        <f>(F181*Settings!$C$2)+(G181*Settings!$C$3)+(H181*Settings!$C$4)+(I181*Settings!$C$5)+(J181*Settings!$C$6)+(M181*Settings!$C$9)+(N181*Settings!$C$10)+(O181*Settings!$C$11)+(P181*Settings!$C$12)+(Q181*Settings!$C$13)+(T181*Settings!$C$16)+(K181*Settings!$C$7)+(L181*Settings!$C$8)+(R181*Settings!$C$14)+(S181*Settings!$C$15)</f>
        <v>-3.5485386948881308</v>
      </c>
      <c r="E181" s="67"/>
      <c r="F181" s="118">
        <f>(VLOOKUP($A181,Hitters!$A1:$R401,4,FALSE)-AVERAGE(Rankings!M2:M651))/STDEV(Rankings!M2:M651)</f>
        <v>-0.72513196283540271</v>
      </c>
      <c r="G181" s="118">
        <f>(VLOOKUP($A181,Hitters!$A1:$R401,5,FALSE)-AVERAGE(Rankings!N2:N651))/STDEV(Rankings!N2:N651)</f>
        <v>-0.76944832528469387</v>
      </c>
      <c r="H181" s="118">
        <f>(VLOOKUP($A181,Hitters!$A1:$R401,6,FALSE)-AVERAGE(Rankings!O2:O651))/STDEV(Rankings!O2:O651)</f>
        <v>-0.53982186325305859</v>
      </c>
      <c r="I181" s="118">
        <f>(VLOOKUP($A181,Hitters!$A1:$R401,7,FALSE)-AVERAGE(Rankings!P2:P651))/STDEV(Rankings!P2:P651)</f>
        <v>-0.65930622658848614</v>
      </c>
      <c r="J181" s="118">
        <f>(VLOOKUP($A181,Hitters!$A1:$R401,8,FALSE)-AVERAGE(Rankings!Q2:Q651))/STDEV(Rankings!Q2:Q651)</f>
        <v>-0.82552327984949969</v>
      </c>
      <c r="K181" s="157">
        <f>(VLOOKUP($A181,Hitters!$A$1:$R$401,14,FALSE)-AVERAGE(Rankings!R$2:R$651))/STDEV(Rankings!R$2:R$651)</f>
        <v>-0.75443899991239238</v>
      </c>
      <c r="L181" s="157">
        <f>(VLOOKUP($A181,Hitters!$A$1:$R$401,15,FALSE)-AVERAGE(Rankings!S$2:S$651))/STDEV(Rankings!S$2:S$651)</f>
        <v>-0.21473325051766509</v>
      </c>
      <c r="M181" s="157">
        <f>(VLOOKUP($A181,Hitters!$A$1:$R$401,9,FALSE)-AVERAGE(Rankings!T$2:T$651))/STDEV(Rankings!T$2:T$651)</f>
        <v>-0.78272611039836859</v>
      </c>
      <c r="N181" s="157">
        <f>(VLOOKUP($A181,Hitters!$A$1:$R$401,10,FALSE)-AVERAGE(Rankings!U$2:U$651))/STDEV(Rankings!U$2:U$651)</f>
        <v>-0.70070546536468359</v>
      </c>
      <c r="O181" s="157">
        <f>(VLOOKUP($A181,Hitters!$A$1:$R$401,11,FALSE)-AVERAGE(Rankings!V$2:V$651))/STDEV(Rankings!V$2:V$651)</f>
        <v>-0.56548776501427001</v>
      </c>
      <c r="P181" s="157">
        <f>(VLOOKUP($A181,Hitters!$A$1:$R$401,12,FALSE)-AVERAGE(Rankings!W$2:W$651))/STDEV(Rankings!W$2:W$651)</f>
        <v>-0.3265032501463081</v>
      </c>
      <c r="Q181" s="157">
        <f>(VLOOKUP($A181,Hitters!$A$1:$R$401,13,FALSE)-AVERAGE(Rankings!X$2:X$651))/STDEV(Rankings!X$2:X$651)</f>
        <v>-0.76217367451068352</v>
      </c>
      <c r="R181" s="118">
        <f>(VLOOKUP($A181,Hitters!$A1:$R401,16,FALSE)-AVERAGE(Rankings!Y2:Y651))/STDEV(Rankings!Y2:Y651)</f>
        <v>-0.51351341704050002</v>
      </c>
      <c r="S181" s="118">
        <f>(VLOOKUP($A181,Hitters!$A1:$R401,17,FALSE)-AVERAGE(Rankings!Z2:Z651))/STDEV(Rankings!Z2:Z651)</f>
        <v>-0.45624485575581386</v>
      </c>
      <c r="T181" s="118">
        <f>IFERROR((VLOOKUP($A181,Hitters!$A1:$R401,18,FALSE)-AVERAGE(Rankings!AA2:AA651))/STDEV(Rankings!AA2:AA651),0)</f>
        <v>0</v>
      </c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</row>
    <row r="182" spans="1:37" ht="18.600000000000001" customHeight="1">
      <c r="A182" s="26" t="s">
        <v>564</v>
      </c>
      <c r="B182" s="27" t="s">
        <v>158</v>
      </c>
      <c r="C182" s="121" t="s">
        <v>19</v>
      </c>
      <c r="D182" s="67">
        <f>(F182*Settings!$C$2)+(G182*Settings!$C$3)+(H182*Settings!$C$4)+(I182*Settings!$C$5)+(J182*Settings!$C$6)+(M182*Settings!$C$9)+(N182*Settings!$C$10)+(O182*Settings!$C$11)+(P182*Settings!$C$12)+(Q182*Settings!$C$13)+(T182*Settings!$C$16)+(K182*Settings!$C$7)+(L182*Settings!$C$8)+(R182*Settings!$C$14)+(S182*Settings!$C$15)</f>
        <v>-3.4750937286619932</v>
      </c>
      <c r="E182" s="67"/>
      <c r="F182" s="118">
        <f>(VLOOKUP($A182,Hitters!$A1:$R401,4,FALSE)-AVERAGE(Rankings!M2:M651))/STDEV(Rankings!M2:M651)</f>
        <v>-0.92980983085083191</v>
      </c>
      <c r="G182" s="118">
        <f>(VLOOKUP($A182,Hitters!$A1:$R401,5,FALSE)-AVERAGE(Rankings!N2:N651))/STDEV(Rankings!N2:N651)</f>
        <v>-1.060377888993195</v>
      </c>
      <c r="H182" s="118">
        <f>(VLOOKUP($A182,Hitters!$A1:$R401,6,FALSE)-AVERAGE(Rankings!O2:O651))/STDEV(Rankings!O2:O651)</f>
        <v>-0.72030693416736713</v>
      </c>
      <c r="I182" s="118">
        <f>(VLOOKUP($A182,Hitters!$A1:$R401,7,FALSE)-AVERAGE(Rankings!P2:P651))/STDEV(Rankings!P2:P651)</f>
        <v>-0.85605054299662331</v>
      </c>
      <c r="J182" s="118">
        <f>(VLOOKUP($A182,Hitters!$A1:$R401,8,FALSE)-AVERAGE(Rankings!Q2:Q651))/STDEV(Rankings!Q2:Q651)</f>
        <v>-0.82552327984949969</v>
      </c>
      <c r="K182" s="157">
        <f>(VLOOKUP($A182,Hitters!$A$1:$R$401,14,FALSE)-AVERAGE(Rankings!R$2:R$651))/STDEV(Rankings!R$2:R$651)</f>
        <v>-1.2835082655308394E-2</v>
      </c>
      <c r="L182" s="157">
        <f>(VLOOKUP($A182,Hitters!$A$1:$R$401,15,FALSE)-AVERAGE(Rankings!S$2:S$651))/STDEV(Rankings!S$2:S$651)</f>
        <v>-1.1048755982527494</v>
      </c>
      <c r="M182" s="157">
        <f>(VLOOKUP($A182,Hitters!$A$1:$R$401,9,FALSE)-AVERAGE(Rankings!T$2:T$651))/STDEV(Rankings!T$2:T$651)</f>
        <v>-0.85127729994421064</v>
      </c>
      <c r="N182" s="157">
        <f>(VLOOKUP($A182,Hitters!$A$1:$R$401,10,FALSE)-AVERAGE(Rankings!U$2:U$651))/STDEV(Rankings!U$2:U$651)</f>
        <v>-0.96598633744920082</v>
      </c>
      <c r="O182" s="157">
        <f>(VLOOKUP($A182,Hitters!$A$1:$R$401,11,FALSE)-AVERAGE(Rankings!V$2:V$651))/STDEV(Rankings!V$2:V$651)</f>
        <v>-0.55404235972427129</v>
      </c>
      <c r="P182" s="157">
        <f>(VLOOKUP($A182,Hitters!$A$1:$R$401,12,FALSE)-AVERAGE(Rankings!W$2:W$651))/STDEV(Rankings!W$2:W$651)</f>
        <v>-1.2533588366475374</v>
      </c>
      <c r="Q182" s="157">
        <f>(VLOOKUP($A182,Hitters!$A$1:$R$401,13,FALSE)-AVERAGE(Rankings!X$2:X$651))/STDEV(Rankings!X$2:X$651)</f>
        <v>-1.114718276471111</v>
      </c>
      <c r="R182" s="118">
        <f>(VLOOKUP($A182,Hitters!$A1:$R401,16,FALSE)-AVERAGE(Rankings!Y2:Y651))/STDEV(Rankings!Y2:Y651)</f>
        <v>-0.37948339826328786</v>
      </c>
      <c r="S182" s="118">
        <f>(VLOOKUP($A182,Hitters!$A1:$R401,17,FALSE)-AVERAGE(Rankings!Z2:Z651))/STDEV(Rankings!Z2:Z651)</f>
        <v>-0.6933225051651345</v>
      </c>
      <c r="T182" s="118">
        <f>IFERROR((VLOOKUP($A182,Hitters!$A1:$R401,18,FALSE)-AVERAGE(Rankings!AA2:AA651))/STDEV(Rankings!AA2:AA651),0)</f>
        <v>0</v>
      </c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</row>
    <row r="183" spans="1:37" ht="18.600000000000001" customHeight="1">
      <c r="A183" s="26" t="s">
        <v>586</v>
      </c>
      <c r="B183" s="27" t="s">
        <v>217</v>
      </c>
      <c r="C183" s="121" t="s">
        <v>19</v>
      </c>
      <c r="D183" s="67">
        <f>(F183*Settings!$C$2)+(G183*Settings!$C$3)+(H183*Settings!$C$4)+(I183*Settings!$C$5)+(J183*Settings!$C$6)+(M183*Settings!$C$9)+(N183*Settings!$C$10)+(O183*Settings!$C$11)+(P183*Settings!$C$12)+(Q183*Settings!$C$13)+(T183*Settings!$C$16)+(K183*Settings!$C$7)+(L183*Settings!$C$8)+(R183*Settings!$C$14)+(S183*Settings!$C$15)</f>
        <v>-3.5067365915919408</v>
      </c>
      <c r="E183" s="67"/>
      <c r="F183" s="118">
        <f>(VLOOKUP($A183,Hitters!$A1:$R401,4,FALSE)-AVERAGE(Rankings!M2:M651))/STDEV(Rankings!M2:M651)</f>
        <v>-0.40132270414845467</v>
      </c>
      <c r="G183" s="118">
        <f>(VLOOKUP($A183,Hitters!$A1:$R401,5,FALSE)-AVERAGE(Rankings!N2:N651))/STDEV(Rankings!N2:N651)</f>
        <v>-0.58369357683354472</v>
      </c>
      <c r="H183" s="118">
        <f>(VLOOKUP($A183,Hitters!$A1:$R401,6,FALSE)-AVERAGE(Rankings!O2:O651))/STDEV(Rankings!O2:O651)</f>
        <v>-0.3171934237925681</v>
      </c>
      <c r="I183" s="118">
        <f>(VLOOKUP($A183,Hitters!$A1:$R401,7,FALSE)-AVERAGE(Rankings!P2:P651))/STDEV(Rankings!P2:P651)</f>
        <v>-0.59572701541286821</v>
      </c>
      <c r="J183" s="118">
        <f>(VLOOKUP($A183,Hitters!$A1:$R401,8,FALSE)-AVERAGE(Rankings!Q2:Q651))/STDEV(Rankings!Q2:Q651)</f>
        <v>-0.68107205548250593</v>
      </c>
      <c r="K183" s="157">
        <f>(VLOOKUP($A183,Hitters!$A$1:$R$401,14,FALSE)-AVERAGE(Rankings!R$2:R$651))/STDEV(Rankings!R$2:R$651)</f>
        <v>-1.3290505200704537</v>
      </c>
      <c r="L183" s="157">
        <f>(VLOOKUP($A183,Hitters!$A$1:$R$401,15,FALSE)-AVERAGE(Rankings!S$2:S$651))/STDEV(Rankings!S$2:S$651)</f>
        <v>-1.3851442652089538</v>
      </c>
      <c r="M183" s="157">
        <f>(VLOOKUP($A183,Hitters!$A$1:$R$401,9,FALSE)-AVERAGE(Rankings!T$2:T$651))/STDEV(Rankings!T$2:T$651)</f>
        <v>-0.61400661067498885</v>
      </c>
      <c r="N183" s="157">
        <f>(VLOOKUP($A183,Hitters!$A$1:$R$401,10,FALSE)-AVERAGE(Rankings!U$2:U$651))/STDEV(Rankings!U$2:U$651)</f>
        <v>-0.86802103026686761</v>
      </c>
      <c r="O183" s="157">
        <f>(VLOOKUP($A183,Hitters!$A$1:$R$401,11,FALSE)-AVERAGE(Rankings!V$2:V$651))/STDEV(Rankings!V$2:V$651)</f>
        <v>-0.5521347921759383</v>
      </c>
      <c r="P183" s="157">
        <f>(VLOOKUP($A183,Hitters!$A$1:$R$401,12,FALSE)-AVERAGE(Rankings!W$2:W$651))/STDEV(Rankings!W$2:W$651)</f>
        <v>-0.56573593265251465</v>
      </c>
      <c r="Q183" s="157">
        <f>(VLOOKUP($A183,Hitters!$A$1:$R$401,13,FALSE)-AVERAGE(Rankings!X$2:X$651))/STDEV(Rankings!X$2:X$651)</f>
        <v>0.81556070676568859</v>
      </c>
      <c r="R183" s="118">
        <f>(VLOOKUP($A183,Hitters!$A1:$R401,16,FALSE)-AVERAGE(Rankings!Y2:Y651))/STDEV(Rankings!Y2:Y651)</f>
        <v>-0.94385858249585231</v>
      </c>
      <c r="S183" s="118">
        <f>(VLOOKUP($A183,Hitters!$A1:$R401,17,FALSE)-AVERAGE(Rankings!Z2:Z651))/STDEV(Rankings!Z2:Z651)</f>
        <v>-1.2114332803296768</v>
      </c>
      <c r="T183" s="118">
        <f>IFERROR((VLOOKUP($A183,Hitters!$A1:$R401,18,FALSE)-AVERAGE(Rankings!AA2:AA651))/STDEV(Rankings!AA2:AA651),0)</f>
        <v>0</v>
      </c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</row>
    <row r="184" spans="1:37" ht="18.600000000000001" customHeight="1">
      <c r="A184" s="26" t="s">
        <v>598</v>
      </c>
      <c r="B184" s="27" t="s">
        <v>134</v>
      </c>
      <c r="C184" s="121" t="s">
        <v>19</v>
      </c>
      <c r="D184" s="67">
        <f>(F184*Settings!$C$2)+(G184*Settings!$C$3)+(H184*Settings!$C$4)+(I184*Settings!$C$5)+(J184*Settings!$C$6)+(M184*Settings!$C$9)+(N184*Settings!$C$10)+(O184*Settings!$C$11)+(P184*Settings!$C$12)+(Q184*Settings!$C$13)+(T184*Settings!$C$16)+(K184*Settings!$C$7)+(L184*Settings!$C$8)+(R184*Settings!$C$14)+(S184*Settings!$C$15)</f>
        <v>-4.4802471696055131</v>
      </c>
      <c r="E184" s="67"/>
      <c r="F184" s="118">
        <f>(VLOOKUP($A184,Hitters!$A1:$R401,4,FALSE)-AVERAGE(Rankings!M2:M651))/STDEV(Rankings!M2:M651)</f>
        <v>-0.43110555181633459</v>
      </c>
      <c r="G184" s="118">
        <f>(VLOOKUP($A184,Hitters!$A1:$R401,5,FALSE)-AVERAGE(Rankings!N2:N651))/STDEV(Rankings!N2:N651)</f>
        <v>-0.8954907569732905</v>
      </c>
      <c r="H184" s="118">
        <f>(VLOOKUP($A184,Hitters!$A1:$R401,6,FALSE)-AVERAGE(Rankings!O2:O651))/STDEV(Rankings!O2:O651)</f>
        <v>-1.0128724678763972</v>
      </c>
      <c r="I184" s="118">
        <f>(VLOOKUP($A184,Hitters!$A1:$R401,7,FALSE)-AVERAGE(Rankings!P2:P651))/STDEV(Rankings!P2:P651)</f>
        <v>-0.74961008617659353</v>
      </c>
      <c r="J184" s="118">
        <f>(VLOOKUP($A184,Hitters!$A1:$R401,8,FALSE)-AVERAGE(Rankings!Q2:Q651))/STDEV(Rankings!Q2:Q651)</f>
        <v>-0.91984422733913196</v>
      </c>
      <c r="K184" s="157">
        <f>(VLOOKUP($A184,Hitters!$A$1:$R$401,14,FALSE)-AVERAGE(Rankings!R$2:R$651))/STDEV(Rankings!R$2:R$651)</f>
        <v>-0.90242963124009989</v>
      </c>
      <c r="L184" s="157">
        <f>(VLOOKUP($A184,Hitters!$A$1:$R$401,15,FALSE)-AVERAGE(Rankings!S$2:S$651))/STDEV(Rankings!S$2:S$651)</f>
        <v>-0.64146652282360817</v>
      </c>
      <c r="M184" s="157">
        <f>(VLOOKUP($A184,Hitters!$A$1:$R$401,9,FALSE)-AVERAGE(Rankings!T$2:T$651))/STDEV(Rankings!T$2:T$651)</f>
        <v>-0.56530036894392566</v>
      </c>
      <c r="N184" s="157">
        <f>(VLOOKUP($A184,Hitters!$A$1:$R$401,10,FALSE)-AVERAGE(Rankings!U$2:U$651))/STDEV(Rankings!U$2:U$651)</f>
        <v>-0.69511154592089031</v>
      </c>
      <c r="O184" s="157">
        <f>(VLOOKUP($A184,Hitters!$A$1:$R$401,11,FALSE)-AVERAGE(Rankings!V$2:V$651))/STDEV(Rankings!V$2:V$651)</f>
        <v>-1.3852649189104276</v>
      </c>
      <c r="P184" s="157">
        <f>(VLOOKUP($A184,Hitters!$A$1:$R$401,12,FALSE)-AVERAGE(Rankings!W$2:W$651))/STDEV(Rankings!W$2:W$651)</f>
        <v>-0.30998835747719783</v>
      </c>
      <c r="Q184" s="157">
        <f>(VLOOKUP($A184,Hitters!$A$1:$R$401,13,FALSE)-AVERAGE(Rankings!X$2:X$651))/STDEV(Rankings!X$2:X$651)</f>
        <v>-0.38409703505747395</v>
      </c>
      <c r="R184" s="118">
        <f>(VLOOKUP($A184,Hitters!$A1:$R401,16,FALSE)-AVERAGE(Rankings!Y2:Y651))/STDEV(Rankings!Y2:Y651)</f>
        <v>-1.9384452889886663</v>
      </c>
      <c r="S184" s="118">
        <f>(VLOOKUP($A184,Hitters!$A1:$R401,17,FALSE)-AVERAGE(Rankings!Z2:Z651))/STDEV(Rankings!Z2:Z651)</f>
        <v>-1.6586370842638882</v>
      </c>
      <c r="T184" s="118">
        <f>IFERROR((VLOOKUP($A184,Hitters!$A1:$R401,18,FALSE)-AVERAGE(Rankings!AA2:AA651))/STDEV(Rankings!AA2:AA651),0)</f>
        <v>0</v>
      </c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</row>
    <row r="185" spans="1:37" ht="18.600000000000001" customHeight="1">
      <c r="A185" s="26" t="s">
        <v>593</v>
      </c>
      <c r="B185" s="27" t="s">
        <v>63</v>
      </c>
      <c r="C185" s="121" t="s">
        <v>19</v>
      </c>
      <c r="D185" s="67">
        <f>(F185*Settings!$C$2)+(G185*Settings!$C$3)+(H185*Settings!$C$4)+(I185*Settings!$C$5)+(J185*Settings!$C$6)+(M185*Settings!$C$9)+(N185*Settings!$C$10)+(O185*Settings!$C$11)+(P185*Settings!$C$12)+(Q185*Settings!$C$13)+(T185*Settings!$C$16)+(K185*Settings!$C$7)+(L185*Settings!$C$8)+(R185*Settings!$C$14)+(S185*Settings!$C$15)</f>
        <v>-4.1706812573358665</v>
      </c>
      <c r="E185" s="67"/>
      <c r="F185" s="118">
        <f>(VLOOKUP($A185,Hitters!$A1:$R401,4,FALSE)-AVERAGE(Rankings!M2:M651))/STDEV(Rankings!M2:M651)</f>
        <v>-1.0938055963071569</v>
      </c>
      <c r="G185" s="118">
        <f>(VLOOKUP($A185,Hitters!$A1:$R401,5,FALSE)-AVERAGE(Rankings!N2:N651))/STDEV(Rankings!N2:N651)</f>
        <v>-1.0980562340926228</v>
      </c>
      <c r="H185" s="118">
        <f>(VLOOKUP($A185,Hitters!$A1:$R401,6,FALSE)-AVERAGE(Rankings!O2:O651))/STDEV(Rankings!O2:O651)</f>
        <v>-0.84213958141905609</v>
      </c>
      <c r="I185" s="118">
        <f>(VLOOKUP($A185,Hitters!$A1:$R401,7,FALSE)-AVERAGE(Rankings!P2:P651))/STDEV(Rankings!P2:P651)</f>
        <v>-0.95381185209412078</v>
      </c>
      <c r="J185" s="118">
        <f>(VLOOKUP($A185,Hitters!$A1:$R401,8,FALSE)-AVERAGE(Rankings!Q2:Q651))/STDEV(Rankings!Q2:Q651)</f>
        <v>-0.89275962277032073</v>
      </c>
      <c r="K185" s="157">
        <f>(VLOOKUP($A185,Hitters!$A$1:$R$401,14,FALSE)-AVERAGE(Rankings!R$2:R$651))/STDEV(Rankings!R$2:R$651)</f>
        <v>-0.3839139669597465</v>
      </c>
      <c r="L185" s="157">
        <f>(VLOOKUP($A185,Hitters!$A$1:$R$401,15,FALSE)-AVERAGE(Rankings!S$2:S$651))/STDEV(Rankings!S$2:S$651)</f>
        <v>-0.78696775799560714</v>
      </c>
      <c r="M185" s="157">
        <f>(VLOOKUP($A185,Hitters!$A$1:$R$401,9,FALSE)-AVERAGE(Rankings!T$2:T$651))/STDEV(Rankings!T$2:T$651)</f>
        <v>-1.0407703412669089</v>
      </c>
      <c r="N185" s="157">
        <f>(VLOOKUP($A185,Hitters!$A$1:$R$401,10,FALSE)-AVERAGE(Rankings!U$2:U$651))/STDEV(Rankings!U$2:U$651)</f>
        <v>-1.1357402774935517</v>
      </c>
      <c r="O185" s="157">
        <f>(VLOOKUP($A185,Hitters!$A$1:$R$401,11,FALSE)-AVERAGE(Rankings!V$2:V$651))/STDEV(Rankings!V$2:V$651)</f>
        <v>-1.1585028266023283</v>
      </c>
      <c r="P185" s="157">
        <f>(VLOOKUP($A185,Hitters!$A$1:$R$401,12,FALSE)-AVERAGE(Rankings!W$2:W$651))/STDEV(Rankings!W$2:W$651)</f>
        <v>-1.0315118886084358</v>
      </c>
      <c r="Q185" s="157">
        <f>(VLOOKUP($A185,Hitters!$A$1:$R$401,13,FALSE)-AVERAGE(Rankings!X$2:X$651))/STDEV(Rankings!X$2:X$651)</f>
        <v>-1.0868608303590985</v>
      </c>
      <c r="R185" s="118">
        <f>(VLOOKUP($A185,Hitters!$A1:$R401,16,FALSE)-AVERAGE(Rankings!Y2:Y651))/STDEV(Rankings!Y2:Y651)</f>
        <v>-0.78732377862628533</v>
      </c>
      <c r="S185" s="118">
        <f>(VLOOKUP($A185,Hitters!$A1:$R401,17,FALSE)-AVERAGE(Rankings!Z2:Z651))/STDEV(Rankings!Z2:Z651)</f>
        <v>-0.87182637341145586</v>
      </c>
      <c r="T185" s="118">
        <f>IFERROR((VLOOKUP($A185,Hitters!$A1:$R401,18,FALSE)-AVERAGE(Rankings!AA2:AA651))/STDEV(Rankings!AA2:AA651),0)</f>
        <v>0</v>
      </c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</row>
    <row r="186" spans="1:37" ht="18.600000000000001" customHeight="1">
      <c r="A186" s="26" t="s">
        <v>590</v>
      </c>
      <c r="B186" s="27" t="s">
        <v>137</v>
      </c>
      <c r="C186" s="121" t="s">
        <v>19</v>
      </c>
      <c r="D186" s="67">
        <f>(F186*Settings!$C$2)+(G186*Settings!$C$3)+(H186*Settings!$C$4)+(I186*Settings!$C$5)+(J186*Settings!$C$6)+(M186*Settings!$C$9)+(N186*Settings!$C$10)+(O186*Settings!$C$11)+(P186*Settings!$C$12)+(Q186*Settings!$C$13)+(T186*Settings!$C$16)+(K186*Settings!$C$7)+(L186*Settings!$C$8)+(R186*Settings!$C$14)+(S186*Settings!$C$15)</f>
        <v>-3.7653734592661663</v>
      </c>
      <c r="E186" s="67"/>
      <c r="F186" s="118">
        <f>(VLOOKUP($A186,Hitters!$A1:$R401,4,FALSE)-AVERAGE(Rankings!M2:M651))/STDEV(Rankings!M2:M651)</f>
        <v>-1.4128622729194433</v>
      </c>
      <c r="G186" s="118">
        <f>(VLOOKUP($A186,Hitters!$A1:$R401,5,FALSE)-AVERAGE(Rankings!N2:N651))/STDEV(Rankings!N2:N651)</f>
        <v>-1.237410328753763</v>
      </c>
      <c r="H186" s="118">
        <f>(VLOOKUP($A186,Hitters!$A1:$R401,6,FALSE)-AVERAGE(Rankings!O2:O651))/STDEV(Rankings!O2:O651)</f>
        <v>-0.96627095786417305</v>
      </c>
      <c r="I186" s="118">
        <f>(VLOOKUP($A186,Hitters!$A1:$R401,7,FALSE)-AVERAGE(Rankings!P2:P651))/STDEV(Rankings!P2:P651)</f>
        <v>-1.1688307376071794</v>
      </c>
      <c r="J186" s="118">
        <f>(VLOOKUP($A186,Hitters!$A1:$R401,8,FALSE)-AVERAGE(Rankings!Q2:Q651))/STDEV(Rankings!Q2:Q651)</f>
        <v>-0.82338502159406723</v>
      </c>
      <c r="K186" s="157">
        <f>(VLOOKUP($A186,Hitters!$A$1:$R$401,14,FALSE)-AVERAGE(Rankings!R$2:R$651))/STDEV(Rankings!R$2:R$651)</f>
        <v>0.43052358655301648</v>
      </c>
      <c r="L186" s="157">
        <f>(VLOOKUP($A186,Hitters!$A$1:$R$401,15,FALSE)-AVERAGE(Rankings!S$2:S$651))/STDEV(Rankings!S$2:S$651)</f>
        <v>9.6239015861899452E-2</v>
      </c>
      <c r="M186" s="157">
        <f>(VLOOKUP($A186,Hitters!$A$1:$R$401,9,FALSE)-AVERAGE(Rankings!T$2:T$651))/STDEV(Rankings!T$2:T$651)</f>
        <v>-1.2285409908924756</v>
      </c>
      <c r="N186" s="157">
        <f>(VLOOKUP($A186,Hitters!$A$1:$R$401,10,FALSE)-AVERAGE(Rankings!U$2:U$651))/STDEV(Rankings!U$2:U$651)</f>
        <v>-0.84872917987737473</v>
      </c>
      <c r="O186" s="157">
        <f>(VLOOKUP($A186,Hitters!$A$1:$R$401,11,FALSE)-AVERAGE(Rankings!V$2:V$651))/STDEV(Rankings!V$2:V$651)</f>
        <v>-0.55547303538552117</v>
      </c>
      <c r="P186" s="157">
        <f>(VLOOKUP($A186,Hitters!$A$1:$R$401,12,FALSE)-AVERAGE(Rankings!W$2:W$651))/STDEV(Rankings!W$2:W$651)</f>
        <v>-1.1036362503780526</v>
      </c>
      <c r="Q186" s="157">
        <f>(VLOOKUP($A186,Hitters!$A$1:$R$401,13,FALSE)-AVERAGE(Rankings!X$2:X$651))/STDEV(Rankings!X$2:X$651)</f>
        <v>-1.3266626620524544</v>
      </c>
      <c r="R186" s="118">
        <f>(VLOOKUP($A186,Hitters!$A1:$R401,16,FALSE)-AVERAGE(Rankings!Y2:Y651))/STDEV(Rankings!Y2:Y651)</f>
        <v>0.31660758057952665</v>
      </c>
      <c r="S186" s="118">
        <f>(VLOOKUP($A186,Hitters!$A1:$R401,17,FALSE)-AVERAGE(Rankings!Z2:Z651))/STDEV(Rankings!Z2:Z651)</f>
        <v>0.26770899056266301</v>
      </c>
      <c r="T186" s="118">
        <f>IFERROR((VLOOKUP($A186,Hitters!$A1:$R401,18,FALSE)-AVERAGE(Rankings!AA2:AA651))/STDEV(Rankings!AA2:AA651),0)</f>
        <v>0</v>
      </c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</row>
    <row r="187" spans="1:37" ht="18.600000000000001" customHeight="1">
      <c r="A187" s="26" t="s">
        <v>621</v>
      </c>
      <c r="B187" s="27" t="s">
        <v>76</v>
      </c>
      <c r="C187" s="121" t="s">
        <v>19</v>
      </c>
      <c r="D187" s="67">
        <f>(F187*Settings!$C$2)+(G187*Settings!$C$3)+(H187*Settings!$C$4)+(I187*Settings!$C$5)+(J187*Settings!$C$6)+(M187*Settings!$C$9)+(N187*Settings!$C$10)+(O187*Settings!$C$11)+(P187*Settings!$C$12)+(Q187*Settings!$C$13)+(T187*Settings!$C$16)+(K187*Settings!$C$7)+(L187*Settings!$C$8)+(R187*Settings!$C$14)+(S187*Settings!$C$15)</f>
        <v>-4.0842699343045066</v>
      </c>
      <c r="E187" s="67"/>
      <c r="F187" s="118">
        <f>(VLOOKUP($A187,Hitters!$A1:$R401,4,FALSE)-AVERAGE(Rankings!M2:M651))/STDEV(Rankings!M2:M651)</f>
        <v>-0.66543953197765204</v>
      </c>
      <c r="G187" s="118">
        <f>(VLOOKUP($A187,Hitters!$A1:$R401,5,FALSE)-AVERAGE(Rankings!N2:N651))/STDEV(Rankings!N2:N651)</f>
        <v>-0.64553575967170351</v>
      </c>
      <c r="H187" s="118">
        <f>(VLOOKUP($A187,Hitters!$A1:$R401,6,FALSE)-AVERAGE(Rankings!O2:O651))/STDEV(Rankings!O2:O651)</f>
        <v>0.36824582661144462</v>
      </c>
      <c r="I187" s="118">
        <f>(VLOOKUP($A187,Hitters!$A1:$R401,7,FALSE)-AVERAGE(Rankings!P2:P651))/STDEV(Rankings!P2:P651)</f>
        <v>-0.24675401123796922</v>
      </c>
      <c r="J187" s="118">
        <f>(VLOOKUP($A187,Hitters!$A1:$R401,8,FALSE)-AVERAGE(Rankings!Q2:Q651))/STDEV(Rankings!Q2:Q651)</f>
        <v>-0.87676228322967775</v>
      </c>
      <c r="K187" s="157">
        <f>(VLOOKUP($A187,Hitters!$A$1:$R$401,14,FALSE)-AVERAGE(Rankings!R$2:R$651))/STDEV(Rankings!R$2:R$651)</f>
        <v>-2.6834637067766005</v>
      </c>
      <c r="L187" s="157">
        <f>(VLOOKUP($A187,Hitters!$A$1:$R$401,15,FALSE)-AVERAGE(Rankings!S$2:S$651))/STDEV(Rankings!S$2:S$651)</f>
        <v>-2.3869870802312469</v>
      </c>
      <c r="M187" s="157">
        <f>(VLOOKUP($A187,Hitters!$A$1:$R$401,9,FALSE)-AVERAGE(Rankings!T$2:T$651))/STDEV(Rankings!T$2:T$651)</f>
        <v>-1.028818440620725</v>
      </c>
      <c r="N187" s="157">
        <f>(VLOOKUP($A187,Hitters!$A$1:$R$401,10,FALSE)-AVERAGE(Rankings!U$2:U$651))/STDEV(Rankings!U$2:U$651)</f>
        <v>-1.0759283695945281</v>
      </c>
      <c r="O187" s="157">
        <f>(VLOOKUP($A187,Hitters!$A$1:$R$401,11,FALSE)-AVERAGE(Rankings!V$2:V$651))/STDEV(Rankings!V$2:V$651)</f>
        <v>-0.55308857595010485</v>
      </c>
      <c r="P187" s="157">
        <f>(VLOOKUP($A187,Hitters!$A$1:$R$401,12,FALSE)-AVERAGE(Rankings!W$2:W$651))/STDEV(Rankings!W$2:W$651)</f>
        <v>-0.6970153337001872</v>
      </c>
      <c r="Q187" s="157">
        <f>(VLOOKUP($A187,Hitters!$A$1:$R$401,13,FALSE)-AVERAGE(Rankings!X$2:X$651))/STDEV(Rankings!X$2:X$651)</f>
        <v>0.54264948568423388</v>
      </c>
      <c r="R187" s="118">
        <f>(VLOOKUP($A187,Hitters!$A1:$R401,16,FALSE)-AVERAGE(Rankings!Y2:Y651))/STDEV(Rankings!Y2:Y651)</f>
        <v>1.1040949373591541E-2</v>
      </c>
      <c r="S187" s="118">
        <f>(VLOOKUP($A187,Hitters!$A1:$R401,17,FALSE)-AVERAGE(Rankings!Z2:Z651))/STDEV(Rankings!Z2:Z651)</f>
        <v>-0.89042282641425108</v>
      </c>
      <c r="T187" s="118">
        <f>IFERROR((VLOOKUP($A187,Hitters!$A1:$R401,18,FALSE)-AVERAGE(Rankings!AA2:AA651))/STDEV(Rankings!AA2:AA651),0)</f>
        <v>0</v>
      </c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</row>
    <row r="188" spans="1:37" ht="18.600000000000001" customHeight="1">
      <c r="A188" s="26" t="s">
        <v>613</v>
      </c>
      <c r="B188" s="27" t="s">
        <v>101</v>
      </c>
      <c r="C188" s="121" t="s">
        <v>19</v>
      </c>
      <c r="D188" s="67">
        <f>(F188*Settings!$C$2)+(G188*Settings!$C$3)+(H188*Settings!$C$4)+(I188*Settings!$C$5)+(J188*Settings!$C$6)+(M188*Settings!$C$9)+(N188*Settings!$C$10)+(O188*Settings!$C$11)+(P188*Settings!$C$12)+(Q188*Settings!$C$13)+(T188*Settings!$C$16)+(K188*Settings!$C$7)+(L188*Settings!$C$8)+(R188*Settings!$C$14)+(S188*Settings!$C$15)</f>
        <v>-3.8782973883542522</v>
      </c>
      <c r="E188" s="67"/>
      <c r="F188" s="118">
        <f>(VLOOKUP($A188,Hitters!$A1:$R401,4,FALSE)-AVERAGE(Rankings!M2:M651))/STDEV(Rankings!M2:M651)</f>
        <v>-0.77967048246552006</v>
      </c>
      <c r="G188" s="118">
        <f>(VLOOKUP($A188,Hitters!$A1:$R401,5,FALSE)-AVERAGE(Rankings!N2:N651))/STDEV(Rankings!N2:N651)</f>
        <v>-0.9828406216216945</v>
      </c>
      <c r="H188" s="118">
        <f>(VLOOKUP($A188,Hitters!$A1:$R401,6,FALSE)-AVERAGE(Rankings!O2:O651))/STDEV(Rankings!O2:O651)</f>
        <v>-0.84826952593486438</v>
      </c>
      <c r="I188" s="118">
        <f>(VLOOKUP($A188,Hitters!$A1:$R401,7,FALSE)-AVERAGE(Rankings!P2:P651))/STDEV(Rankings!P2:P651)</f>
        <v>-0.80255034207942999</v>
      </c>
      <c r="J188" s="118">
        <f>(VLOOKUP($A188,Hitters!$A1:$R401,8,FALSE)-AVERAGE(Rankings!Q2:Q651))/STDEV(Rankings!Q2:Q651)</f>
        <v>-0.85332063717012163</v>
      </c>
      <c r="K188" s="157">
        <f>(VLOOKUP($A188,Hitters!$A$1:$R$401,14,FALSE)-AVERAGE(Rankings!R$2:R$651))/STDEV(Rankings!R$2:R$651)</f>
        <v>-0.39131626154814192</v>
      </c>
      <c r="L188" s="157">
        <f>(VLOOKUP($A188,Hitters!$A$1:$R$401,15,FALSE)-AVERAGE(Rankings!S$2:S$651))/STDEV(Rankings!S$2:S$651)</f>
        <v>-1.5471374388410455</v>
      </c>
      <c r="M188" s="157">
        <f>(VLOOKUP($A188,Hitters!$A$1:$R$401,9,FALSE)-AVERAGE(Rankings!T$2:T$651))/STDEV(Rankings!T$2:T$651)</f>
        <v>-0.7749229271444068</v>
      </c>
      <c r="N188" s="157">
        <f>(VLOOKUP($A188,Hitters!$A$1:$R$401,10,FALSE)-AVERAGE(Rankings!U$2:U$651))/STDEV(Rankings!U$2:U$651)</f>
        <v>-0.41720849662986426</v>
      </c>
      <c r="O188" s="157">
        <f>(VLOOKUP($A188,Hitters!$A$1:$R$401,11,FALSE)-AVERAGE(Rankings!V$2:V$651))/STDEV(Rankings!V$2:V$651)</f>
        <v>-0.55308857595010485</v>
      </c>
      <c r="P188" s="157">
        <f>(VLOOKUP($A188,Hitters!$A$1:$R$401,12,FALSE)-AVERAGE(Rankings!W$2:W$651))/STDEV(Rankings!W$2:W$651)</f>
        <v>-1.2718331233621356</v>
      </c>
      <c r="Q188" s="157">
        <f>(VLOOKUP($A188,Hitters!$A$1:$R$401,13,FALSE)-AVERAGE(Rankings!X$2:X$651))/STDEV(Rankings!X$2:X$651)</f>
        <v>-0.89594003698835423</v>
      </c>
      <c r="R188" s="118">
        <f>(VLOOKUP($A188,Hitters!$A1:$R401,16,FALSE)-AVERAGE(Rankings!Y2:Y651))/STDEV(Rankings!Y2:Y651)</f>
        <v>-0.68659286355553295</v>
      </c>
      <c r="S188" s="118">
        <f>(VLOOKUP($A188,Hitters!$A1:$R401,17,FALSE)-AVERAGE(Rankings!Z2:Z651))/STDEV(Rankings!Z2:Z651)</f>
        <v>-1.0843246853814552</v>
      </c>
      <c r="T188" s="118">
        <f>IFERROR((VLOOKUP($A188,Hitters!$A1:$R401,18,FALSE)-AVERAGE(Rankings!AA2:AA651))/STDEV(Rankings!AA2:AA651),0)</f>
        <v>0</v>
      </c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</row>
    <row r="189" spans="1:37" ht="18.600000000000001" customHeight="1">
      <c r="A189" s="26" t="s">
        <v>618</v>
      </c>
      <c r="B189" s="27" t="s">
        <v>103</v>
      </c>
      <c r="C189" s="121" t="s">
        <v>19</v>
      </c>
      <c r="D189" s="67">
        <f>(F189*Settings!$C$2)+(G189*Settings!$C$3)+(H189*Settings!$C$4)+(I189*Settings!$C$5)+(J189*Settings!$C$6)+(M189*Settings!$C$9)+(N189*Settings!$C$10)+(O189*Settings!$C$11)+(P189*Settings!$C$12)+(Q189*Settings!$C$13)+(T189*Settings!$C$16)+(K189*Settings!$C$7)+(L189*Settings!$C$8)+(R189*Settings!$C$14)+(S189*Settings!$C$15)</f>
        <v>-4.3290533694774496</v>
      </c>
      <c r="E189" s="67"/>
      <c r="F189" s="118">
        <f>(VLOOKUP($A189,Hitters!$A1:$R401,4,FALSE)-AVERAGE(Rankings!M2:M651))/STDEV(Rankings!M2:M651)</f>
        <v>-0.82335199237841106</v>
      </c>
      <c r="G189" s="118">
        <f>(VLOOKUP($A189,Hitters!$A1:$R401,5,FALSE)-AVERAGE(Rankings!N2:N651))/STDEV(Rankings!N2:N651)</f>
        <v>-1.0248801210664127</v>
      </c>
      <c r="H189" s="118">
        <f>(VLOOKUP($A189,Hitters!$A1:$R401,6,FALSE)-AVERAGE(Rankings!O2:O651))/STDEV(Rankings!O2:O651)</f>
        <v>-1.1892476896266979</v>
      </c>
      <c r="I189" s="118">
        <f>(VLOOKUP($A189,Hitters!$A1:$R401,7,FALSE)-AVERAGE(Rankings!P2:P651))/STDEV(Rankings!P2:P651)</f>
        <v>-1.1258422317322321</v>
      </c>
      <c r="J189" s="118">
        <f>(VLOOKUP($A189,Hitters!$A1:$R401,8,FALSE)-AVERAGE(Rankings!Q2:Q651))/STDEV(Rankings!Q2:Q651)</f>
        <v>-0.79962659653370638</v>
      </c>
      <c r="K189" s="157">
        <f>(VLOOKUP($A189,Hitters!$A$1:$R$401,14,FALSE)-AVERAGE(Rankings!R$2:R$651))/STDEV(Rankings!R$2:R$651)</f>
        <v>-0.1894567305184012</v>
      </c>
      <c r="L189" s="157">
        <f>(VLOOKUP($A189,Hitters!$A$1:$R$401,15,FALSE)-AVERAGE(Rankings!S$2:S$651))/STDEV(Rankings!S$2:S$651)</f>
        <v>-0.91021994719152943</v>
      </c>
      <c r="M189" s="157">
        <f>(VLOOKUP($A189,Hitters!$A$1:$R$401,9,FALSE)-AVERAGE(Rankings!T$2:T$651))/STDEV(Rankings!T$2:T$651)</f>
        <v>-0.78328027120527199</v>
      </c>
      <c r="N189" s="157">
        <f>(VLOOKUP($A189,Hitters!$A$1:$R$401,10,FALSE)-AVERAGE(Rankings!U$2:U$651))/STDEV(Rankings!U$2:U$651)</f>
        <v>-0.5959270511674738</v>
      </c>
      <c r="O189" s="157">
        <f>(VLOOKUP($A189,Hitters!$A$1:$R$401,11,FALSE)-AVERAGE(Rankings!V$2:V$651))/STDEV(Rankings!V$2:V$651)</f>
        <v>-0.54975033274052176</v>
      </c>
      <c r="P189" s="157">
        <f>(VLOOKUP($A189,Hitters!$A$1:$R$401,12,FALSE)-AVERAGE(Rankings!W$2:W$651))/STDEV(Rankings!W$2:W$651)</f>
        <v>-1.032538237870358</v>
      </c>
      <c r="Q189" s="157">
        <f>(VLOOKUP($A189,Hitters!$A$1:$R$401,13,FALSE)-AVERAGE(Rankings!X$2:X$651))/STDEV(Rankings!X$2:X$651)</f>
        <v>-0.87138878408327569</v>
      </c>
      <c r="R189" s="118">
        <f>(VLOOKUP($A189,Hitters!$A1:$R401,16,FALSE)-AVERAGE(Rankings!Y2:Y651))/STDEV(Rankings!Y2:Y651)</f>
        <v>-1.3333708498736805</v>
      </c>
      <c r="S189" s="118">
        <f>(VLOOKUP($A189,Hitters!$A1:$R401,17,FALSE)-AVERAGE(Rankings!Z2:Z651))/STDEV(Rankings!Z2:Z651)</f>
        <v>-1.3174335659659755</v>
      </c>
      <c r="T189" s="118">
        <f>IFERROR((VLOOKUP($A189,Hitters!$A1:$R401,18,FALSE)-AVERAGE(Rankings!AA2:AA651))/STDEV(Rankings!AA2:AA651),0)</f>
        <v>0</v>
      </c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</row>
    <row r="190" spans="1:37" ht="18.600000000000001" customHeight="1">
      <c r="A190" s="26" t="s">
        <v>626</v>
      </c>
      <c r="B190" s="27" t="s">
        <v>95</v>
      </c>
      <c r="C190" s="121" t="s">
        <v>19</v>
      </c>
      <c r="D190" s="67">
        <f>(F190*Settings!$C$2)+(G190*Settings!$C$3)+(H190*Settings!$C$4)+(I190*Settings!$C$5)+(J190*Settings!$C$6)+(M190*Settings!$C$9)+(N190*Settings!$C$10)+(O190*Settings!$C$11)+(P190*Settings!$C$12)+(Q190*Settings!$C$13)+(T190*Settings!$C$16)+(K190*Settings!$C$7)+(L190*Settings!$C$8)+(R190*Settings!$C$14)+(S190*Settings!$C$15)</f>
        <v>-4.3150086707617303</v>
      </c>
      <c r="E190" s="67"/>
      <c r="F190" s="118">
        <f>(VLOOKUP($A190,Hitters!$A1:$R401,4,FALSE)-AVERAGE(Rankings!M2:M651))/STDEV(Rankings!M2:M651)</f>
        <v>-0.76344833565067494</v>
      </c>
      <c r="G190" s="118">
        <f>(VLOOKUP($A190,Hitters!$A1:$R401,5,FALSE)-AVERAGE(Rankings!N2:N651))/STDEV(Rankings!N2:N651)</f>
        <v>-0.92127734981724618</v>
      </c>
      <c r="H190" s="118">
        <f>(VLOOKUP($A190,Hitters!$A1:$R401,6,FALSE)-AVERAGE(Rankings!O2:O651))/STDEV(Rankings!O2:O651)</f>
        <v>-0.96877866243882182</v>
      </c>
      <c r="I190" s="118">
        <f>(VLOOKUP($A190,Hitters!$A1:$R401,7,FALSE)-AVERAGE(Rankings!P2:P651))/STDEV(Rankings!P2:P651)</f>
        <v>-0.89173431163882366</v>
      </c>
      <c r="J190" s="118">
        <f>(VLOOKUP($A190,Hitters!$A1:$R401,8,FALSE)-AVERAGE(Rankings!Q2:Q651))/STDEV(Rankings!Q2:Q651)</f>
        <v>-0.87660389372927539</v>
      </c>
      <c r="K190" s="157">
        <f>(VLOOKUP($A190,Hitters!$A$1:$R$401,14,FALSE)-AVERAGE(Rankings!R$2:R$651))/STDEV(Rankings!R$2:R$651)</f>
        <v>-0.65661445313756361</v>
      </c>
      <c r="L190" s="157">
        <f>(VLOOKUP($A190,Hitters!$A$1:$R$401,15,FALSE)-AVERAGE(Rankings!S$2:S$651))/STDEV(Rankings!S$2:S$651)</f>
        <v>-0.16521478922737809</v>
      </c>
      <c r="M190" s="157">
        <f>(VLOOKUP($A190,Hitters!$A$1:$R$401,9,FALSE)-AVERAGE(Rankings!T$2:T$651))/STDEV(Rankings!T$2:T$651)</f>
        <v>-0.79999495932700204</v>
      </c>
      <c r="N190" s="157">
        <f>(VLOOKUP($A190,Hitters!$A$1:$R$401,10,FALSE)-AVERAGE(Rankings!U$2:U$651))/STDEV(Rankings!U$2:U$651)</f>
        <v>-1.0293840911455276</v>
      </c>
      <c r="O190" s="157">
        <f>(VLOOKUP($A190,Hitters!$A$1:$R$401,11,FALSE)-AVERAGE(Rankings!V$2:V$651))/STDEV(Rankings!V$2:V$651)</f>
        <v>-0.55499614349843784</v>
      </c>
      <c r="P190" s="157">
        <f>(VLOOKUP($A190,Hitters!$A$1:$R$401,12,FALSE)-AVERAGE(Rankings!W$2:W$651))/STDEV(Rankings!W$2:W$651)</f>
        <v>-0.37054296393060188</v>
      </c>
      <c r="Q190" s="157">
        <f>(VLOOKUP($A190,Hitters!$A$1:$R$401,13,FALSE)-AVERAGE(Rankings!X$2:X$651))/STDEV(Rankings!X$2:X$651)</f>
        <v>-0.80029772058106985</v>
      </c>
      <c r="R190" s="118">
        <f>(VLOOKUP($A190,Hitters!$A1:$R401,16,FALSE)-AVERAGE(Rankings!Y2:Y651))/STDEV(Rankings!Y2:Y651)</f>
        <v>-1.4547545638201966</v>
      </c>
      <c r="S190" s="118">
        <f>(VLOOKUP($A190,Hitters!$A1:$R401,17,FALSE)-AVERAGE(Rankings!Z2:Z651))/STDEV(Rankings!Z2:Z651)</f>
        <v>-1.1257426426337129</v>
      </c>
      <c r="T190" s="118">
        <f>IFERROR((VLOOKUP($A190,Hitters!$A1:$R401,18,FALSE)-AVERAGE(Rankings!AA2:AA651))/STDEV(Rankings!AA2:AA651),0)</f>
        <v>0</v>
      </c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</row>
    <row r="191" spans="1:37" ht="18.600000000000001" customHeight="1">
      <c r="A191" s="26" t="s">
        <v>646</v>
      </c>
      <c r="B191" s="27" t="s">
        <v>78</v>
      </c>
      <c r="C191" s="121" t="s">
        <v>19</v>
      </c>
      <c r="D191" s="67">
        <f>(F191*Settings!$C$2)+(G191*Settings!$C$3)+(H191*Settings!$C$4)+(I191*Settings!$C$5)+(J191*Settings!$C$6)+(M191*Settings!$C$9)+(N191*Settings!$C$10)+(O191*Settings!$C$11)+(P191*Settings!$C$12)+(Q191*Settings!$C$13)+(T191*Settings!$C$16)+(K191*Settings!$C$7)+(L191*Settings!$C$8)+(R191*Settings!$C$14)+(S191*Settings!$C$15)</f>
        <v>-5.1726211636584676</v>
      </c>
      <c r="E191" s="67"/>
      <c r="F191" s="118">
        <f>(VLOOKUP($A191,Hitters!$A1:$R401,4,FALSE)-AVERAGE(Rankings!M2:M651))/STDEV(Rankings!M2:M651)</f>
        <v>-0.38239686619780205</v>
      </c>
      <c r="G191" s="118">
        <f>(VLOOKUP($A191,Hitters!$A1:$R401,5,FALSE)-AVERAGE(Rankings!N2:N651))/STDEV(Rankings!N2:N651)</f>
        <v>-0.6497954918229174</v>
      </c>
      <c r="H191" s="118">
        <f>(VLOOKUP($A191,Hitters!$A1:$R401,6,FALSE)-AVERAGE(Rankings!O2:O651))/STDEV(Rankings!O2:O651)</f>
        <v>-0.27874195364795273</v>
      </c>
      <c r="I191" s="118">
        <f>(VLOOKUP($A191,Hitters!$A1:$R401,7,FALSE)-AVERAGE(Rankings!P2:P651))/STDEV(Rankings!P2:P651)</f>
        <v>-0.54507744365967348</v>
      </c>
      <c r="J191" s="118">
        <f>(VLOOKUP($A191,Hitters!$A1:$R401,8,FALSE)-AVERAGE(Rankings!Q2:Q651))/STDEV(Rankings!Q2:Q651)</f>
        <v>-0.82639442210171288</v>
      </c>
      <c r="K191" s="157">
        <f>(VLOOKUP($A191,Hitters!$A$1:$R$401,14,FALSE)-AVERAGE(Rankings!R$2:R$651))/STDEV(Rankings!R$2:R$651)</f>
        <v>-2.8726118524262114</v>
      </c>
      <c r="L191" s="157">
        <f>(VLOOKUP($A191,Hitters!$A$1:$R$401,15,FALSE)-AVERAGE(Rankings!S$2:S$651))/STDEV(Rankings!S$2:S$651)</f>
        <v>-2.2227746905328396</v>
      </c>
      <c r="M191" s="157">
        <f>(VLOOKUP($A191,Hitters!$A$1:$R$401,9,FALSE)-AVERAGE(Rankings!T$2:T$651))/STDEV(Rankings!T$2:T$651)</f>
        <v>-0.8651163427976859</v>
      </c>
      <c r="N191" s="157">
        <f>(VLOOKUP($A191,Hitters!$A$1:$R$401,10,FALSE)-AVERAGE(Rankings!U$2:U$651))/STDEV(Rankings!U$2:U$651)</f>
        <v>-0.98621050774599284</v>
      </c>
      <c r="O191" s="157">
        <f>(VLOOKUP($A191,Hitters!$A$1:$R$401,11,FALSE)-AVERAGE(Rankings!V$2:V$651))/STDEV(Rankings!V$2:V$651)</f>
        <v>-1.3008550548966871</v>
      </c>
      <c r="P191" s="157">
        <f>(VLOOKUP($A191,Hitters!$A$1:$R$401,12,FALSE)-AVERAGE(Rankings!W$2:W$651))/STDEV(Rankings!W$2:W$651)</f>
        <v>-0.3313239815280633</v>
      </c>
      <c r="Q191" s="157">
        <f>(VLOOKUP($A191,Hitters!$A$1:$R$401,13,FALSE)-AVERAGE(Rankings!X$2:X$651))/STDEV(Rankings!X$2:X$651)</f>
        <v>0.54524381910977038</v>
      </c>
      <c r="R191" s="118">
        <f>(VLOOKUP($A191,Hitters!$A1:$R401,16,FALSE)-AVERAGE(Rankings!Y2:Y651))/STDEV(Rankings!Y2:Y651)</f>
        <v>-1.7779207890379367</v>
      </c>
      <c r="S191" s="118">
        <f>(VLOOKUP($A191,Hitters!$A1:$R401,17,FALSE)-AVERAGE(Rankings!Z2:Z651))/STDEV(Rankings!Z2:Z651)</f>
        <v>-2.1365126326004855</v>
      </c>
      <c r="T191" s="118">
        <f>IFERROR((VLOOKUP($A191,Hitters!$A1:$R401,18,FALSE)-AVERAGE(Rankings!AA2:AA651))/STDEV(Rankings!AA2:AA651),0)</f>
        <v>0</v>
      </c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</row>
    <row r="192" spans="1:37" ht="18.600000000000001" customHeight="1">
      <c r="A192" s="26" t="s">
        <v>631</v>
      </c>
      <c r="B192" s="27" t="s">
        <v>103</v>
      </c>
      <c r="C192" s="121" t="s">
        <v>19</v>
      </c>
      <c r="D192" s="67">
        <f>(F192*Settings!$C$2)+(G192*Settings!$C$3)+(H192*Settings!$C$4)+(I192*Settings!$C$5)+(J192*Settings!$C$6)+(M192*Settings!$C$9)+(N192*Settings!$C$10)+(O192*Settings!$C$11)+(P192*Settings!$C$12)+(Q192*Settings!$C$13)+(T192*Settings!$C$16)+(K192*Settings!$C$7)+(L192*Settings!$C$8)+(R192*Settings!$C$14)+(S192*Settings!$C$15)</f>
        <v>-4.4552618376727704</v>
      </c>
      <c r="E192" s="67"/>
      <c r="F192" s="118">
        <f>(VLOOKUP($A192,Hitters!$A1:$R401,4,FALSE)-AVERAGE(Rankings!M2:M651))/STDEV(Rankings!M2:M651)</f>
        <v>-1.3821711540106283</v>
      </c>
      <c r="G192" s="118">
        <f>(VLOOKUP($A192,Hitters!$A1:$R401,5,FALSE)-AVERAGE(Rankings!N2:N651))/STDEV(Rankings!N2:N651)</f>
        <v>-1.3484676312675539</v>
      </c>
      <c r="H192" s="118">
        <f>(VLOOKUP($A192,Hitters!$A1:$R401,6,FALSE)-AVERAGE(Rankings!O2:O651))/STDEV(Rankings!O2:O651)</f>
        <v>-0.98201376991613509</v>
      </c>
      <c r="I192" s="118">
        <f>(VLOOKUP($A192,Hitters!$A1:$R401,7,FALSE)-AVERAGE(Rankings!P2:P651))/STDEV(Rankings!P2:P651)</f>
        <v>-1.1607624389912183</v>
      </c>
      <c r="J192" s="118">
        <f>(VLOOKUP($A192,Hitters!$A1:$R401,8,FALSE)-AVERAGE(Rankings!Q2:Q651))/STDEV(Rankings!Q2:Q651)</f>
        <v>-0.68107205548250593</v>
      </c>
      <c r="K192" s="157">
        <f>(VLOOKUP($A192,Hitters!$A$1:$R$401,14,FALSE)-AVERAGE(Rankings!R$2:R$651))/STDEV(Rankings!R$2:R$651)</f>
        <v>-0.28294594201535667</v>
      </c>
      <c r="L192" s="157">
        <f>(VLOOKUP($A192,Hitters!$A$1:$R$401,15,FALSE)-AVERAGE(Rankings!S$2:S$651))/STDEV(Rankings!S$2:S$651)</f>
        <v>-1.4655049241814524</v>
      </c>
      <c r="M192" s="157">
        <f>(VLOOKUP($A192,Hitters!$A$1:$R$401,9,FALSE)-AVERAGE(Rankings!T$2:T$651))/STDEV(Rankings!T$2:T$651)</f>
        <v>-1.2752552491825087</v>
      </c>
      <c r="N192" s="157">
        <f>(VLOOKUP($A192,Hitters!$A$1:$R$401,10,FALSE)-AVERAGE(Rankings!U$2:U$651))/STDEV(Rankings!U$2:U$651)</f>
        <v>-1.3001871657578925</v>
      </c>
      <c r="O192" s="157">
        <f>(VLOOKUP($A192,Hitters!$A$1:$R$401,11,FALSE)-AVERAGE(Rankings!V$2:V$651))/STDEV(Rankings!V$2:V$651)</f>
        <v>-0.66086614243092601</v>
      </c>
      <c r="P192" s="157">
        <f>(VLOOKUP($A192,Hitters!$A$1:$R$401,12,FALSE)-AVERAGE(Rankings!W$2:W$651))/STDEV(Rankings!W$2:W$651)</f>
        <v>-1.4880507012070585</v>
      </c>
      <c r="Q192" s="157">
        <f>(VLOOKUP($A192,Hitters!$A$1:$R$401,13,FALSE)-AVERAGE(Rankings!X$2:X$651))/STDEV(Rankings!X$2:X$651)</f>
        <v>-0.69234813950873897</v>
      </c>
      <c r="R192" s="118">
        <f>(VLOOKUP($A192,Hitters!$A1:$R401,16,FALSE)-AVERAGE(Rankings!Y2:Y651))/STDEV(Rankings!Y2:Y651)</f>
        <v>-0.55228606075229181</v>
      </c>
      <c r="S192" s="118">
        <f>(VLOOKUP($A192,Hitters!$A1:$R401,17,FALSE)-AVERAGE(Rankings!Z2:Z651))/STDEV(Rankings!Z2:Z651)</f>
        <v>-0.95540551805367202</v>
      </c>
      <c r="T192" s="118">
        <f>IFERROR((VLOOKUP($A192,Hitters!$A1:$R401,18,FALSE)-AVERAGE(Rankings!AA2:AA651))/STDEV(Rankings!AA2:AA651),0)</f>
        <v>0</v>
      </c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</row>
    <row r="193" spans="1:37" ht="18.600000000000001" customHeight="1">
      <c r="A193" s="26" t="s">
        <v>644</v>
      </c>
      <c r="B193" s="27" t="s">
        <v>97</v>
      </c>
      <c r="C193" s="121" t="s">
        <v>19</v>
      </c>
      <c r="D193" s="67">
        <f>(F193*Settings!$C$2)+(G193*Settings!$C$3)+(H193*Settings!$C$4)+(I193*Settings!$C$5)+(J193*Settings!$C$6)+(M193*Settings!$C$9)+(N193*Settings!$C$10)+(O193*Settings!$C$11)+(P193*Settings!$C$12)+(Q193*Settings!$C$13)+(T193*Settings!$C$16)+(K193*Settings!$C$7)+(L193*Settings!$C$8)+(R193*Settings!$C$14)+(S193*Settings!$C$15)</f>
        <v>-5.0002981949547651</v>
      </c>
      <c r="E193" s="67"/>
      <c r="F193" s="118">
        <f>(VLOOKUP($A193,Hitters!$A1:$R401,4,FALSE)-AVERAGE(Rankings!M2:M651))/STDEV(Rankings!M2:M651)</f>
        <v>-1.2411990083826643</v>
      </c>
      <c r="G193" s="118">
        <f>(VLOOKUP($A193,Hitters!$A1:$R401,5,FALSE)-AVERAGE(Rankings!N2:N651))/STDEV(Rankings!N2:N651)</f>
        <v>-1.2169484010988247</v>
      </c>
      <c r="H193" s="118">
        <f>(VLOOKUP($A193,Hitters!$A1:$R401,6,FALSE)-AVERAGE(Rankings!O2:O651))/STDEV(Rankings!O2:O651)</f>
        <v>-0.94579137050454087</v>
      </c>
      <c r="I193" s="118">
        <f>(VLOOKUP($A193,Hitters!$A1:$R401,7,FALSE)-AVERAGE(Rankings!P2:P651))/STDEV(Rankings!P2:P651)</f>
        <v>-1.0575289399806873</v>
      </c>
      <c r="J193" s="118">
        <f>(VLOOKUP($A193,Hitters!$A1:$R401,8,FALSE)-AVERAGE(Rankings!Q2:Q651))/STDEV(Rankings!Q2:Q651)</f>
        <v>-0.8262360326013104</v>
      </c>
      <c r="K193" s="157">
        <f>(VLOOKUP($A193,Hitters!$A$1:$R$401,14,FALSE)-AVERAGE(Rankings!R$2:R$651))/STDEV(Rankings!R$2:R$651)</f>
        <v>-0.95379345076940114</v>
      </c>
      <c r="L193" s="157">
        <f>(VLOOKUP($A193,Hitters!$A$1:$R$401,15,FALSE)-AVERAGE(Rankings!S$2:S$651))/STDEV(Rankings!S$2:S$651)</f>
        <v>-0.32361421095740006</v>
      </c>
      <c r="M193" s="157">
        <f>(VLOOKUP($A193,Hitters!$A$1:$R$401,9,FALSE)-AVERAGE(Rankings!T$2:T$651))/STDEV(Rankings!T$2:T$651)</f>
        <v>-1.2309673165875656</v>
      </c>
      <c r="N193" s="157">
        <f>(VLOOKUP($A193,Hitters!$A$1:$R$401,10,FALSE)-AVERAGE(Rankings!U$2:U$651))/STDEV(Rankings!U$2:U$651)</f>
        <v>-1.2954538493054517</v>
      </c>
      <c r="O193" s="157">
        <f>(VLOOKUP($A193,Hitters!$A$1:$R$401,11,FALSE)-AVERAGE(Rankings!V$2:V$651))/STDEV(Rankings!V$2:V$651)</f>
        <v>-1.4038637025066756</v>
      </c>
      <c r="P193" s="157">
        <f>(VLOOKUP($A193,Hitters!$A$1:$R$401,12,FALSE)-AVERAGE(Rankings!W$2:W$651))/STDEV(Rankings!W$2:W$651)</f>
        <v>-0.7093315248432519</v>
      </c>
      <c r="Q193" s="157">
        <f>(VLOOKUP($A193,Hitters!$A$1:$R$401,13,FALSE)-AVERAGE(Rankings!X$2:X$651))/STDEV(Rankings!X$2:X$651)</f>
        <v>-1.0765942304007248</v>
      </c>
      <c r="R193" s="118">
        <f>(VLOOKUP($A193,Hitters!$A1:$R401,16,FALSE)-AVERAGE(Rankings!Y2:Y651))/STDEV(Rankings!Y2:Y651)</f>
        <v>-1.2175797061913438</v>
      </c>
      <c r="S193" s="118">
        <f>(VLOOKUP($A193,Hitters!$A1:$R401,17,FALSE)-AVERAGE(Rankings!Z2:Z651))/STDEV(Rankings!Z2:Z651)</f>
        <v>-1.0119696362542865</v>
      </c>
      <c r="T193" s="118">
        <f>IFERROR((VLOOKUP($A193,Hitters!$A1:$R401,18,FALSE)-AVERAGE(Rankings!AA2:AA651))/STDEV(Rankings!AA2:AA651),0)</f>
        <v>0</v>
      </c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</row>
    <row r="194" spans="1:37" ht="18.600000000000001" customHeight="1">
      <c r="A194" s="26" t="s">
        <v>642</v>
      </c>
      <c r="B194" s="27" t="s">
        <v>71</v>
      </c>
      <c r="C194" s="121" t="s">
        <v>19</v>
      </c>
      <c r="D194" s="67">
        <f>(F194*Settings!$C$2)+(G194*Settings!$C$3)+(H194*Settings!$C$4)+(I194*Settings!$C$5)+(J194*Settings!$C$6)+(M194*Settings!$C$9)+(N194*Settings!$C$10)+(O194*Settings!$C$11)+(P194*Settings!$C$12)+(Q194*Settings!$C$13)+(T194*Settings!$C$16)+(K194*Settings!$C$7)+(L194*Settings!$C$8)+(R194*Settings!$C$14)+(S194*Settings!$C$15)</f>
        <v>-5.5915201412446685</v>
      </c>
      <c r="E194" s="67"/>
      <c r="F194" s="118">
        <f>(VLOOKUP($A194,Hitters!$A1:$R401,4,FALSE)-AVERAGE(Rankings!M2:M651))/STDEV(Rankings!M2:M651)</f>
        <v>-1.3245909818527275</v>
      </c>
      <c r="G194" s="118">
        <f>(VLOOKUP($A194,Hitters!$A1:$R401,5,FALSE)-AVERAGE(Rankings!N2:N651))/STDEV(Rankings!N2:N651)</f>
        <v>-1.2075161370497083</v>
      </c>
      <c r="H194" s="118">
        <f>(VLOOKUP($A194,Hitters!$A1:$R401,6,FALSE)-AVERAGE(Rankings!O2:O651))/STDEV(Rankings!O2:O651)</f>
        <v>-0.68164648864153099</v>
      </c>
      <c r="I194" s="118">
        <f>(VLOOKUP($A194,Hitters!$A1:$R401,7,FALSE)-AVERAGE(Rankings!P2:P651))/STDEV(Rankings!P2:P651)</f>
        <v>-1.0880459432631397</v>
      </c>
      <c r="J194" s="118">
        <f>(VLOOKUP($A194,Hitters!$A1:$R401,8,FALSE)-AVERAGE(Rankings!Q2:Q651))/STDEV(Rankings!Q2:Q651)</f>
        <v>-0.82639442210171288</v>
      </c>
      <c r="K194" s="157">
        <f>(VLOOKUP($A194,Hitters!$A$1:$R$401,14,FALSE)-AVERAGE(Rankings!R$2:R$651))/STDEV(Rankings!R$2:R$651)</f>
        <v>-1.7879171501885773</v>
      </c>
      <c r="L194" s="157">
        <f>(VLOOKUP($A194,Hitters!$A$1:$R$401,15,FALSE)-AVERAGE(Rankings!S$2:S$651))/STDEV(Rankings!S$2:S$651)</f>
        <v>-0.84351615859978246</v>
      </c>
      <c r="M194" s="157">
        <f>(VLOOKUP($A194,Hitters!$A$1:$R$401,9,FALSE)-AVERAGE(Rankings!T$2:T$651))/STDEV(Rankings!T$2:T$651)</f>
        <v>-1.3889480785123065</v>
      </c>
      <c r="N194" s="157">
        <f>(VLOOKUP($A194,Hitters!$A$1:$R$401,10,FALSE)-AVERAGE(Rankings!U$2:U$651))/STDEV(Rankings!U$2:U$651)</f>
        <v>-1.4175877571616111</v>
      </c>
      <c r="O194" s="157">
        <f>(VLOOKUP($A194,Hitters!$A$1:$R$401,11,FALSE)-AVERAGE(Rankings!V$2:V$651))/STDEV(Rankings!V$2:V$651)</f>
        <v>-1.389556945894177</v>
      </c>
      <c r="P194" s="157">
        <f>(VLOOKUP($A194,Hitters!$A$1:$R$401,12,FALSE)-AVERAGE(Rankings!W$2:W$651))/STDEV(Rankings!W$2:W$651)</f>
        <v>-0.72954749515383899</v>
      </c>
      <c r="Q194" s="157">
        <f>(VLOOKUP($A194,Hitters!$A$1:$R$401,13,FALSE)-AVERAGE(Rankings!X$2:X$651))/STDEV(Rankings!X$2:X$651)</f>
        <v>-0.59240302620056451</v>
      </c>
      <c r="R194" s="118">
        <f>(VLOOKUP($A194,Hitters!$A1:$R401,16,FALSE)-AVERAGE(Rankings!Y2:Y651))/STDEV(Rankings!Y2:Y651)</f>
        <v>-0.83498398941049401</v>
      </c>
      <c r="S194" s="118">
        <f>(VLOOKUP($A194,Hitters!$A1:$R401,17,FALSE)-AVERAGE(Rankings!Z2:Z651))/STDEV(Rankings!Z2:Z651)</f>
        <v>-0.92795644343823103</v>
      </c>
      <c r="T194" s="118">
        <f>IFERROR((VLOOKUP($A194,Hitters!$A1:$R401,18,FALSE)-AVERAGE(Rankings!AA2:AA651))/STDEV(Rankings!AA2:AA651),0)</f>
        <v>0</v>
      </c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</row>
    <row r="195" spans="1:37" ht="18.600000000000001" customHeight="1">
      <c r="A195" s="26" t="s">
        <v>643</v>
      </c>
      <c r="B195" s="27" t="s">
        <v>76</v>
      </c>
      <c r="C195" s="121" t="s">
        <v>19</v>
      </c>
      <c r="D195" s="67">
        <f>(F195*Settings!$C$2)+(G195*Settings!$C$3)+(H195*Settings!$C$4)+(I195*Settings!$C$5)+(J195*Settings!$C$6)+(M195*Settings!$C$9)+(N195*Settings!$C$10)+(O195*Settings!$C$11)+(P195*Settings!$C$12)+(Q195*Settings!$C$13)+(T195*Settings!$C$16)+(K195*Settings!$C$7)+(L195*Settings!$C$8)+(R195*Settings!$C$14)+(S195*Settings!$C$15)</f>
        <v>-5.0669919298497774</v>
      </c>
      <c r="E195" s="67"/>
      <c r="F195" s="118">
        <f>(VLOOKUP($A195,Hitters!$A1:$R401,4,FALSE)-AVERAGE(Rankings!M2:M651))/STDEV(Rankings!M2:M651)</f>
        <v>-1.4212901851318436</v>
      </c>
      <c r="G195" s="118">
        <f>(VLOOKUP($A195,Hitters!$A1:$R401,5,FALSE)-AVERAGE(Rankings!N2:N651))/STDEV(Rankings!N2:N651)</f>
        <v>-1.2275216648313021</v>
      </c>
      <c r="H195" s="118">
        <f>(VLOOKUP($A195,Hitters!$A1:$R401,6,FALSE)-AVERAGE(Rankings!O2:O651))/STDEV(Rankings!O2:O651)</f>
        <v>-0.9261476846697918</v>
      </c>
      <c r="I195" s="118">
        <f>(VLOOKUP($A195,Hitters!$A1:$R401,7,FALSE)-AVERAGE(Rankings!P2:P651))/STDEV(Rankings!P2:P651)</f>
        <v>-1.1831093354732811</v>
      </c>
      <c r="J195" s="118">
        <f>(VLOOKUP($A195,Hitters!$A1:$R401,8,FALSE)-AVERAGE(Rankings!Q2:Q651))/STDEV(Rankings!Q2:Q651)</f>
        <v>-0.40175217152286419</v>
      </c>
      <c r="K195" s="157">
        <f>(VLOOKUP($A195,Hitters!$A$1:$R$401,14,FALSE)-AVERAGE(Rankings!R$2:R$651))/STDEV(Rankings!R$2:R$651)</f>
        <v>-1.3284610733525384</v>
      </c>
      <c r="L195" s="157">
        <f>(VLOOKUP($A195,Hitters!$A$1:$R$401,15,FALSE)-AVERAGE(Rankings!S$2:S$651))/STDEV(Rankings!S$2:S$651)</f>
        <v>-0.43360765452600603</v>
      </c>
      <c r="M195" s="157">
        <f>(VLOOKUP($A195,Hitters!$A$1:$R$401,9,FALSE)-AVERAGE(Rankings!T$2:T$651))/STDEV(Rankings!T$2:T$651)</f>
        <v>-1.4151434096278139</v>
      </c>
      <c r="N195" s="157">
        <f>(VLOOKUP($A195,Hitters!$A$1:$R$401,10,FALSE)-AVERAGE(Rankings!U$2:U$651))/STDEV(Rankings!U$2:U$651)</f>
        <v>-1.3091517802511514</v>
      </c>
      <c r="O195" s="157">
        <f>(VLOOKUP($A195,Hitters!$A$1:$R$401,11,FALSE)-AVERAGE(Rankings!V$2:V$651))/STDEV(Rankings!V$2:V$651)</f>
        <v>-0.5521347921759383</v>
      </c>
      <c r="P195" s="157">
        <f>(VLOOKUP($A195,Hitters!$A$1:$R$401,12,FALSE)-AVERAGE(Rankings!W$2:W$651))/STDEV(Rankings!W$2:W$651)</f>
        <v>-0.78154919109122545</v>
      </c>
      <c r="Q195" s="157">
        <f>(VLOOKUP($A195,Hitters!$A$1:$R$401,13,FALSE)-AVERAGE(Rankings!X$2:X$651))/STDEV(Rankings!X$2:X$651)</f>
        <v>-0.87059782877061209</v>
      </c>
      <c r="R195" s="118">
        <f>(VLOOKUP($A195,Hitters!$A1:$R401,16,FALSE)-AVERAGE(Rankings!Y2:Y651))/STDEV(Rankings!Y2:Y651)</f>
        <v>-0.75166896318451826</v>
      </c>
      <c r="S195" s="118">
        <f>(VLOOKUP($A195,Hitters!$A1:$R401,17,FALSE)-AVERAGE(Rankings!Z2:Z651))/STDEV(Rankings!Z2:Z651)</f>
        <v>-0.71274785200693169</v>
      </c>
      <c r="T195" s="118">
        <f>IFERROR((VLOOKUP($A195,Hitters!$A1:$R401,18,FALSE)-AVERAGE(Rankings!AA2:AA651))/STDEV(Rankings!AA2:AA651),0)</f>
        <v>0</v>
      </c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</row>
    <row r="196" spans="1:37" ht="18.600000000000001" customHeight="1">
      <c r="A196" s="26" t="s">
        <v>661</v>
      </c>
      <c r="B196" s="27" t="s">
        <v>84</v>
      </c>
      <c r="C196" s="121" t="s">
        <v>19</v>
      </c>
      <c r="D196" s="67">
        <f>(F196*Settings!$C$2)+(G196*Settings!$C$3)+(H196*Settings!$C$4)+(I196*Settings!$C$5)+(J196*Settings!$C$6)+(M196*Settings!$C$9)+(N196*Settings!$C$10)+(O196*Settings!$C$11)+(P196*Settings!$C$12)+(Q196*Settings!$C$13)+(T196*Settings!$C$16)+(K196*Settings!$C$7)+(L196*Settings!$C$8)+(R196*Settings!$C$14)+(S196*Settings!$C$15)</f>
        <v>-5.506100715593103</v>
      </c>
      <c r="E196" s="67"/>
      <c r="F196" s="118">
        <f>(VLOOKUP($A196,Hitters!$A1:$R401,4,FALSE)-AVERAGE(Rankings!M2:M651))/STDEV(Rankings!M2:M651)</f>
        <v>-0.95274896033119871</v>
      </c>
      <c r="G196" s="118">
        <f>(VLOOKUP($A196,Hitters!$A1:$R401,5,FALSE)-AVERAGE(Rankings!N2:N651))/STDEV(Rankings!N2:N651)</f>
        <v>-0.99034586398335689</v>
      </c>
      <c r="H196" s="118">
        <f>(VLOOKUP($A196,Hitters!$A1:$R401,6,FALSE)-AVERAGE(Rankings!O2:O651))/STDEV(Rankings!O2:O651)</f>
        <v>-0.6342090771044242</v>
      </c>
      <c r="I196" s="118">
        <f>(VLOOKUP($A196,Hitters!$A1:$R401,7,FALSE)-AVERAGE(Rankings!P2:P651))/STDEV(Rankings!P2:P651)</f>
        <v>-0.97465707785586253</v>
      </c>
      <c r="J196" s="118">
        <f>(VLOOKUP($A196,Hitters!$A1:$R401,8,FALSE)-AVERAGE(Rankings!Q2:Q651))/STDEV(Rankings!Q2:Q651)</f>
        <v>-0.96736107745985367</v>
      </c>
      <c r="K196" s="157">
        <f>(VLOOKUP($A196,Hitters!$A$1:$R$401,14,FALSE)-AVERAGE(Rankings!R$2:R$651))/STDEV(Rankings!R$2:R$651)</f>
        <v>-1.9395276191896056</v>
      </c>
      <c r="L196" s="157">
        <f>(VLOOKUP($A196,Hitters!$A$1:$R$401,15,FALSE)-AVERAGE(Rankings!S$2:S$651))/STDEV(Rankings!S$2:S$651)</f>
        <v>-1.1944160139006248</v>
      </c>
      <c r="M196" s="157">
        <f>(VLOOKUP($A196,Hitters!$A$1:$R$401,9,FALSE)-AVERAGE(Rankings!T$2:T$651))/STDEV(Rankings!T$2:T$651)</f>
        <v>-1.1287021817352587</v>
      </c>
      <c r="N196" s="157">
        <f>(VLOOKUP($A196,Hitters!$A$1:$R$401,10,FALSE)-AVERAGE(Rankings!U$2:U$651))/STDEV(Rankings!U$2:U$651)</f>
        <v>-1.2639701232051266</v>
      </c>
      <c r="O196" s="157">
        <f>(VLOOKUP($A196,Hitters!$A$1:$R$401,11,FALSE)-AVERAGE(Rankings!V$2:V$651))/STDEV(Rankings!V$2:V$651)</f>
        <v>-0.55308857595010485</v>
      </c>
      <c r="P196" s="157">
        <f>(VLOOKUP($A196,Hitters!$A$1:$R$401,12,FALSE)-AVERAGE(Rankings!W$2:W$651))/STDEV(Rankings!W$2:W$651)</f>
        <v>-0.55006078028861349</v>
      </c>
      <c r="Q196" s="157">
        <f>(VLOOKUP($A196,Hitters!$A$1:$R$401,13,FALSE)-AVERAGE(Rankings!X$2:X$651))/STDEV(Rankings!X$2:X$651)</f>
        <v>-0.22375457407430532</v>
      </c>
      <c r="R196" s="118">
        <f>(VLOOKUP($A196,Hitters!$A1:$R401,16,FALSE)-AVERAGE(Rankings!Y2:Y651))/STDEV(Rankings!Y2:Y651)</f>
        <v>-1.220304361280756</v>
      </c>
      <c r="S196" s="118">
        <f>(VLOOKUP($A196,Hitters!$A1:$R401,17,FALSE)-AVERAGE(Rankings!Z2:Z651))/STDEV(Rankings!Z2:Z651)</f>
        <v>-1.3417479095634983</v>
      </c>
      <c r="T196" s="118">
        <f>IFERROR((VLOOKUP($A196,Hitters!$A1:$R401,18,FALSE)-AVERAGE(Rankings!AA2:AA651))/STDEV(Rankings!AA2:AA651),0)</f>
        <v>0</v>
      </c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</row>
    <row r="197" spans="1:37" ht="18.600000000000001" customHeight="1">
      <c r="A197" s="26" t="s">
        <v>655</v>
      </c>
      <c r="B197" s="27" t="s">
        <v>99</v>
      </c>
      <c r="C197" s="121" t="s">
        <v>19</v>
      </c>
      <c r="D197" s="67">
        <f>(F197*Settings!$C$2)+(G197*Settings!$C$3)+(H197*Settings!$C$4)+(I197*Settings!$C$5)+(J197*Settings!$C$6)+(M197*Settings!$C$9)+(N197*Settings!$C$10)+(O197*Settings!$C$11)+(P197*Settings!$C$12)+(Q197*Settings!$C$13)+(T197*Settings!$C$16)+(K197*Settings!$C$7)+(L197*Settings!$C$8)+(R197*Settings!$C$14)+(S197*Settings!$C$15)</f>
        <v>-4.9096626522734539</v>
      </c>
      <c r="E197" s="67"/>
      <c r="F197" s="118">
        <f>(VLOOKUP($A197,Hitters!$A1:$R401,4,FALSE)-AVERAGE(Rankings!M2:M651))/STDEV(Rankings!M2:M651)</f>
        <v>-1.2509576435759697</v>
      </c>
      <c r="G197" s="118">
        <f>(VLOOKUP($A197,Hitters!$A1:$R401,5,FALSE)-AVERAGE(Rankings!N2:N651))/STDEV(Rankings!N2:N651)</f>
        <v>-1.2470961482880709</v>
      </c>
      <c r="H197" s="118">
        <f>(VLOOKUP($A197,Hitters!$A1:$R401,6,FALSE)-AVERAGE(Rankings!O2:O651))/STDEV(Rankings!O2:O651)</f>
        <v>-1.0132904186388385</v>
      </c>
      <c r="I197" s="118">
        <f>(VLOOKUP($A197,Hitters!$A1:$R401,7,FALSE)-AVERAGE(Rankings!P2:P651))/STDEV(Rankings!P2:P651)</f>
        <v>-1.1780698303440686</v>
      </c>
      <c r="J197" s="118">
        <f>(VLOOKUP($A197,Hitters!$A1:$R401,8,FALSE)-AVERAGE(Rankings!Q2:Q651))/STDEV(Rankings!Q2:Q651)</f>
        <v>-0.68400226123995056</v>
      </c>
      <c r="K197" s="157">
        <f>(VLOOKUP($A197,Hitters!$A$1:$R$401,14,FALSE)-AVERAGE(Rankings!R$2:R$651))/STDEV(Rankings!R$2:R$651)</f>
        <v>-0.7872039937625247</v>
      </c>
      <c r="L197" s="157">
        <f>(VLOOKUP($A197,Hitters!$A$1:$R$401,15,FALSE)-AVERAGE(Rankings!S$2:S$651))/STDEV(Rankings!S$2:S$651)</f>
        <v>-1.1887286261454098</v>
      </c>
      <c r="M197" s="157">
        <f>(VLOOKUP($A197,Hitters!$A$1:$R$401,9,FALSE)-AVERAGE(Rankings!T$2:T$651))/STDEV(Rankings!T$2:T$651)</f>
        <v>-1.2200039190023444</v>
      </c>
      <c r="N197" s="157">
        <f>(VLOOKUP($A197,Hitters!$A$1:$R$401,10,FALSE)-AVERAGE(Rankings!U$2:U$651))/STDEV(Rankings!U$2:U$651)</f>
        <v>-1.422751375109728</v>
      </c>
      <c r="O197" s="157">
        <f>(VLOOKUP($A197,Hitters!$A$1:$R$401,11,FALSE)-AVERAGE(Rankings!V$2:V$651))/STDEV(Rankings!V$2:V$651)</f>
        <v>-1.0032745173567206</v>
      </c>
      <c r="P197" s="157">
        <f>(VLOOKUP($A197,Hitters!$A$1:$R$401,12,FALSE)-AVERAGE(Rankings!W$2:W$651))/STDEV(Rankings!W$2:W$651)</f>
        <v>-1.1567264985629322</v>
      </c>
      <c r="Q197" s="157">
        <f>(VLOOKUP($A197,Hitters!$A$1:$R$401,13,FALSE)-AVERAGE(Rankings!X$2:X$651))/STDEV(Rankings!X$2:X$651)</f>
        <v>-0.83820029916391026</v>
      </c>
      <c r="R197" s="118">
        <f>(VLOOKUP($A197,Hitters!$A1:$R401,16,FALSE)-AVERAGE(Rankings!Y2:Y651))/STDEV(Rankings!Y2:Y651)</f>
        <v>-1.3027931417668766</v>
      </c>
      <c r="S197" s="118">
        <f>(VLOOKUP($A197,Hitters!$A1:$R401,17,FALSE)-AVERAGE(Rankings!Z2:Z651))/STDEV(Rankings!Z2:Z651)</f>
        <v>-1.3999142721947906</v>
      </c>
      <c r="T197" s="118">
        <f>IFERROR((VLOOKUP($A197,Hitters!$A1:$R401,18,FALSE)-AVERAGE(Rankings!AA2:AA651))/STDEV(Rankings!AA2:AA651),0)</f>
        <v>0</v>
      </c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</row>
    <row r="198" spans="1:37" ht="18.600000000000001" customHeight="1">
      <c r="A198" s="26" t="s">
        <v>671</v>
      </c>
      <c r="B198" s="27" t="s">
        <v>158</v>
      </c>
      <c r="C198" s="121" t="s">
        <v>19</v>
      </c>
      <c r="D198" s="67">
        <f>(F198*Settings!$C$2)+(G198*Settings!$C$3)+(H198*Settings!$C$4)+(I198*Settings!$C$5)+(J198*Settings!$C$6)+(M198*Settings!$C$9)+(N198*Settings!$C$10)+(O198*Settings!$C$11)+(P198*Settings!$C$12)+(Q198*Settings!$C$13)+(T198*Settings!$C$16)+(K198*Settings!$C$7)+(L198*Settings!$C$8)+(R198*Settings!$C$14)+(S198*Settings!$C$15)</f>
        <v>-5.4581640382591203</v>
      </c>
      <c r="E198" s="67"/>
      <c r="F198" s="118">
        <f>(VLOOKUP($A198,Hitters!$A1:$R401,4,FALSE)-AVERAGE(Rankings!M2:M651))/STDEV(Rankings!M2:M651)</f>
        <v>-0.77354493223595622</v>
      </c>
      <c r="G198" s="118">
        <f>(VLOOKUP($A198,Hitters!$A1:$R401,5,FALSE)-AVERAGE(Rankings!N2:N651))/STDEV(Rankings!N2:N651)</f>
        <v>-1.1157544069589758</v>
      </c>
      <c r="H198" s="118">
        <f>(VLOOKUP($A198,Hitters!$A1:$R401,6,FALSE)-AVERAGE(Rankings!O2:O651))/STDEV(Rankings!O2:O651)</f>
        <v>-1.1562992378542287</v>
      </c>
      <c r="I198" s="118">
        <f>(VLOOKUP($A198,Hitters!$A1:$R401,7,FALSE)-AVERAGE(Rankings!P2:P651))/STDEV(Rankings!P2:P651)</f>
        <v>-1.0910747367498885</v>
      </c>
      <c r="J198" s="118">
        <f>(VLOOKUP($A198,Hitters!$A1:$R401,8,FALSE)-AVERAGE(Rankings!Q2:Q651))/STDEV(Rankings!Q2:Q651)</f>
        <v>-0.89545224427716152</v>
      </c>
      <c r="K198" s="157">
        <f>(VLOOKUP($A198,Hitters!$A$1:$R$401,14,FALSE)-AVERAGE(Rankings!R$2:R$651))/STDEV(Rankings!R$2:R$651)</f>
        <v>-1.1995834124188653</v>
      </c>
      <c r="L198" s="157">
        <f>(VLOOKUP($A198,Hitters!$A$1:$R$401,15,FALSE)-AVERAGE(Rankings!S$2:S$651))/STDEV(Rankings!S$2:S$651)</f>
        <v>-0.93793785360322157</v>
      </c>
      <c r="M198" s="157">
        <f>(VLOOKUP($A198,Hitters!$A$1:$R$401,9,FALSE)-AVERAGE(Rankings!T$2:T$651))/STDEV(Rankings!T$2:T$651)</f>
        <v>-0.88752241217950378</v>
      </c>
      <c r="N198" s="157">
        <f>(VLOOKUP($A198,Hitters!$A$1:$R$401,10,FALSE)-AVERAGE(Rankings!U$2:U$651))/STDEV(Rankings!U$2:U$651)</f>
        <v>-1.0301012603049886</v>
      </c>
      <c r="O198" s="157">
        <f>(VLOOKUP($A198,Hitters!$A$1:$R$401,11,FALSE)-AVERAGE(Rankings!V$2:V$651))/STDEV(Rankings!V$2:V$651)</f>
        <v>-1.3881262702329273</v>
      </c>
      <c r="P198" s="157">
        <f>(VLOOKUP($A198,Hitters!$A$1:$R$401,12,FALSE)-AVERAGE(Rankings!W$2:W$651))/STDEV(Rankings!W$2:W$651)</f>
        <v>-0.58756918058794816</v>
      </c>
      <c r="Q198" s="157">
        <f>(VLOOKUP($A198,Hitters!$A$1:$R$401,13,FALSE)-AVERAGE(Rankings!X$2:X$651))/STDEV(Rankings!X$2:X$651)</f>
        <v>-0.50669510852033472</v>
      </c>
      <c r="R198" s="118">
        <f>(VLOOKUP($A198,Hitters!$A1:$R401,16,FALSE)-AVERAGE(Rankings!Y2:Y651))/STDEV(Rankings!Y2:Y651)</f>
        <v>-2.2143891214520059</v>
      </c>
      <c r="S198" s="118">
        <f>(VLOOKUP($A198,Hitters!$A1:$R401,17,FALSE)-AVERAGE(Rankings!Z2:Z651))/STDEV(Rankings!Z2:Z651)</f>
        <v>-1.9719758916267143</v>
      </c>
      <c r="T198" s="118">
        <f>IFERROR((VLOOKUP($A198,Hitters!$A1:$R401,18,FALSE)-AVERAGE(Rankings!AA2:AA651))/STDEV(Rankings!AA2:AA651),0)</f>
        <v>0</v>
      </c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</row>
    <row r="199" spans="1:37" ht="18.600000000000001" customHeight="1">
      <c r="A199" s="26" t="s">
        <v>663</v>
      </c>
      <c r="B199" s="27" t="s">
        <v>81</v>
      </c>
      <c r="C199" s="121" t="s">
        <v>19</v>
      </c>
      <c r="D199" s="67">
        <f>(F199*Settings!$C$2)+(G199*Settings!$C$3)+(H199*Settings!$C$4)+(I199*Settings!$C$5)+(J199*Settings!$C$6)+(M199*Settings!$C$9)+(N199*Settings!$C$10)+(O199*Settings!$C$11)+(P199*Settings!$C$12)+(Q199*Settings!$C$13)+(T199*Settings!$C$16)+(K199*Settings!$C$7)+(L199*Settings!$C$8)+(R199*Settings!$C$14)+(S199*Settings!$C$15)</f>
        <v>-5.1864793483300833</v>
      </c>
      <c r="E199" s="67"/>
      <c r="F199" s="118">
        <f>(VLOOKUP($A199,Hitters!$A1:$R401,4,FALSE)-AVERAGE(Rankings!M2:M651))/STDEV(Rankings!M2:M651)</f>
        <v>-1.5996493097471463</v>
      </c>
      <c r="G199" s="118">
        <f>(VLOOKUP($A199,Hitters!$A1:$R401,5,FALSE)-AVERAGE(Rankings!N2:N651))/STDEV(Rankings!N2:N651)</f>
        <v>-1.2530800577385857</v>
      </c>
      <c r="H199" s="118">
        <f>(VLOOKUP($A199,Hitters!$A1:$R401,6,FALSE)-AVERAGE(Rankings!O2:O651))/STDEV(Rankings!O2:O651)</f>
        <v>-0.97170431777591215</v>
      </c>
      <c r="I199" s="118">
        <f>(VLOOKUP($A199,Hitters!$A1:$R401,7,FALSE)-AVERAGE(Rankings!P2:P651))/STDEV(Rankings!P2:P651)</f>
        <v>-1.2794707820348863</v>
      </c>
      <c r="J199" s="118">
        <f>(VLOOKUP($A199,Hitters!$A1:$R401,8,FALSE)-AVERAGE(Rankings!Q2:Q651))/STDEV(Rankings!Q2:Q651)</f>
        <v>-0.68107205548250593</v>
      </c>
      <c r="K199" s="157">
        <f>(VLOOKUP($A199,Hitters!$A$1:$R$401,14,FALSE)-AVERAGE(Rankings!R$2:R$651))/STDEV(Rankings!R$2:R$651)</f>
        <v>-1.0011521352981934</v>
      </c>
      <c r="L199" s="157">
        <f>(VLOOKUP($A199,Hitters!$A$1:$R$401,15,FALSE)-AVERAGE(Rankings!S$2:S$651))/STDEV(Rankings!S$2:S$651)</f>
        <v>-0.12123081045037198</v>
      </c>
      <c r="M199" s="157">
        <f>(VLOOKUP($A199,Hitters!$A$1:$R$401,9,FALSE)-AVERAGE(Rankings!T$2:T$651))/STDEV(Rankings!T$2:T$651)</f>
        <v>-1.5259156617320406</v>
      </c>
      <c r="N199" s="157">
        <f>(VLOOKUP($A199,Hitters!$A$1:$R$401,10,FALSE)-AVERAGE(Rankings!U$2:U$651))/STDEV(Rankings!U$2:U$651)</f>
        <v>-1.6075658675027535</v>
      </c>
      <c r="O199" s="157">
        <f>(VLOOKUP($A199,Hitters!$A$1:$R$401,11,FALSE)-AVERAGE(Rankings!V$2:V$651))/STDEV(Rankings!V$2:V$651)</f>
        <v>-1.4052943781679255</v>
      </c>
      <c r="P199" s="157">
        <f>(VLOOKUP($A199,Hitters!$A$1:$R$401,12,FALSE)-AVERAGE(Rankings!W$2:W$651))/STDEV(Rankings!W$2:W$651)</f>
        <v>-0.90583075626215659</v>
      </c>
      <c r="Q199" s="157">
        <f>(VLOOKUP($A199,Hitters!$A$1:$R$401,13,FALSE)-AVERAGE(Rankings!X$2:X$651))/STDEV(Rankings!X$2:X$651)</f>
        <v>-1.4478053777400139</v>
      </c>
      <c r="R199" s="118">
        <f>(VLOOKUP($A199,Hitters!$A1:$R401,16,FALSE)-AVERAGE(Rankings!Y2:Y651))/STDEV(Rankings!Y2:Y651)</f>
        <v>-0.84245761147428022</v>
      </c>
      <c r="S199" s="118">
        <f>(VLOOKUP($A199,Hitters!$A1:$R401,17,FALSE)-AVERAGE(Rankings!Z2:Z651))/STDEV(Rankings!Z2:Z651)</f>
        <v>-0.66153849408517018</v>
      </c>
      <c r="T199" s="118">
        <f>IFERROR((VLOOKUP($A199,Hitters!$A1:$R401,18,FALSE)-AVERAGE(Rankings!AA2:AA651))/STDEV(Rankings!AA2:AA651),0)</f>
        <v>0</v>
      </c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</row>
    <row r="200" spans="1:37" ht="18.600000000000001" customHeight="1">
      <c r="A200" s="26" t="s">
        <v>673</v>
      </c>
      <c r="B200" s="27" t="s">
        <v>68</v>
      </c>
      <c r="C200" s="121" t="s">
        <v>19</v>
      </c>
      <c r="D200" s="67">
        <f>(F200*Settings!$C$2)+(G200*Settings!$C$3)+(H200*Settings!$C$4)+(I200*Settings!$C$5)+(J200*Settings!$C$6)+(M200*Settings!$C$9)+(N200*Settings!$C$10)+(O200*Settings!$C$11)+(P200*Settings!$C$12)+(Q200*Settings!$C$13)+(T200*Settings!$C$16)+(K200*Settings!$C$7)+(L200*Settings!$C$8)+(R200*Settings!$C$14)+(S200*Settings!$C$15)</f>
        <v>-5.1999243188602282</v>
      </c>
      <c r="E200" s="67"/>
      <c r="F200" s="118">
        <f>(VLOOKUP($A200,Hitters!$A1:$R401,4,FALSE)-AVERAGE(Rankings!M2:M651))/STDEV(Rankings!M2:M651)</f>
        <v>-1.368568207983597</v>
      </c>
      <c r="G200" s="118">
        <f>(VLOOKUP($A200,Hitters!$A1:$R401,5,FALSE)-AVERAGE(Rankings!N2:N651))/STDEV(Rankings!N2:N651)</f>
        <v>-1.2885778256653679</v>
      </c>
      <c r="H200" s="118">
        <f>(VLOOKUP($A200,Hitters!$A1:$R401,6,FALSE)-AVERAGE(Rankings!O2:O651))/STDEV(Rankings!O2:O651)</f>
        <v>-0.571098511975762</v>
      </c>
      <c r="I200" s="118">
        <f>(VLOOKUP($A200,Hitters!$A1:$R401,7,FALSE)-AVERAGE(Rankings!P2:P651))/STDEV(Rankings!P2:P651)</f>
        <v>-1.0374218235560522</v>
      </c>
      <c r="J200" s="118">
        <f>(VLOOKUP($A200,Hitters!$A1:$R401,8,FALSE)-AVERAGE(Rankings!Q2:Q651))/STDEV(Rankings!Q2:Q651)</f>
        <v>-0.86725891320553339</v>
      </c>
      <c r="K200" s="157">
        <f>(VLOOKUP($A200,Hitters!$A$1:$R$401,14,FALSE)-AVERAGE(Rankings!R$2:R$651))/STDEV(Rankings!R$2:R$651)</f>
        <v>-1.4355672444575127</v>
      </c>
      <c r="L200" s="157">
        <f>(VLOOKUP($A200,Hitters!$A$1:$R$401,15,FALSE)-AVERAGE(Rankings!S$2:S$651))/STDEV(Rankings!S$2:S$651)</f>
        <v>-1.9191093502516317</v>
      </c>
      <c r="M200" s="157">
        <f>(VLOOKUP($A200,Hitters!$A$1:$R$401,9,FALSE)-AVERAGE(Rankings!T$2:T$651))/STDEV(Rankings!T$2:T$651)</f>
        <v>-1.3850090435875617</v>
      </c>
      <c r="N200" s="157">
        <f>(VLOOKUP($A200,Hitters!$A$1:$R$401,10,FALSE)-AVERAGE(Rankings!U$2:U$651))/STDEV(Rankings!U$2:U$651)</f>
        <v>-1.3572738308509651</v>
      </c>
      <c r="O200" s="157">
        <f>(VLOOKUP($A200,Hitters!$A$1:$R$401,11,FALSE)-AVERAGE(Rankings!V$2:V$651))/STDEV(Rankings!V$2:V$651)</f>
        <v>-1.4038637025066756</v>
      </c>
      <c r="P200" s="157">
        <f>(VLOOKUP($A200,Hitters!$A$1:$R$401,12,FALSE)-AVERAGE(Rankings!W$2:W$651))/STDEV(Rankings!W$2:W$651)</f>
        <v>-1.3077242460366234</v>
      </c>
      <c r="Q200" s="157">
        <f>(VLOOKUP($A200,Hitters!$A$1:$R$401,13,FALSE)-AVERAGE(Rankings!X$2:X$651))/STDEV(Rankings!X$2:X$651)</f>
        <v>-1.1099725445951294</v>
      </c>
      <c r="R200" s="118">
        <f>(VLOOKUP($A200,Hitters!$A1:$R401,16,FALSE)-AVERAGE(Rankings!Y2:Y651))/STDEV(Rankings!Y2:Y651)</f>
        <v>-0.22180283473527987</v>
      </c>
      <c r="S200" s="118">
        <f>(VLOOKUP($A200,Hitters!$A1:$R401,17,FALSE)-AVERAGE(Rankings!Z2:Z651))/STDEV(Rankings!Z2:Z651)</f>
        <v>-0.88453590708357899</v>
      </c>
      <c r="T200" s="118">
        <f>IFERROR((VLOOKUP($A200,Hitters!$A1:$R401,18,FALSE)-AVERAGE(Rankings!AA2:AA651))/STDEV(Rankings!AA2:AA651),0)</f>
        <v>0</v>
      </c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</row>
    <row r="201" spans="1:37" ht="18.600000000000001" customHeight="1">
      <c r="A201" s="26" t="s">
        <v>677</v>
      </c>
      <c r="B201" s="27" t="s">
        <v>156</v>
      </c>
      <c r="C201" s="121" t="s">
        <v>19</v>
      </c>
      <c r="D201" s="67">
        <f>(F201*Settings!$C$2)+(G201*Settings!$C$3)+(H201*Settings!$C$4)+(I201*Settings!$C$5)+(J201*Settings!$C$6)+(M201*Settings!$C$9)+(N201*Settings!$C$10)+(O201*Settings!$C$11)+(P201*Settings!$C$12)+(Q201*Settings!$C$13)+(T201*Settings!$C$16)+(K201*Settings!$C$7)+(L201*Settings!$C$8)+(R201*Settings!$C$14)+(S201*Settings!$C$15)</f>
        <v>-5.2044639600287566</v>
      </c>
      <c r="E201" s="67"/>
      <c r="F201" s="118">
        <f>(VLOOKUP($A201,Hitters!$A1:$R401,4,FALSE)-AVERAGE(Rankings!M2:M651))/STDEV(Rankings!M2:M651)</f>
        <v>-1.24800048139618</v>
      </c>
      <c r="G201" s="118">
        <f>(VLOOKUP($A201,Hitters!$A1:$R401,5,FALSE)-AVERAGE(Rankings!N2:N651))/STDEV(Rankings!N2:N651)</f>
        <v>-1.1858878541628901</v>
      </c>
      <c r="H201" s="118">
        <f>(VLOOKUP($A201,Hitters!$A1:$R401,6,FALSE)-AVERAGE(Rankings!O2:O651))/STDEV(Rankings!O2:O651)</f>
        <v>-0.64793179380458576</v>
      </c>
      <c r="I201" s="118">
        <f>(VLOOKUP($A201,Hitters!$A1:$R401,7,FALSE)-AVERAGE(Rankings!P2:P651))/STDEV(Rankings!P2:P651)</f>
        <v>-1.0138532288608473</v>
      </c>
      <c r="J201" s="118">
        <f>(VLOOKUP($A201,Hitters!$A1:$R401,8,FALSE)-AVERAGE(Rankings!Q2:Q651))/STDEV(Rankings!Q2:Q651)</f>
        <v>-0.82766153810493204</v>
      </c>
      <c r="K201" s="157">
        <f>(VLOOKUP($A201,Hitters!$A$1:$R$401,14,FALSE)-AVERAGE(Rankings!R$2:R$651))/STDEV(Rankings!R$2:R$651)</f>
        <v>-1.5291295450955016</v>
      </c>
      <c r="L201" s="157">
        <f>(VLOOKUP($A201,Hitters!$A$1:$R$401,15,FALSE)-AVERAGE(Rankings!S$2:S$651))/STDEV(Rankings!S$2:S$651)</f>
        <v>-1.0856877788679586</v>
      </c>
      <c r="M201" s="157">
        <f>(VLOOKUP($A201,Hitters!$A$1:$R$401,9,FALSE)-AVERAGE(Rankings!T$2:T$651))/STDEV(Rankings!T$2:T$651)</f>
        <v>-1.3017950586374423</v>
      </c>
      <c r="N201" s="157">
        <f>(VLOOKUP($A201,Hitters!$A$1:$R$401,10,FALSE)-AVERAGE(Rankings!U$2:U$651))/STDEV(Rankings!U$2:U$651)</f>
        <v>-1.2525671335697013</v>
      </c>
      <c r="O201" s="157">
        <f>(VLOOKUP($A201,Hitters!$A$1:$R$401,11,FALSE)-AVERAGE(Rankings!V$2:V$651))/STDEV(Rankings!V$2:V$651)</f>
        <v>-0.55404235972427129</v>
      </c>
      <c r="P201" s="157">
        <f>(VLOOKUP($A201,Hitters!$A$1:$R$401,12,FALSE)-AVERAGE(Rankings!W$2:W$651))/STDEV(Rankings!W$2:W$651)</f>
        <v>-0.86203985442014675</v>
      </c>
      <c r="Q201" s="157">
        <f>(VLOOKUP($A201,Hitters!$A$1:$R$401,13,FALSE)-AVERAGE(Rankings!X$2:X$651))/STDEV(Rankings!X$2:X$651)</f>
        <v>-0.72079089255212303</v>
      </c>
      <c r="R201" s="118">
        <f>(VLOOKUP($A201,Hitters!$A1:$R401,16,FALSE)-AVERAGE(Rankings!Y2:Y651))/STDEV(Rankings!Y2:Y651)</f>
        <v>-0.46343363283020667</v>
      </c>
      <c r="S201" s="118">
        <f>(VLOOKUP($A201,Hitters!$A1:$R401,17,FALSE)-AVERAGE(Rankings!Z2:Z651))/STDEV(Rankings!Z2:Z651)</f>
        <v>-0.74747551264606416</v>
      </c>
      <c r="T201" s="118">
        <f>IFERROR((VLOOKUP($A201,Hitters!$A1:$R401,18,FALSE)-AVERAGE(Rankings!AA2:AA651))/STDEV(Rankings!AA2:AA651),0)</f>
        <v>0</v>
      </c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</row>
    <row r="202" spans="1:37" ht="18.600000000000001" customHeight="1">
      <c r="A202" s="26" t="s">
        <v>679</v>
      </c>
      <c r="B202" s="27" t="s">
        <v>176</v>
      </c>
      <c r="C202" s="121" t="s">
        <v>19</v>
      </c>
      <c r="D202" s="67">
        <f>(F202*Settings!$C$2)+(G202*Settings!$C$3)+(H202*Settings!$C$4)+(I202*Settings!$C$5)+(J202*Settings!$C$6)+(M202*Settings!$C$9)+(N202*Settings!$C$10)+(O202*Settings!$C$11)+(P202*Settings!$C$12)+(Q202*Settings!$C$13)+(T202*Settings!$C$16)+(K202*Settings!$C$7)+(L202*Settings!$C$8)+(R202*Settings!$C$14)+(S202*Settings!$C$15)</f>
        <v>-5.1556028070434019</v>
      </c>
      <c r="E202" s="67"/>
      <c r="F202" s="118">
        <f>(VLOOKUP($A202,Hitters!$A1:$R401,4,FALSE)-AVERAGE(Rankings!M2:M651))/STDEV(Rankings!M2:M651)</f>
        <v>-1.4024065923551878</v>
      </c>
      <c r="G202" s="118">
        <f>(VLOOKUP($A202,Hitters!$A1:$R401,5,FALSE)-AVERAGE(Rankings!N2:N651))/STDEV(Rankings!N2:N651)</f>
        <v>-1.2880200035979472</v>
      </c>
      <c r="H202" s="118">
        <f>(VLOOKUP($A202,Hitters!$A1:$R401,6,FALSE)-AVERAGE(Rankings!O2:O651))/STDEV(Rankings!O2:O651)</f>
        <v>-0.90302107581469693</v>
      </c>
      <c r="I202" s="118">
        <f>(VLOOKUP($A202,Hitters!$A1:$R401,7,FALSE)-AVERAGE(Rankings!P2:P651))/STDEV(Rankings!P2:P651)</f>
        <v>-1.2210837882651233</v>
      </c>
      <c r="J202" s="118">
        <f>(VLOOKUP($A202,Hitters!$A1:$R401,8,FALSE)-AVERAGE(Rankings!Q2:Q651))/STDEV(Rankings!Q2:Q651)</f>
        <v>-0.82750314860452967</v>
      </c>
      <c r="K202" s="157">
        <f>(VLOOKUP($A202,Hitters!$A$1:$R$401,14,FALSE)-AVERAGE(Rankings!R$2:R$651))/STDEV(Rankings!R$2:R$651)</f>
        <v>-0.91597479076110522</v>
      </c>
      <c r="L202" s="157">
        <f>(VLOOKUP($A202,Hitters!$A$1:$R$401,15,FALSE)-AVERAGE(Rankings!S$2:S$651))/STDEV(Rankings!S$2:S$651)</f>
        <v>-1.2608709766923536</v>
      </c>
      <c r="M202" s="157">
        <f>(VLOOKUP($A202,Hitters!$A$1:$R$401,9,FALSE)-AVERAGE(Rankings!T$2:T$651))/STDEV(Rankings!T$2:T$651)</f>
        <v>-1.3578102320919865</v>
      </c>
      <c r="N202" s="157">
        <f>(VLOOKUP($A202,Hitters!$A$1:$R$401,10,FALSE)-AVERAGE(Rankings!U$2:U$651))/STDEV(Rankings!U$2:U$651)</f>
        <v>-1.3809404131131686</v>
      </c>
      <c r="O202" s="157">
        <f>(VLOOKUP($A202,Hitters!$A$1:$R$401,11,FALSE)-AVERAGE(Rankings!V$2:V$651))/STDEV(Rankings!V$2:V$651)</f>
        <v>-0.55118100840177164</v>
      </c>
      <c r="P202" s="157">
        <f>(VLOOKUP($A202,Hitters!$A$1:$R$401,12,FALSE)-AVERAGE(Rankings!W$2:W$651))/STDEV(Rankings!W$2:W$651)</f>
        <v>-1.2255852035900694</v>
      </c>
      <c r="Q202" s="157">
        <f>(VLOOKUP($A202,Hitters!$A$1:$R$401,13,FALSE)-AVERAGE(Rankings!X$2:X$651))/STDEV(Rankings!X$2:X$651)</f>
        <v>-1.2817996767181741</v>
      </c>
      <c r="R202" s="118">
        <f>(VLOOKUP($A202,Hitters!$A1:$R401,16,FALSE)-AVERAGE(Rankings!Y2:Y651))/STDEV(Rankings!Y2:Y651)</f>
        <v>-0.61273023119451941</v>
      </c>
      <c r="S202" s="118">
        <f>(VLOOKUP($A202,Hitters!$A1:$R401,17,FALSE)-AVERAGE(Rankings!Z2:Z651))/STDEV(Rankings!Z2:Z651)</f>
        <v>-0.92256790568736124</v>
      </c>
      <c r="T202" s="118">
        <f>IFERROR((VLOOKUP($A202,Hitters!$A1:$R401,18,FALSE)-AVERAGE(Rankings!AA2:AA651))/STDEV(Rankings!AA2:AA651),0)</f>
        <v>0</v>
      </c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</row>
    <row r="203" spans="1:37" ht="18.600000000000001" customHeight="1">
      <c r="A203" s="26" t="s">
        <v>690</v>
      </c>
      <c r="B203" s="27" t="s">
        <v>95</v>
      </c>
      <c r="C203" s="121" t="s">
        <v>19</v>
      </c>
      <c r="D203" s="67">
        <f>(F203*Settings!$C$2)+(G203*Settings!$C$3)+(H203*Settings!$C$4)+(I203*Settings!$C$5)+(J203*Settings!$C$6)+(M203*Settings!$C$9)+(N203*Settings!$C$10)+(O203*Settings!$C$11)+(P203*Settings!$C$12)+(Q203*Settings!$C$13)+(T203*Settings!$C$16)+(K203*Settings!$C$7)+(L203*Settings!$C$8)+(R203*Settings!$C$14)+(S203*Settings!$C$15)</f>
        <v>-5.8990921483044332</v>
      </c>
      <c r="E203" s="67"/>
      <c r="F203" s="118">
        <f>(VLOOKUP($A203,Hitters!$A1:$R401,4,FALSE)-AVERAGE(Rankings!M2:M651))/STDEV(Rankings!M2:M651)</f>
        <v>-1.3343496170460329</v>
      </c>
      <c r="G203" s="118">
        <f>(VLOOKUP($A203,Hitters!$A1:$R401,5,FALSE)-AVERAGE(Rankings!N2:N651))/STDEV(Rankings!N2:N651)</f>
        <v>-1.3970995733272458</v>
      </c>
      <c r="H203" s="118">
        <f>(VLOOKUP($A203,Hitters!$A1:$R401,6,FALSE)-AVERAGE(Rankings!O2:O651))/STDEV(Rankings!O2:O651)</f>
        <v>-1.2248431628946299</v>
      </c>
      <c r="I203" s="118">
        <f>(VLOOKUP($A203,Hitters!$A1:$R401,7,FALSE)-AVERAGE(Rankings!P2:P651))/STDEV(Rankings!P2:P651)</f>
        <v>-1.3763412695186341</v>
      </c>
      <c r="J203" s="118">
        <f>(VLOOKUP($A203,Hitters!$A1:$R401,8,FALSE)-AVERAGE(Rankings!Q2:Q651))/STDEV(Rankings!Q2:Q651)</f>
        <v>-0.82750314860452967</v>
      </c>
      <c r="K203" s="157">
        <f>(VLOOKUP($A203,Hitters!$A$1:$R$401,14,FALSE)-AVERAGE(Rankings!R$2:R$651))/STDEV(Rankings!R$2:R$651)</f>
        <v>-1.0733049939593935</v>
      </c>
      <c r="L203" s="157">
        <f>(VLOOKUP($A203,Hitters!$A$1:$R$401,15,FALSE)-AVERAGE(Rankings!S$2:S$651))/STDEV(Rankings!S$2:S$651)</f>
        <v>-1.957192701991501</v>
      </c>
      <c r="M203" s="157">
        <f>(VLOOKUP($A203,Hitters!$A$1:$R$401,9,FALSE)-AVERAGE(Rankings!T$2:T$651))/STDEV(Rankings!T$2:T$651)</f>
        <v>-1.3193784312672912</v>
      </c>
      <c r="N203" s="157">
        <f>(VLOOKUP($A203,Hitters!$A$1:$R$401,10,FALSE)-AVERAGE(Rankings!U$2:U$651))/STDEV(Rankings!U$2:U$651)</f>
        <v>-1.3498152715925738</v>
      </c>
      <c r="O203" s="157">
        <f>(VLOOKUP($A203,Hitters!$A$1:$R$401,11,FALSE)-AVERAGE(Rankings!V$2:V$651))/STDEV(Rankings!V$2:V$651)</f>
        <v>-1.3881262702329273</v>
      </c>
      <c r="P203" s="157">
        <f>(VLOOKUP($A203,Hitters!$A$1:$R$401,12,FALSE)-AVERAGE(Rankings!W$2:W$651))/STDEV(Rankings!W$2:W$651)</f>
        <v>-1.4188187782664945</v>
      </c>
      <c r="Q203" s="157">
        <f>(VLOOKUP($A203,Hitters!$A$1:$R$401,13,FALSE)-AVERAGE(Rankings!X$2:X$651))/STDEV(Rankings!X$2:X$651)</f>
        <v>-1.0829535111145403</v>
      </c>
      <c r="R203" s="118">
        <f>(VLOOKUP($A203,Hitters!$A1:$R401,16,FALSE)-AVERAGE(Rankings!Y2:Y651))/STDEV(Rankings!Y2:Y651)</f>
        <v>-1.8844721929293036</v>
      </c>
      <c r="S203" s="118">
        <f>(VLOOKUP($A203,Hitters!$A1:$R401,17,FALSE)-AVERAGE(Rankings!Z2:Z651))/STDEV(Rankings!Z2:Z651)</f>
        <v>-2.114441829297601</v>
      </c>
      <c r="T203" s="118">
        <f>IFERROR((VLOOKUP($A203,Hitters!$A1:$R401,18,FALSE)-AVERAGE(Rankings!AA2:AA651))/STDEV(Rankings!AA2:AA651),0)</f>
        <v>0</v>
      </c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</row>
    <row r="204" spans="1:37" ht="18.600000000000001" customHeight="1">
      <c r="A204" s="26" t="s">
        <v>693</v>
      </c>
      <c r="B204" s="27" t="s">
        <v>223</v>
      </c>
      <c r="C204" s="121" t="s">
        <v>19</v>
      </c>
      <c r="D204" s="67">
        <f>(F204*Settings!$C$2)+(G204*Settings!$C$3)+(H204*Settings!$C$4)+(I204*Settings!$C$5)+(J204*Settings!$C$6)+(M204*Settings!$C$9)+(N204*Settings!$C$10)+(O204*Settings!$C$11)+(P204*Settings!$C$12)+(Q204*Settings!$C$13)+(T204*Settings!$C$16)+(K204*Settings!$C$7)+(L204*Settings!$C$8)+(R204*Settings!$C$14)+(S204*Settings!$C$15)</f>
        <v>-6.3670924655874117</v>
      </c>
      <c r="E204" s="67"/>
      <c r="F204" s="118">
        <f>(VLOOKUP($A204,Hitters!$A1:$R401,4,FALSE)-AVERAGE(Rankings!M2:M651))/STDEV(Rankings!M2:M651)</f>
        <v>-1.594410908171519</v>
      </c>
      <c r="G204" s="118">
        <f>(VLOOKUP($A204,Hitters!$A1:$R401,5,FALSE)-AVERAGE(Rankings!N2:N651))/STDEV(Rankings!N2:N651)</f>
        <v>-1.4171811677543968</v>
      </c>
      <c r="H204" s="118">
        <f>(VLOOKUP($A204,Hitters!$A1:$R401,6,FALSE)-AVERAGE(Rankings!O2:O651))/STDEV(Rankings!O2:O651)</f>
        <v>-0.9658530071017315</v>
      </c>
      <c r="I204" s="118">
        <f>(VLOOKUP($A204,Hitters!$A1:$R401,7,FALSE)-AVERAGE(Rankings!P2:P651))/STDEV(Rankings!P2:P651)</f>
        <v>-1.3209067130972985</v>
      </c>
      <c r="J204" s="118">
        <f>(VLOOKUP($A204,Hitters!$A1:$R401,8,FALSE)-AVERAGE(Rankings!Q2:Q651))/STDEV(Rankings!Q2:Q651)</f>
        <v>-0.96355972945019575</v>
      </c>
      <c r="K204" s="157">
        <f>(VLOOKUP($A204,Hitters!$A$1:$R$401,14,FALSE)-AVERAGE(Rankings!R$2:R$651))/STDEV(Rankings!R$2:R$651)</f>
        <v>-1.6995918481837899</v>
      </c>
      <c r="L204" s="157">
        <f>(VLOOKUP($A204,Hitters!$A$1:$R$401,15,FALSE)-AVERAGE(Rankings!S$2:S$651))/STDEV(Rankings!S$2:S$651)</f>
        <v>-0.36455420310740494</v>
      </c>
      <c r="M204" s="157">
        <f>(VLOOKUP($A204,Hitters!$A$1:$R$401,9,FALSE)-AVERAGE(Rankings!T$2:T$651))/STDEV(Rankings!T$2:T$651)</f>
        <v>-1.5845368887109406</v>
      </c>
      <c r="N204" s="157">
        <f>(VLOOKUP($A204,Hitters!$A$1:$R$401,10,FALSE)-AVERAGE(Rankings!U$2:U$651))/STDEV(Rankings!U$2:U$651)</f>
        <v>-1.6000355913284161</v>
      </c>
      <c r="O204" s="157">
        <f>(VLOOKUP($A204,Hitters!$A$1:$R$401,11,FALSE)-AVERAGE(Rankings!V$2:V$651))/STDEV(Rankings!V$2:V$651)</f>
        <v>-1.4038637025066756</v>
      </c>
      <c r="P204" s="157">
        <f>(VLOOKUP($A204,Hitters!$A$1:$R$401,12,FALSE)-AVERAGE(Rankings!W$2:W$651))/STDEV(Rankings!W$2:W$651)</f>
        <v>-0.80030339124089322</v>
      </c>
      <c r="Q204" s="157">
        <f>(VLOOKUP($A204,Hitters!$A$1:$R$401,13,FALSE)-AVERAGE(Rankings!X$2:X$651))/STDEV(Rankings!X$2:X$651)</f>
        <v>-0.96633505981541634</v>
      </c>
      <c r="R204" s="118">
        <f>(VLOOKUP($A204,Hitters!$A1:$R401,16,FALSE)-AVERAGE(Rankings!Y2:Y651))/STDEV(Rankings!Y2:Y651)</f>
        <v>-1.139879606884689</v>
      </c>
      <c r="S204" s="118">
        <f>(VLOOKUP($A204,Hitters!$A1:$R401,17,FALSE)-AVERAGE(Rankings!Z2:Z651))/STDEV(Rankings!Z2:Z651)</f>
        <v>-0.97057400633100821</v>
      </c>
      <c r="T204" s="118">
        <f>IFERROR((VLOOKUP($A204,Hitters!$A1:$R401,18,FALSE)-AVERAGE(Rankings!AA2:AA651))/STDEV(Rankings!AA2:AA651),0)</f>
        <v>0</v>
      </c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</row>
    <row r="205" spans="1:37" ht="18.600000000000001" customHeight="1">
      <c r="A205" s="26" t="s">
        <v>697</v>
      </c>
      <c r="B205" s="27" t="s">
        <v>114</v>
      </c>
      <c r="C205" s="121" t="s">
        <v>19</v>
      </c>
      <c r="D205" s="67">
        <f>(F205*Settings!$C$2)+(G205*Settings!$C$3)+(H205*Settings!$C$4)+(I205*Settings!$C$5)+(J205*Settings!$C$6)+(M205*Settings!$C$9)+(N205*Settings!$C$10)+(O205*Settings!$C$11)+(P205*Settings!$C$12)+(Q205*Settings!$C$13)+(T205*Settings!$C$16)+(K205*Settings!$C$7)+(L205*Settings!$C$8)+(R205*Settings!$C$14)+(S205*Settings!$C$15)</f>
        <v>-6.9781252994914862</v>
      </c>
      <c r="E205" s="67"/>
      <c r="F205" s="118">
        <f>(VLOOKUP($A205,Hitters!$A1:$R401,4,FALSE)-AVERAGE(Rankings!M2:M651))/STDEV(Rankings!M2:M651)</f>
        <v>-1.4684357993124875</v>
      </c>
      <c r="G205" s="118">
        <f>(VLOOKUP($A205,Hitters!$A1:$R401,5,FALSE)-AVERAGE(Rankings!N2:N651))/STDEV(Rankings!N2:N651)</f>
        <v>-1.3905578418093101</v>
      </c>
      <c r="H205" s="118">
        <f>(VLOOKUP($A205,Hitters!$A1:$R401,6,FALSE)-AVERAGE(Rankings!O2:O651))/STDEV(Rankings!O2:O651)</f>
        <v>-0.97462997311300248</v>
      </c>
      <c r="I205" s="118">
        <f>(VLOOKUP($A205,Hitters!$A1:$R401,7,FALSE)-AVERAGE(Rankings!P2:P651))/STDEV(Rankings!P2:P651)</f>
        <v>-1.3244190954600827</v>
      </c>
      <c r="J205" s="118">
        <f>(VLOOKUP($A205,Hitters!$A1:$R401,8,FALSE)-AVERAGE(Rankings!Q2:Q651))/STDEV(Rankings!Q2:Q651)</f>
        <v>-0.96712349320924995</v>
      </c>
      <c r="K205" s="157">
        <f>(VLOOKUP($A205,Hitters!$A$1:$R$401,14,FALSE)-AVERAGE(Rankings!R$2:R$651))/STDEV(Rankings!R$2:R$651)</f>
        <v>-2.3213948958998412</v>
      </c>
      <c r="L205" s="157">
        <f>(VLOOKUP($A205,Hitters!$A$1:$R$401,15,FALSE)-AVERAGE(Rankings!S$2:S$651))/STDEV(Rankings!S$2:S$651)</f>
        <v>-1.7052169874616843</v>
      </c>
      <c r="M205" s="157">
        <f>(VLOOKUP($A205,Hitters!$A$1:$R$401,9,FALSE)-AVERAGE(Rankings!T$2:T$651))/STDEV(Rankings!T$2:T$651)</f>
        <v>-1.5500291454918846</v>
      </c>
      <c r="N205" s="157">
        <f>(VLOOKUP($A205,Hitters!$A$1:$R$401,10,FALSE)-AVERAGE(Rankings!U$2:U$651))/STDEV(Rankings!U$2:U$651)</f>
        <v>-1.3704697433850423</v>
      </c>
      <c r="O205" s="157">
        <f>(VLOOKUP($A205,Hitters!$A$1:$R$401,11,FALSE)-AVERAGE(Rankings!V$2:V$651))/STDEV(Rankings!V$2:V$651)</f>
        <v>-1.4067250538291751</v>
      </c>
      <c r="P205" s="157">
        <f>(VLOOKUP($A205,Hitters!$A$1:$R$401,12,FALSE)-AVERAGE(Rankings!W$2:W$651))/STDEV(Rankings!W$2:W$651)</f>
        <v>-1.0235810079481287</v>
      </c>
      <c r="Q205" s="157">
        <f>(VLOOKUP($A205,Hitters!$A$1:$R$401,13,FALSE)-AVERAGE(Rankings!X$2:X$651))/STDEV(Rankings!X$2:X$651)</f>
        <v>-0.5244125075239997</v>
      </c>
      <c r="R205" s="118">
        <f>(VLOOKUP($A205,Hitters!$A1:$R401,16,FALSE)-AVERAGE(Rankings!Y2:Y651))/STDEV(Rankings!Y2:Y651)</f>
        <v>-1.5190009688596549</v>
      </c>
      <c r="S205" s="118">
        <f>(VLOOKUP($A205,Hitters!$A1:$R401,17,FALSE)-AVERAGE(Rankings!Z2:Z651))/STDEV(Rankings!Z2:Z651)</f>
        <v>-1.7523989122264247</v>
      </c>
      <c r="T205" s="118">
        <f>IFERROR((VLOOKUP($A205,Hitters!$A1:$R401,18,FALSE)-AVERAGE(Rankings!AA2:AA651))/STDEV(Rankings!AA2:AA651),0)</f>
        <v>0</v>
      </c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</row>
    <row r="206" spans="1:37" ht="18.600000000000001" customHeight="1">
      <c r="A206" s="26" t="s">
        <v>694</v>
      </c>
      <c r="B206" s="27" t="s">
        <v>103</v>
      </c>
      <c r="C206" s="121" t="s">
        <v>19</v>
      </c>
      <c r="D206" s="67">
        <f>(F206*Settings!$C$2)+(G206*Settings!$C$3)+(H206*Settings!$C$4)+(I206*Settings!$C$5)+(J206*Settings!$C$6)+(M206*Settings!$C$9)+(N206*Settings!$C$10)+(O206*Settings!$C$11)+(P206*Settings!$C$12)+(Q206*Settings!$C$13)+(T206*Settings!$C$16)+(K206*Settings!$C$7)+(L206*Settings!$C$8)+(R206*Settings!$C$14)+(S206*Settings!$C$15)</f>
        <v>-5.5658255398439644</v>
      </c>
      <c r="E206" s="67"/>
      <c r="F206" s="118">
        <f>(VLOOKUP($A206,Hitters!$A1:$R401,4,FALSE)-AVERAGE(Rankings!M2:M651))/STDEV(Rankings!M2:M651)</f>
        <v>-1.8878458867546297</v>
      </c>
      <c r="G206" s="118">
        <f>(VLOOKUP($A206,Hitters!$A1:$R401,5,FALSE)-AVERAGE(Rankings!N2:N651))/STDEV(Rankings!N2:N651)</f>
        <v>-1.6372166178034102</v>
      </c>
      <c r="H206" s="118">
        <f>(VLOOKUP($A206,Hitters!$A1:$R401,6,FALSE)-AVERAGE(Rankings!O2:O651))/STDEV(Rankings!O2:O651)</f>
        <v>-1.2297192551231135</v>
      </c>
      <c r="I206" s="118">
        <f>(VLOOKUP($A206,Hitters!$A1:$R401,7,FALSE)-AVERAGE(Rankings!P2:P651))/STDEV(Rankings!P2:P651)</f>
        <v>-1.5307842852967164</v>
      </c>
      <c r="J206" s="118">
        <f>(VLOOKUP($A206,Hitters!$A1:$R401,8,FALSE)-AVERAGE(Rankings!Q2:Q651))/STDEV(Rankings!Q2:Q651)</f>
        <v>-0.66111497843180289</v>
      </c>
      <c r="K206" s="157">
        <f>(VLOOKUP($A206,Hitters!$A$1:$R$401,14,FALSE)-AVERAGE(Rankings!R$2:R$651))/STDEV(Rankings!R$2:R$651)</f>
        <v>-0.50699040318892141</v>
      </c>
      <c r="L206" s="157">
        <f>(VLOOKUP($A206,Hitters!$A$1:$R$401,15,FALSE)-AVERAGE(Rankings!S$2:S$651))/STDEV(Rankings!S$2:S$651)</f>
        <v>-1.1272011125757382</v>
      </c>
      <c r="M206" s="157">
        <f>(VLOOKUP($A206,Hitters!$A$1:$R$401,9,FALSE)-AVERAGE(Rankings!T$2:T$651))/STDEV(Rankings!T$2:T$651)</f>
        <v>-1.7240955481359252</v>
      </c>
      <c r="N206" s="157">
        <f>(VLOOKUP($A206,Hitters!$A$1:$R$401,10,FALSE)-AVERAGE(Rankings!U$2:U$651))/STDEV(Rankings!U$2:U$651)</f>
        <v>-1.6333839572433391</v>
      </c>
      <c r="O206" s="157">
        <f>(VLOOKUP($A206,Hitters!$A$1:$R$401,11,FALSE)-AVERAGE(Rankings!V$2:V$651))/STDEV(Rankings!V$2:V$651)</f>
        <v>-0.54545830575677234</v>
      </c>
      <c r="P206" s="157">
        <f>(VLOOKUP($A206,Hitters!$A$1:$R$401,12,FALSE)-AVERAGE(Rankings!W$2:W$651))/STDEV(Rankings!W$2:W$651)</f>
        <v>-1.5331167642532744</v>
      </c>
      <c r="Q206" s="157">
        <f>(VLOOKUP($A206,Hitters!$A$1:$R$401,13,FALSE)-AVERAGE(Rankings!X$2:X$651))/STDEV(Rankings!X$2:X$651)</f>
        <v>-1.5322952242387415</v>
      </c>
      <c r="R206" s="118">
        <f>(VLOOKUP($A206,Hitters!$A1:$R401,16,FALSE)-AVERAGE(Rankings!Y2:Y651))/STDEV(Rankings!Y2:Y651)</f>
        <v>-0.43399629777089432</v>
      </c>
      <c r="S206" s="118">
        <f>(VLOOKUP($A206,Hitters!$A1:$R401,17,FALSE)-AVERAGE(Rankings!Z2:Z651))/STDEV(Rankings!Z2:Z651)</f>
        <v>-0.74158040482432164</v>
      </c>
      <c r="T206" s="118">
        <f>IFERROR((VLOOKUP($A206,Hitters!$A1:$R401,18,FALSE)-AVERAGE(Rankings!AA2:AA651))/STDEV(Rankings!AA2:AA651),0)</f>
        <v>0</v>
      </c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</row>
    <row r="207" spans="1:37" ht="18.600000000000001" customHeight="1">
      <c r="A207" s="26" t="s">
        <v>83</v>
      </c>
      <c r="B207" s="27" t="s">
        <v>84</v>
      </c>
      <c r="C207" s="122" t="s">
        <v>112</v>
      </c>
      <c r="D207" s="67">
        <f>(F207*Settings!$C$2)+(G207*Settings!$C$3)+(H207*Settings!$C$4)+(I207*Settings!$C$5)+(J207*Settings!$C$6)+(M207*Settings!$C$9)+(N207*Settings!$C$10)+(O207*Settings!$C$11)+(P207*Settings!$C$12)+(Q207*Settings!$C$13)+(T207*Settings!$C$16)+(K207*Settings!$C$7)+(L207*Settings!$C$8)+(R207*Settings!$C$14)+(S207*Settings!$C$15)</f>
        <v>9.2581037971964886</v>
      </c>
      <c r="E207" s="67"/>
      <c r="F207" s="118">
        <f>(VLOOKUP($A207,Hitters!$A1:$R401,4,FALSE)-AVERAGE(Rankings!M2:M651))/STDEV(Rankings!M2:M651)</f>
        <v>1.1874337995304429</v>
      </c>
      <c r="G207" s="118">
        <f>(VLOOKUP($A207,Hitters!$A1:$R401,5,FALSE)-AVERAGE(Rankings!N2:N651))/STDEV(Rankings!N2:N651)</f>
        <v>1.9443560327178255</v>
      </c>
      <c r="H207" s="118">
        <f>(VLOOKUP($A207,Hitters!$A1:$R401,6,FALSE)-AVERAGE(Rankings!O2:O651))/STDEV(Rankings!O2:O651)</f>
        <v>2.5649950340038172</v>
      </c>
      <c r="I207" s="118">
        <f>(VLOOKUP($A207,Hitters!$A1:$R401,7,FALSE)-AVERAGE(Rankings!P2:P651))/STDEV(Rankings!P2:P651)</f>
        <v>1.9057255280422609</v>
      </c>
      <c r="J207" s="118">
        <f>(VLOOKUP($A207,Hitters!$A1:$R401,8,FALSE)-AVERAGE(Rankings!Q2:Q651))/STDEV(Rankings!Q2:Q651)</f>
        <v>1.8828579822814302</v>
      </c>
      <c r="K207" s="157">
        <f>(VLOOKUP($A207,Hitters!$A$1:$R$401,14,FALSE)-AVERAGE(Rankings!R$2:R$651))/STDEV(Rankings!R$2:R$651)</f>
        <v>0.96016922015115447</v>
      </c>
      <c r="L207" s="157">
        <f>(VLOOKUP($A207,Hitters!$A$1:$R$401,15,FALSE)-AVERAGE(Rankings!S$2:S$651))/STDEV(Rankings!S$2:S$651)</f>
        <v>1.8350476043564841</v>
      </c>
      <c r="M207" s="157">
        <f>(VLOOKUP($A207,Hitters!$A$1:$R$401,9,FALSE)-AVERAGE(Rankings!T$2:T$651))/STDEV(Rankings!T$2:T$651)</f>
        <v>1.2725365038529197</v>
      </c>
      <c r="N207" s="157">
        <f>(VLOOKUP($A207,Hitters!$A$1:$R$401,10,FALSE)-AVERAGE(Rankings!U$2:U$651))/STDEV(Rankings!U$2:U$651)</f>
        <v>0.97359765431229384</v>
      </c>
      <c r="O207" s="157">
        <f>(VLOOKUP($A207,Hitters!$A$1:$R$401,11,FALSE)-AVERAGE(Rankings!V$2:V$651))/STDEV(Rankings!V$2:V$651)</f>
        <v>2.6201500407020366</v>
      </c>
      <c r="P207" s="157">
        <f>(VLOOKUP($A207,Hitters!$A$1:$R$401,12,FALSE)-AVERAGE(Rankings!W$2:W$651))/STDEV(Rankings!W$2:W$651)</f>
        <v>2.0795393332341701</v>
      </c>
      <c r="Q207" s="157">
        <f>(VLOOKUP($A207,Hitters!$A$1:$R$401,13,FALSE)-AVERAGE(Rankings!X$2:X$651))/STDEV(Rankings!X$2:X$651)</f>
        <v>1.8901525945504796</v>
      </c>
      <c r="R207" s="118">
        <f>(VLOOKUP($A207,Hitters!$A1:$R401,16,FALSE)-AVERAGE(Rankings!Y2:Y651))/STDEV(Rankings!Y2:Y651)</f>
        <v>2.6612066906052276</v>
      </c>
      <c r="S207" s="118">
        <f>(VLOOKUP($A207,Hitters!$A1:$R401,17,FALSE)-AVERAGE(Rankings!Z2:Z651))/STDEV(Rankings!Z2:Z651)</f>
        <v>2.6363560942348623</v>
      </c>
      <c r="T207" s="118">
        <f>IFERROR((VLOOKUP($A207,Hitters!$A1:$R401,18,FALSE)-AVERAGE(Rankings!AA2:AA651))/STDEV(Rankings!AA2:AA651),0)</f>
        <v>0</v>
      </c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</row>
    <row r="208" spans="1:37" ht="18.600000000000001" customHeight="1">
      <c r="A208" s="26" t="s">
        <v>312</v>
      </c>
      <c r="B208" s="27" t="s">
        <v>81</v>
      </c>
      <c r="C208" s="122" t="s">
        <v>112</v>
      </c>
      <c r="D208" s="67">
        <f>(F208*Settings!$C$2)+(G208*Settings!$C$3)+(H208*Settings!$C$4)+(I208*Settings!$C$5)+(J208*Settings!$C$6)+(M208*Settings!$C$9)+(N208*Settings!$C$10)+(O208*Settings!$C$11)+(P208*Settings!$C$12)+(Q208*Settings!$C$13)+(T208*Settings!$C$16)+(K208*Settings!$C$7)+(L208*Settings!$C$8)+(R208*Settings!$C$14)+(S208*Settings!$C$15)</f>
        <v>2.634961654216283</v>
      </c>
      <c r="E208" s="67"/>
      <c r="F208" s="118">
        <f>(VLOOKUP($A208,Hitters!$A1:$R401,4,FALSE)-AVERAGE(Rankings!M2:M651))/STDEV(Rankings!M2:M651)</f>
        <v>0.93480765902842677</v>
      </c>
      <c r="G208" s="118">
        <f>(VLOOKUP($A208,Hitters!$A1:$R401,5,FALSE)-AVERAGE(Rankings!N2:N651))/STDEV(Rankings!N2:N651)</f>
        <v>0.847500359328766</v>
      </c>
      <c r="H208" s="118">
        <f>(VLOOKUP($A208,Hitters!$A1:$R401,6,FALSE)-AVERAGE(Rankings!O2:O651))/STDEV(Rankings!O2:O651)</f>
        <v>0.91074591626047452</v>
      </c>
      <c r="I208" s="118">
        <f>(VLOOKUP($A208,Hitters!$A1:$R401,7,FALSE)-AVERAGE(Rankings!P2:P651))/STDEV(Rankings!P2:P651)</f>
        <v>1.2028163707015709</v>
      </c>
      <c r="J208" s="118">
        <f>(VLOOKUP($A208,Hitters!$A1:$R401,8,FALSE)-AVERAGE(Rankings!Q2:Q651))/STDEV(Rankings!Q2:Q651)</f>
        <v>-0.96451006645261028</v>
      </c>
      <c r="K208" s="157">
        <f>(VLOOKUP($A208,Hitters!$A$1:$R$401,14,FALSE)-AVERAGE(Rankings!R$2:R$651))/STDEV(Rankings!R$2:R$651)</f>
        <v>0.63840907437808225</v>
      </c>
      <c r="L208" s="157">
        <f>(VLOOKUP($A208,Hitters!$A$1:$R$401,15,FALSE)-AVERAGE(Rankings!S$2:S$651))/STDEV(Rankings!S$2:S$651)</f>
        <v>0.60019858251276248</v>
      </c>
      <c r="M208" s="157">
        <f>(VLOOKUP($A208,Hitters!$A$1:$R$401,9,FALSE)-AVERAGE(Rankings!T$2:T$651))/STDEV(Rankings!T$2:T$651)</f>
        <v>0.95058405236123955</v>
      </c>
      <c r="N208" s="157">
        <f>(VLOOKUP($A208,Hitters!$A$1:$R$401,10,FALSE)-AVERAGE(Rankings!U$2:U$651))/STDEV(Rankings!U$2:U$651)</f>
        <v>1.4000264365276327</v>
      </c>
      <c r="O208" s="157">
        <f>(VLOOKUP($A208,Hitters!$A$1:$R$401,11,FALSE)-AVERAGE(Rankings!V$2:V$651))/STDEV(Rankings!V$2:V$651)</f>
        <v>-0.40811344227678792</v>
      </c>
      <c r="P208" s="157">
        <f>(VLOOKUP($A208,Hitters!$A$1:$R$401,12,FALSE)-AVERAGE(Rankings!W$2:W$651))/STDEV(Rankings!W$2:W$651)</f>
        <v>0.71337516113749444</v>
      </c>
      <c r="Q208" s="157">
        <f>(VLOOKUP($A208,Hitters!$A$1:$R$401,13,FALSE)-AVERAGE(Rankings!X$2:X$651))/STDEV(Rankings!X$2:X$651)</f>
        <v>1.2300845670264373</v>
      </c>
      <c r="R208" s="118">
        <f>(VLOOKUP($A208,Hitters!$A1:$R401,16,FALSE)-AVERAGE(Rankings!Y2:Y651))/STDEV(Rankings!Y2:Y651)</f>
        <v>0.92271441781841601</v>
      </c>
      <c r="S208" s="118">
        <f>(VLOOKUP($A208,Hitters!$A1:$R401,17,FALSE)-AVERAGE(Rankings!Z2:Z651))/STDEV(Rankings!Z2:Z651)</f>
        <v>0.90053109381110386</v>
      </c>
      <c r="T208" s="118">
        <f>IFERROR((VLOOKUP($A208,Hitters!$A1:$R401,18,FALSE)-AVERAGE(Rankings!AA2:AA651))/STDEV(Rankings!AA2:AA651),0)</f>
        <v>0</v>
      </c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</row>
    <row r="209" spans="1:37" ht="18.600000000000001" customHeight="1">
      <c r="A209" s="26" t="s">
        <v>367</v>
      </c>
      <c r="B209" s="27" t="s">
        <v>91</v>
      </c>
      <c r="C209" s="122" t="s">
        <v>112</v>
      </c>
      <c r="D209" s="67">
        <f>(F209*Settings!$C$2)+(G209*Settings!$C$3)+(H209*Settings!$C$4)+(I209*Settings!$C$5)+(J209*Settings!$C$6)+(M209*Settings!$C$9)+(N209*Settings!$C$10)+(O209*Settings!$C$11)+(P209*Settings!$C$12)+(Q209*Settings!$C$13)+(T209*Settings!$C$16)+(K209*Settings!$C$7)+(L209*Settings!$C$8)+(R209*Settings!$C$14)+(S209*Settings!$C$15)</f>
        <v>1.7921200285570416</v>
      </c>
      <c r="E209" s="67"/>
      <c r="F209" s="118">
        <f>(VLOOKUP($A209,Hitters!$A1:$R401,4,FALSE)-AVERAGE(Rankings!M2:M651))/STDEV(Rankings!M2:M651)</f>
        <v>-0.79935673354811876</v>
      </c>
      <c r="G209" s="118">
        <f>(VLOOKUP($A209,Hitters!$A1:$R401,5,FALSE)-AVERAGE(Rankings!N2:N651))/STDEV(Rankings!N2:N651)</f>
        <v>-0.15716253964473434</v>
      </c>
      <c r="H209" s="118">
        <f>(VLOOKUP($A209,Hitters!$A1:$R401,6,FALSE)-AVERAGE(Rankings!O2:O651))/STDEV(Rankings!O2:O651)</f>
        <v>0.22070920746960532</v>
      </c>
      <c r="I209" s="118">
        <f>(VLOOKUP($A209,Hitters!$A1:$R401,7,FALSE)-AVERAGE(Rankings!P2:P651))/STDEV(Rankings!P2:P651)</f>
        <v>-8.1392067679926572E-2</v>
      </c>
      <c r="J209" s="118">
        <f>(VLOOKUP($A209,Hitters!$A1:$R401,8,FALSE)-AVERAGE(Rankings!Q2:Q651))/STDEV(Rankings!Q2:Q651)</f>
        <v>0.15799632289923607</v>
      </c>
      <c r="K209" s="157">
        <f>(VLOOKUP($A209,Hitters!$A$1:$R$401,14,FALSE)-AVERAGE(Rankings!R$2:R$651))/STDEV(Rankings!R$2:R$651)</f>
        <v>1.6519691055128611</v>
      </c>
      <c r="L209" s="157">
        <f>(VLOOKUP($A209,Hitters!$A$1:$R$401,15,FALSE)-AVERAGE(Rankings!S$2:S$651))/STDEV(Rankings!S$2:S$651)</f>
        <v>2.930576745027778</v>
      </c>
      <c r="M209" s="157">
        <f>(VLOOKUP($A209,Hitters!$A$1:$R$401,9,FALSE)-AVERAGE(Rankings!T$2:T$651))/STDEV(Rankings!T$2:T$651)</f>
        <v>-0.49742315875783089</v>
      </c>
      <c r="N209" s="157">
        <f>(VLOOKUP($A209,Hitters!$A$1:$R$401,10,FALSE)-AVERAGE(Rankings!U$2:U$651))/STDEV(Rankings!U$2:U$651)</f>
        <v>-0.21869607329113949</v>
      </c>
      <c r="O209" s="157">
        <f>(VLOOKUP($A209,Hitters!$A$1:$R$401,11,FALSE)-AVERAGE(Rankings!V$2:V$651))/STDEV(Rankings!V$2:V$651)</f>
        <v>-0.55404235972427129</v>
      </c>
      <c r="P209" s="157">
        <f>(VLOOKUP($A209,Hitters!$A$1:$R$401,12,FALSE)-AVERAGE(Rankings!W$2:W$651))/STDEV(Rankings!W$2:W$651)</f>
        <v>0.48054938614510523</v>
      </c>
      <c r="Q209" s="157">
        <f>(VLOOKUP($A209,Hitters!$A$1:$R$401,13,FALSE)-AVERAGE(Rankings!X$2:X$651))/STDEV(Rankings!X$2:X$651)</f>
        <v>-0.679566301656095</v>
      </c>
      <c r="R209" s="118">
        <f>(VLOOKUP($A209,Hitters!$A1:$R401,16,FALSE)-AVERAGE(Rankings!Y2:Y651))/STDEV(Rankings!Y2:Y651)</f>
        <v>2.5142702883182779</v>
      </c>
      <c r="S209" s="118">
        <f>(VLOOKUP($A209,Hitters!$A1:$R401,17,FALSE)-AVERAGE(Rankings!Z2:Z651))/STDEV(Rankings!Z2:Z651)</f>
        <v>2.941309418886644</v>
      </c>
      <c r="T209" s="118">
        <f>IFERROR((VLOOKUP($A209,Hitters!$A1:$R401,18,FALSE)-AVERAGE(Rankings!AA2:AA651))/STDEV(Rankings!AA2:AA651),0)</f>
        <v>0</v>
      </c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</row>
    <row r="210" spans="1:37" ht="18.600000000000001" customHeight="1">
      <c r="A210" s="26" t="s">
        <v>576</v>
      </c>
      <c r="B210" s="27" t="s">
        <v>63</v>
      </c>
      <c r="C210" s="122" t="s">
        <v>112</v>
      </c>
      <c r="D210" s="67">
        <f>(F210*Settings!$C$2)+(G210*Settings!$C$3)+(H210*Settings!$C$4)+(I210*Settings!$C$5)+(J210*Settings!$C$6)+(M210*Settings!$C$9)+(N210*Settings!$C$10)+(O210*Settings!$C$11)+(P210*Settings!$C$12)+(Q210*Settings!$C$13)+(T210*Settings!$C$16)+(K210*Settings!$C$7)+(L210*Settings!$C$8)+(R210*Settings!$C$14)+(S210*Settings!$C$15)</f>
        <v>-1.9229267129023966</v>
      </c>
      <c r="E210" s="67"/>
      <c r="F210" s="118">
        <f>(VLOOKUP($A210,Hitters!$A1:$R401,4,FALSE)-AVERAGE(Rankings!M2:M651))/STDEV(Rankings!M2:M651)</f>
        <v>-0.4780399401269933</v>
      </c>
      <c r="G210" s="118">
        <f>(VLOOKUP($A210,Hitters!$A1:$R401,5,FALSE)-AVERAGE(Rankings!N2:N651))/STDEV(Rankings!N2:N651)</f>
        <v>-0.53572087903535048</v>
      </c>
      <c r="H210" s="118">
        <f>(VLOOKUP($A210,Hitters!$A1:$R401,6,FALSE)-AVERAGE(Rankings!O2:O651))/STDEV(Rankings!O2:O651)</f>
        <v>-0.13454894060564535</v>
      </c>
      <c r="I210" s="118">
        <f>(VLOOKUP($A210,Hitters!$A1:$R401,7,FALSE)-AVERAGE(Rankings!P2:P651))/STDEV(Rankings!P2:P651)</f>
        <v>-0.23390072795386666</v>
      </c>
      <c r="J210" s="118">
        <f>(VLOOKUP($A210,Hitters!$A1:$R401,8,FALSE)-AVERAGE(Rankings!Q2:Q651))/STDEV(Rankings!Q2:Q651)</f>
        <v>-0.68431904024075529</v>
      </c>
      <c r="K210" s="157">
        <f>(VLOOKUP($A210,Hitters!$A$1:$R$401,14,FALSE)-AVERAGE(Rankings!R$2:R$651))/STDEV(Rankings!R$2:R$651)</f>
        <v>-0.33443712506677886</v>
      </c>
      <c r="L210" s="157">
        <f>(VLOOKUP($A210,Hitters!$A$1:$R$401,15,FALSE)-AVERAGE(Rankings!S$2:S$651))/STDEV(Rankings!S$2:S$651)</f>
        <v>-0.26611015459020915</v>
      </c>
      <c r="M210" s="157">
        <f>(VLOOKUP($A210,Hitters!$A$1:$R$401,9,FALSE)-AVERAGE(Rankings!T$2:T$651))/STDEV(Rankings!T$2:T$651)</f>
        <v>-0.50934510476580352</v>
      </c>
      <c r="N210" s="157">
        <f>(VLOOKUP($A210,Hitters!$A$1:$R$401,10,FALSE)-AVERAGE(Rankings!U$2:U$651))/STDEV(Rankings!U$2:U$651)</f>
        <v>-0.78827181973483662</v>
      </c>
      <c r="O210" s="157">
        <f>(VLOOKUP($A210,Hitters!$A$1:$R$401,11,FALSE)-AVERAGE(Rankings!V$2:V$651))/STDEV(Rankings!V$2:V$651)</f>
        <v>-1.4038637025066756</v>
      </c>
      <c r="P210" s="157">
        <f>(VLOOKUP($A210,Hitters!$A$1:$R$401,12,FALSE)-AVERAGE(Rankings!W$2:W$651))/STDEV(Rankings!W$2:W$651)</f>
        <v>-0.37953129534561675</v>
      </c>
      <c r="Q210" s="157">
        <f>(VLOOKUP($A210,Hitters!$A$1:$R$401,13,FALSE)-AVERAGE(Rankings!X$2:X$651))/STDEV(Rankings!X$2:X$651)</f>
        <v>-0.26162551444463933</v>
      </c>
      <c r="R210" s="118">
        <f>(VLOOKUP($A210,Hitters!$A1:$R401,16,FALSE)-AVERAGE(Rankings!Y2:Y651))/STDEV(Rankings!Y2:Y651)</f>
        <v>-0.17659013063393519</v>
      </c>
      <c r="S210" s="118">
        <f>(VLOOKUP($A210,Hitters!$A1:$R401,17,FALSE)-AVERAGE(Rankings!Z2:Z651))/STDEV(Rankings!Z2:Z651)</f>
        <v>-0.22926088709528347</v>
      </c>
      <c r="T210" s="118">
        <f>IFERROR((VLOOKUP($A210,Hitters!$A1:$R401,18,FALSE)-AVERAGE(Rankings!AA2:AA651))/STDEV(Rankings!AA2:AA651),0)</f>
        <v>0</v>
      </c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</row>
    <row r="211" spans="1:37" ht="18.600000000000001" customHeight="1">
      <c r="A211" s="26" t="s">
        <v>656</v>
      </c>
      <c r="B211" s="27" t="s">
        <v>158</v>
      </c>
      <c r="C211" s="122" t="s">
        <v>112</v>
      </c>
      <c r="D211" s="67">
        <f>(F211*Settings!$C$2)+(G211*Settings!$C$3)+(H211*Settings!$C$4)+(I211*Settings!$C$5)+(J211*Settings!$C$6)+(M211*Settings!$C$9)+(N211*Settings!$C$10)+(O211*Settings!$C$11)+(P211*Settings!$C$12)+(Q211*Settings!$C$13)+(T211*Settings!$C$16)+(K211*Settings!$C$7)+(L211*Settings!$C$8)+(R211*Settings!$C$14)+(S211*Settings!$C$15)</f>
        <v>-3.7010744274485079</v>
      </c>
      <c r="E211" s="67"/>
      <c r="F211" s="118">
        <f>(VLOOKUP($A211,Hitters!$A1:$R401,4,FALSE)-AVERAGE(Rankings!M2:M651))/STDEV(Rankings!M2:M651)</f>
        <v>-1.2719112498784779</v>
      </c>
      <c r="G211" s="118">
        <f>(VLOOKUP($A211,Hitters!$A1:$R401,5,FALSE)-AVERAGE(Rankings!N2:N651))/STDEV(Rankings!N2:N651)</f>
        <v>-1.1281279146363112</v>
      </c>
      <c r="H211" s="118">
        <f>(VLOOKUP($A211,Hitters!$A1:$R401,6,FALSE)-AVERAGE(Rankings!O2:O651))/STDEV(Rankings!O2:O651)</f>
        <v>-0.48994640560170966</v>
      </c>
      <c r="I211" s="118">
        <f>(VLOOKUP($A211,Hitters!$A1:$R401,7,FALSE)-AVERAGE(Rankings!P2:P651))/STDEV(Rankings!P2:P651)</f>
        <v>-0.87814291901761465</v>
      </c>
      <c r="J211" s="118">
        <f>(VLOOKUP($A211,Hitters!$A1:$R401,8,FALSE)-AVERAGE(Rankings!Q2:Q651))/STDEV(Rankings!Q2:Q651)</f>
        <v>-0.82314743734346352</v>
      </c>
      <c r="K211" s="157">
        <f>(VLOOKUP($A211,Hitters!$A$1:$R$401,14,FALSE)-AVERAGE(Rankings!R$2:R$651))/STDEV(Rankings!R$2:R$651)</f>
        <v>-0.381709750849409</v>
      </c>
      <c r="L211" s="157">
        <f>(VLOOKUP($A211,Hitters!$A$1:$R$401,15,FALSE)-AVERAGE(Rankings!S$2:S$651))/STDEV(Rankings!S$2:S$651)</f>
        <v>-0.46833405930376892</v>
      </c>
      <c r="M211" s="157">
        <f>(VLOOKUP($A211,Hitters!$A$1:$R$401,9,FALSE)-AVERAGE(Rankings!T$2:T$651))/STDEV(Rankings!T$2:T$651)</f>
        <v>-1.1918615364031229</v>
      </c>
      <c r="N211" s="157">
        <f>(VLOOKUP($A211,Hitters!$A$1:$R$401,10,FALSE)-AVERAGE(Rankings!U$2:U$651))/STDEV(Rankings!U$2:U$651)</f>
        <v>-1.3039164453870882</v>
      </c>
      <c r="O211" s="157">
        <f>(VLOOKUP($A211,Hitters!$A$1:$R$401,11,FALSE)-AVERAGE(Rankings!V$2:V$651))/STDEV(Rankings!V$2:V$651)</f>
        <v>-0.54116627877302281</v>
      </c>
      <c r="P211" s="157">
        <f>(VLOOKUP($A211,Hitters!$A$1:$R$401,12,FALSE)-AVERAGE(Rankings!W$2:W$651))/STDEV(Rankings!W$2:W$651)</f>
        <v>-0.99117325246561849</v>
      </c>
      <c r="Q211" s="157">
        <f>(VLOOKUP($A211,Hitters!$A$1:$R$401,13,FALSE)-AVERAGE(Rankings!X$2:X$651))/STDEV(Rankings!X$2:X$651)</f>
        <v>-0.68067363909382406</v>
      </c>
      <c r="R211" s="118">
        <f>(VLOOKUP($A211,Hitters!$A1:$R401,16,FALSE)-AVERAGE(Rankings!Y2:Y651))/STDEV(Rankings!Y2:Y651)</f>
        <v>0.47134652002560001</v>
      </c>
      <c r="S211" s="118">
        <f>(VLOOKUP($A211,Hitters!$A1:$R401,17,FALSE)-AVERAGE(Rankings!Z2:Z651))/STDEV(Rankings!Z2:Z651)</f>
        <v>0.16832198624011507</v>
      </c>
      <c r="T211" s="118">
        <f>IFERROR((VLOOKUP($A211,Hitters!$A1:$R401,18,FALSE)-AVERAGE(Rankings!AA2:AA651))/STDEV(Rankings!AA2:AA651),0)</f>
        <v>0</v>
      </c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</row>
    <row r="212" spans="1:37" ht="18.600000000000001" customHeight="1">
      <c r="A212" s="26" t="s">
        <v>686</v>
      </c>
      <c r="B212" s="27" t="s">
        <v>120</v>
      </c>
      <c r="C212" s="122" t="s">
        <v>112</v>
      </c>
      <c r="D212" s="67">
        <f>(F212*Settings!$C$2)+(G212*Settings!$C$3)+(H212*Settings!$C$4)+(I212*Settings!$C$5)+(J212*Settings!$C$6)+(M212*Settings!$C$9)+(N212*Settings!$C$10)+(O212*Settings!$C$11)+(P212*Settings!$C$12)+(Q212*Settings!$C$13)+(T212*Settings!$C$16)+(K212*Settings!$C$7)+(L212*Settings!$C$8)+(R212*Settings!$C$14)+(S212*Settings!$C$15)</f>
        <v>-3.5611082427368701</v>
      </c>
      <c r="E212" s="67"/>
      <c r="F212" s="118">
        <f>(VLOOKUP($A212,Hitters!$A1:$R401,4,FALSE)-AVERAGE(Rankings!M2:M651))/STDEV(Rankings!M2:M651)</f>
        <v>-0.99089635245048313</v>
      </c>
      <c r="G212" s="118">
        <f>(VLOOKUP($A212,Hitters!$A1:$R401,5,FALSE)-AVERAGE(Rankings!N2:N651))/STDEV(Rankings!N2:N651)</f>
        <v>-0.89759526750037866</v>
      </c>
      <c r="H212" s="118">
        <f>(VLOOKUP($A212,Hitters!$A1:$R401,6,FALSE)-AVERAGE(Rankings!O2:O651))/STDEV(Rankings!O2:O651)</f>
        <v>-0.47998524576352103</v>
      </c>
      <c r="I212" s="118">
        <f>(VLOOKUP($A212,Hitters!$A1:$R401,7,FALSE)-AVERAGE(Rankings!P2:P651))/STDEV(Rankings!P2:P651)</f>
        <v>-0.76121621920144622</v>
      </c>
      <c r="J212" s="118">
        <f>(VLOOKUP($A212,Hitters!$A1:$R401,8,FALSE)-AVERAGE(Rankings!Q2:Q651))/STDEV(Rankings!Q2:Q651)</f>
        <v>-0.67679553897164102</v>
      </c>
      <c r="K212" s="157">
        <f>(VLOOKUP($A212,Hitters!$A$1:$R$401,14,FALSE)-AVERAGE(Rankings!R$2:R$651))/STDEV(Rankings!R$2:R$651)</f>
        <v>-0.74551597129988345</v>
      </c>
      <c r="L212" s="157">
        <f>(VLOOKUP($A212,Hitters!$A$1:$R$401,15,FALSE)-AVERAGE(Rankings!S$2:S$651))/STDEV(Rankings!S$2:S$651)</f>
        <v>-0.13053492362402164</v>
      </c>
      <c r="M212" s="157">
        <f>(VLOOKUP($A212,Hitters!$A$1:$R$401,9,FALSE)-AVERAGE(Rankings!T$2:T$651))/STDEV(Rankings!T$2:T$651)</f>
        <v>-1.0006910353406093</v>
      </c>
      <c r="N212" s="157">
        <f>(VLOOKUP($A212,Hitters!$A$1:$R$401,10,FALSE)-AVERAGE(Rankings!U$2:U$651))/STDEV(Rankings!U$2:U$651)</f>
        <v>-1.1986360127782558</v>
      </c>
      <c r="O212" s="157">
        <f>(VLOOKUP($A212,Hitters!$A$1:$R$401,11,FALSE)-AVERAGE(Rankings!V$2:V$651))/STDEV(Rankings!V$2:V$651)</f>
        <v>-1.3981409998616761</v>
      </c>
      <c r="P212" s="157">
        <f>(VLOOKUP($A212,Hitters!$A$1:$R$401,12,FALSE)-AVERAGE(Rankings!W$2:W$651))/STDEV(Rankings!W$2:W$651)</f>
        <v>-0.49224310520033482</v>
      </c>
      <c r="Q212" s="157">
        <f>(VLOOKUP($A212,Hitters!$A$1:$R$401,13,FALSE)-AVERAGE(Rankings!X$2:X$651))/STDEV(Rankings!X$2:X$651)</f>
        <v>-0.4144380808512505</v>
      </c>
      <c r="R212" s="118">
        <f>(VLOOKUP($A212,Hitters!$A1:$R401,16,FALSE)-AVERAGE(Rankings!Y2:Y651))/STDEV(Rankings!Y2:Y651)</f>
        <v>-0.41720683944793352</v>
      </c>
      <c r="S212" s="118">
        <f>(VLOOKUP($A212,Hitters!$A1:$R401,17,FALSE)-AVERAGE(Rankings!Z2:Z651))/STDEV(Rankings!Z2:Z651)</f>
        <v>-0.35414167414336334</v>
      </c>
      <c r="T212" s="118">
        <f>IFERROR((VLOOKUP($A212,Hitters!$A1:$R401,18,FALSE)-AVERAGE(Rankings!AA2:AA651))/STDEV(Rankings!AA2:AA651),0)</f>
        <v>0</v>
      </c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</row>
    <row r="213" spans="1:37" ht="18.600000000000001" customHeight="1">
      <c r="A213" s="26" t="s">
        <v>696</v>
      </c>
      <c r="B213" s="27" t="s">
        <v>63</v>
      </c>
      <c r="C213" s="122" t="s">
        <v>112</v>
      </c>
      <c r="D213" s="67">
        <f>(F213*Settings!$C$2)+(G213*Settings!$C$3)+(H213*Settings!$C$4)+(I213*Settings!$C$5)+(J213*Settings!$C$6)+(M213*Settings!$C$9)+(N213*Settings!$C$10)+(O213*Settings!$C$11)+(P213*Settings!$C$12)+(Q213*Settings!$C$13)+(T213*Settings!$C$16)+(K213*Settings!$C$7)+(L213*Settings!$C$8)+(R213*Settings!$C$14)+(S213*Settings!$C$15)</f>
        <v>-2.459404083713681</v>
      </c>
      <c r="E213" s="67"/>
      <c r="F213" s="118">
        <f>(VLOOKUP($A213,Hitters!$A1:$R401,4,FALSE)-AVERAGE(Rankings!M2:M651))/STDEV(Rankings!M2:M651)</f>
        <v>-0.46215575470412357</v>
      </c>
      <c r="G213" s="118">
        <f>(VLOOKUP($A213,Hitters!$A1:$R401,5,FALSE)-AVERAGE(Rankings!N2:N651))/STDEV(Rankings!N2:N651)</f>
        <v>-0.33792224503761459</v>
      </c>
      <c r="H213" s="118">
        <f>(VLOOKUP($A213,Hitters!$A1:$R401,6,FALSE)-AVERAGE(Rankings!O2:O651))/STDEV(Rankings!O2:O651)</f>
        <v>7.8396972858284605E-2</v>
      </c>
      <c r="I213" s="118">
        <f>(VLOOKUP($A213,Hitters!$A1:$R401,7,FALSE)-AVERAGE(Rankings!P2:P651))/STDEV(Rankings!P2:P651)</f>
        <v>-0.16818354490524981</v>
      </c>
      <c r="J213" s="118">
        <f>(VLOOKUP($A213,Hitters!$A1:$R401,8,FALSE)-AVERAGE(Rankings!Q2:Q651))/STDEV(Rankings!Q2:Q651)</f>
        <v>-0.68384387173954808</v>
      </c>
      <c r="K213" s="157">
        <f>(VLOOKUP($A213,Hitters!$A$1:$R$401,14,FALSE)-AVERAGE(Rankings!R$2:R$651))/STDEV(Rankings!R$2:R$651)</f>
        <v>-1.3478513948895532</v>
      </c>
      <c r="L213" s="157">
        <f>(VLOOKUP($A213,Hitters!$A$1:$R$401,15,FALSE)-AVERAGE(Rankings!S$2:S$651))/STDEV(Rankings!S$2:S$651)</f>
        <v>0.16238366454466457</v>
      </c>
      <c r="M213" s="157">
        <f>(VLOOKUP($A213,Hitters!$A$1:$R$401,9,FALSE)-AVERAGE(Rankings!T$2:T$651))/STDEV(Rankings!T$2:T$651)</f>
        <v>-0.66492949563366566</v>
      </c>
      <c r="N213" s="157">
        <f>(VLOOKUP($A213,Hitters!$A$1:$R$401,10,FALSE)-AVERAGE(Rankings!U$2:U$651))/STDEV(Rankings!U$2:U$651)</f>
        <v>-0.44080336197612197</v>
      </c>
      <c r="O213" s="157">
        <f>(VLOOKUP($A213,Hitters!$A$1:$R$401,11,FALSE)-AVERAGE(Rankings!V$2:V$651))/STDEV(Rankings!V$2:V$651)</f>
        <v>-0.56167262991760381</v>
      </c>
      <c r="P213" s="157">
        <f>(VLOOKUP($A213,Hitters!$A$1:$R$401,12,FALSE)-AVERAGE(Rankings!W$2:W$651))/STDEV(Rankings!W$2:W$651)</f>
        <v>0.4396198216393632</v>
      </c>
      <c r="Q213" s="157">
        <f>(VLOOKUP($A213,Hitters!$A$1:$R$401,13,FALSE)-AVERAGE(Rankings!X$2:X$651))/STDEV(Rankings!X$2:X$651)</f>
        <v>0.25420390226206585</v>
      </c>
      <c r="R213" s="118">
        <f>(VLOOKUP($A213,Hitters!$A1:$R401,16,FALSE)-AVERAGE(Rankings!Y2:Y651))/STDEV(Rankings!Y2:Y651)</f>
        <v>4.9349189616780149E-2</v>
      </c>
      <c r="S213" s="118">
        <f>(VLOOKUP($A213,Hitters!$A1:$R401,17,FALSE)-AVERAGE(Rankings!Z2:Z651))/STDEV(Rankings!Z2:Z651)</f>
        <v>9.7215594898078683E-2</v>
      </c>
      <c r="T213" s="118">
        <f>IFERROR((VLOOKUP($A213,Hitters!$A1:$R401,18,FALSE)-AVERAGE(Rankings!AA2:AA651))/STDEV(Rankings!AA2:AA651),0)</f>
        <v>0</v>
      </c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</row>
    <row r="214" spans="1:37" ht="18.600000000000001" customHeight="1">
      <c r="A214" s="26" t="s">
        <v>700</v>
      </c>
      <c r="B214" s="27" t="s">
        <v>95</v>
      </c>
      <c r="C214" s="122" t="s">
        <v>112</v>
      </c>
      <c r="D214" s="67">
        <f>(F214*Settings!$C$2)+(G214*Settings!$C$3)+(H214*Settings!$C$4)+(I214*Settings!$C$5)+(J214*Settings!$C$6)+(M214*Settings!$C$9)+(N214*Settings!$C$10)+(O214*Settings!$C$11)+(P214*Settings!$C$12)+(Q214*Settings!$C$13)+(T214*Settings!$C$16)+(K214*Settings!$C$7)+(L214*Settings!$C$8)+(R214*Settings!$C$14)+(S214*Settings!$C$15)</f>
        <v>-3.3352893504331718</v>
      </c>
      <c r="E214" s="67"/>
      <c r="F214" s="118">
        <f>(VLOOKUP($A214,Hitters!$A1:$R401,4,FALSE)-AVERAGE(Rankings!M2:M651))/STDEV(Rankings!M2:M651)</f>
        <v>-0.774115242084916</v>
      </c>
      <c r="G214" s="118">
        <f>(VLOOKUP($A214,Hitters!$A1:$R401,5,FALSE)-AVERAGE(Rankings!N2:N651))/STDEV(Rankings!N2:N651)</f>
        <v>-0.59905903923613801</v>
      </c>
      <c r="H214" s="118">
        <f>(VLOOKUP($A214,Hitters!$A1:$R401,6,FALSE)-AVERAGE(Rankings!O2:O651))/STDEV(Rankings!O2:O651)</f>
        <v>-0.16004393711457507</v>
      </c>
      <c r="I214" s="118">
        <f>(VLOOKUP($A214,Hitters!$A1:$R401,7,FALSE)-AVERAGE(Rankings!P2:P651))/STDEV(Rankings!P2:P651)</f>
        <v>-0.46471260807640147</v>
      </c>
      <c r="J214" s="118">
        <f>(VLOOKUP($A214,Hitters!$A1:$R401,8,FALSE)-AVERAGE(Rankings!Q2:Q651))/STDEV(Rankings!Q2:Q651)</f>
        <v>-0.96629194833213738</v>
      </c>
      <c r="K214" s="157">
        <f>(VLOOKUP($A214,Hitters!$A$1:$R$401,14,FALSE)-AVERAGE(Rankings!R$2:R$651))/STDEV(Rankings!R$2:R$651)</f>
        <v>-1.1451818176739199</v>
      </c>
      <c r="L214" s="157">
        <f>(VLOOKUP($A214,Hitters!$A$1:$R$401,15,FALSE)-AVERAGE(Rankings!S$2:S$651))/STDEV(Rankings!S$2:S$651)</f>
        <v>1.4037598589081974</v>
      </c>
      <c r="M214" s="157">
        <f>(VLOOKUP($A214,Hitters!$A$1:$R$401,9,FALSE)-AVERAGE(Rankings!T$2:T$651))/STDEV(Rankings!T$2:T$651)</f>
        <v>-0.88004872994586281</v>
      </c>
      <c r="N214" s="157">
        <f>(VLOOKUP($A214,Hitters!$A$1:$R$401,10,FALSE)-AVERAGE(Rankings!U$2:U$651))/STDEV(Rankings!U$2:U$651)</f>
        <v>-1.1584386813904828</v>
      </c>
      <c r="O214" s="157">
        <f>(VLOOKUP($A214,Hitters!$A$1:$R$401,11,FALSE)-AVERAGE(Rankings!V$2:V$651))/STDEV(Rankings!V$2:V$651)</f>
        <v>-0.55690371104677105</v>
      </c>
      <c r="P214" s="157">
        <f>(VLOOKUP($A214,Hitters!$A$1:$R$401,12,FALSE)-AVERAGE(Rankings!W$2:W$651))/STDEV(Rankings!W$2:W$651)</f>
        <v>0.82230813961877258</v>
      </c>
      <c r="Q214" s="157">
        <f>(VLOOKUP($A214,Hitters!$A$1:$R$401,13,FALSE)-AVERAGE(Rankings!X$2:X$651))/STDEV(Rankings!X$2:X$651)</f>
        <v>-0.32369968738248023</v>
      </c>
      <c r="R214" s="118">
        <f>(VLOOKUP($A214,Hitters!$A1:$R401,16,FALSE)-AVERAGE(Rankings!Y2:Y651))/STDEV(Rankings!Y2:Y651)</f>
        <v>-0.14770075417704912</v>
      </c>
      <c r="S214" s="118">
        <f>(VLOOKUP($A214,Hitters!$A1:$R401,17,FALSE)-AVERAGE(Rankings!Z2:Z651))/STDEV(Rankings!Z2:Z651)</f>
        <v>0.42043071151259315</v>
      </c>
      <c r="T214" s="118">
        <f>IFERROR((VLOOKUP($A214,Hitters!$A1:$R401,18,FALSE)-AVERAGE(Rankings!AA2:AA651))/STDEV(Rankings!AA2:AA651),0)</f>
        <v>0</v>
      </c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</row>
    <row r="215" spans="1:37" ht="18.600000000000001" customHeight="1">
      <c r="A215" s="26" t="s">
        <v>698</v>
      </c>
      <c r="B215" s="27" t="s">
        <v>86</v>
      </c>
      <c r="C215" s="122" t="s">
        <v>112</v>
      </c>
      <c r="D215" s="67">
        <f>(F215*Settings!$C$2)+(G215*Settings!$C$3)+(H215*Settings!$C$4)+(I215*Settings!$C$5)+(J215*Settings!$C$6)+(M215*Settings!$C$9)+(N215*Settings!$C$10)+(O215*Settings!$C$11)+(P215*Settings!$C$12)+(Q215*Settings!$C$13)+(T215*Settings!$C$16)+(K215*Settings!$C$7)+(L215*Settings!$C$8)+(R215*Settings!$C$14)+(S215*Settings!$C$15)</f>
        <v>-2.3650893575893588</v>
      </c>
      <c r="E215" s="67"/>
      <c r="F215" s="118">
        <f>(VLOOKUP($A215,Hitters!$A1:$R401,4,FALSE)-AVERAGE(Rankings!M2:M651))/STDEV(Rankings!M2:M651)</f>
        <v>-0.50769605227288195</v>
      </c>
      <c r="G215" s="118">
        <f>(VLOOKUP($A215,Hitters!$A1:$R401,5,FALSE)-AVERAGE(Rankings!N2:N651))/STDEV(Rankings!N2:N651)</f>
        <v>-0.42263513264002933</v>
      </c>
      <c r="H215" s="118">
        <f>(VLOOKUP($A215,Hitters!$A1:$R401,6,FALSE)-AVERAGE(Rankings!O2:O651))/STDEV(Rankings!O2:O651)</f>
        <v>0.16386790377756527</v>
      </c>
      <c r="I215" s="118">
        <f>(VLOOKUP($A215,Hitters!$A1:$R401,7,FALSE)-AVERAGE(Rankings!P2:P651))/STDEV(Rankings!P2:P651)</f>
        <v>-0.29244043400027236</v>
      </c>
      <c r="J215" s="118">
        <f>(VLOOKUP($A215,Hitters!$A1:$R401,8,FALSE)-AVERAGE(Rankings!Q2:Q651))/STDEV(Rankings!Q2:Q651)</f>
        <v>-0.68479420874196251</v>
      </c>
      <c r="K215" s="157">
        <f>(VLOOKUP($A215,Hitters!$A$1:$R$401,14,FALSE)-AVERAGE(Rankings!R$2:R$651))/STDEV(Rankings!R$2:R$651)</f>
        <v>-1.1290874859846598</v>
      </c>
      <c r="L215" s="157">
        <f>(VLOOKUP($A215,Hitters!$A$1:$R$401,15,FALSE)-AVERAGE(Rankings!S$2:S$651))/STDEV(Rankings!S$2:S$651)</f>
        <v>-0.16547416056133002</v>
      </c>
      <c r="M215" s="157">
        <f>(VLOOKUP($A215,Hitters!$A$1:$R$401,9,FALSE)-AVERAGE(Rankings!T$2:T$651))/STDEV(Rankings!T$2:T$651)</f>
        <v>-0.66480967708082173</v>
      </c>
      <c r="N215" s="157">
        <f>(VLOOKUP($A215,Hitters!$A$1:$R$401,10,FALSE)-AVERAGE(Rankings!U$2:U$651))/STDEV(Rankings!U$2:U$651)</f>
        <v>-0.61414314781777601</v>
      </c>
      <c r="O215" s="157">
        <f>(VLOOKUP($A215,Hitters!$A$1:$R$401,11,FALSE)-AVERAGE(Rankings!V$2:V$651))/STDEV(Rankings!V$2:V$651)</f>
        <v>-0.56453398124010357</v>
      </c>
      <c r="P215" s="157">
        <f>(VLOOKUP($A215,Hitters!$A$1:$R$401,12,FALSE)-AVERAGE(Rankings!W$2:W$651))/STDEV(Rankings!W$2:W$651)</f>
        <v>6.1861090266458488E-2</v>
      </c>
      <c r="Q215" s="157">
        <f>(VLOOKUP($A215,Hitters!$A$1:$R$401,13,FALSE)-AVERAGE(Rankings!X$2:X$651))/STDEV(Rankings!X$2:X$651)</f>
        <v>0.18124618422197383</v>
      </c>
      <c r="R215" s="118">
        <f>(VLOOKUP($A215,Hitters!$A1:$R401,16,FALSE)-AVERAGE(Rankings!Y2:Y651))/STDEV(Rankings!Y2:Y651)</f>
        <v>0.28087026480439364</v>
      </c>
      <c r="S215" s="118">
        <f>(VLOOKUP($A215,Hitters!$A1:$R401,17,FALSE)-AVERAGE(Rankings!Z2:Z651))/STDEV(Rankings!Z2:Z651)</f>
        <v>0.1430677924032181</v>
      </c>
      <c r="T215" s="118">
        <f>IFERROR((VLOOKUP($A215,Hitters!$A1:$R401,18,FALSE)-AVERAGE(Rankings!AA2:AA651))/STDEV(Rankings!AA2:AA651),0)</f>
        <v>0</v>
      </c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</row>
    <row r="216" spans="1:37" ht="18.600000000000001" customHeight="1">
      <c r="A216" s="26" t="s">
        <v>703</v>
      </c>
      <c r="B216" s="27" t="s">
        <v>258</v>
      </c>
      <c r="C216" s="122" t="s">
        <v>112</v>
      </c>
      <c r="D216" s="67">
        <f>(F216*Settings!$C$2)+(G216*Settings!$C$3)+(H216*Settings!$C$4)+(I216*Settings!$C$5)+(J216*Settings!$C$6)+(M216*Settings!$C$9)+(N216*Settings!$C$10)+(O216*Settings!$C$11)+(P216*Settings!$C$12)+(Q216*Settings!$C$13)+(T216*Settings!$C$16)+(K216*Settings!$C$7)+(L216*Settings!$C$8)+(R216*Settings!$C$14)+(S216*Settings!$C$15)</f>
        <v>-3.8874889381250832</v>
      </c>
      <c r="E216" s="67"/>
      <c r="F216" s="118">
        <f>(VLOOKUP($A216,Hitters!$A1:$R401,4,FALSE)-AVERAGE(Rankings!M2:M651))/STDEV(Rankings!M2:M651)</f>
        <v>-0.67912696835267816</v>
      </c>
      <c r="G216" s="118">
        <f>(VLOOKUP($A216,Hitters!$A1:$R401,5,FALSE)-AVERAGE(Rankings!N2:N651))/STDEV(Rankings!N2:N651)</f>
        <v>-1.0755405070076349</v>
      </c>
      <c r="H216" s="118">
        <f>(VLOOKUP($A216,Hitters!$A1:$R401,6,FALSE)-AVERAGE(Rankings!O2:O651))/STDEV(Rankings!O2:O651)</f>
        <v>-0.94767214893552754</v>
      </c>
      <c r="I216" s="118">
        <f>(VLOOKUP($A216,Hitters!$A1:$R401,7,FALSE)-AVERAGE(Rankings!P2:P651))/STDEV(Rankings!P2:P651)</f>
        <v>-0.78201054087097388</v>
      </c>
      <c r="J216" s="118">
        <f>(VLOOKUP($A216,Hitters!$A1:$R401,8,FALSE)-AVERAGE(Rankings!Q2:Q651))/STDEV(Rankings!Q2:Q651)</f>
        <v>-0.82671120110251761</v>
      </c>
      <c r="K216" s="157">
        <f>(VLOOKUP($A216,Hitters!$A$1:$R$401,14,FALSE)-AVERAGE(Rankings!R$2:R$651))/STDEV(Rankings!R$2:R$651)</f>
        <v>-0.25555454020842916</v>
      </c>
      <c r="L216" s="157">
        <f>(VLOOKUP($A216,Hitters!$A$1:$R$401,15,FALSE)-AVERAGE(Rankings!S$2:S$651))/STDEV(Rankings!S$2:S$651)</f>
        <v>-0.72728710778824346</v>
      </c>
      <c r="M216" s="157">
        <f>(VLOOKUP($A216,Hitters!$A$1:$R$401,9,FALSE)-AVERAGE(Rankings!T$2:T$651))/STDEV(Rankings!T$2:T$651)</f>
        <v>-0.66888350787751572</v>
      </c>
      <c r="N216" s="157">
        <f>(VLOOKUP($A216,Hitters!$A$1:$R$401,10,FALSE)-AVERAGE(Rankings!U$2:U$651))/STDEV(Rankings!U$2:U$651)</f>
        <v>-1.1633512901327887</v>
      </c>
      <c r="O216" s="157">
        <f>(VLOOKUP($A216,Hitters!$A$1:$R$401,11,FALSE)-AVERAGE(Rankings!V$2:V$651))/STDEV(Rankings!V$2:V$651)</f>
        <v>-1.3881262702329273</v>
      </c>
      <c r="P216" s="157">
        <f>(VLOOKUP($A216,Hitters!$A$1:$R$401,12,FALSE)-AVERAGE(Rankings!W$2:W$651))/STDEV(Rankings!W$2:W$651)</f>
        <v>-0.82698847205086767</v>
      </c>
      <c r="Q216" s="157">
        <f>(VLOOKUP($A216,Hitters!$A$1:$R$401,13,FALSE)-AVERAGE(Rankings!X$2:X$651))/STDEV(Rankings!X$2:X$651)</f>
        <v>-0.59132732697534207</v>
      </c>
      <c r="R216" s="118">
        <f>(VLOOKUP($A216,Hitters!$A1:$R401,16,FALSE)-AVERAGE(Rankings!Y2:Y651))/STDEV(Rankings!Y2:Y651)</f>
        <v>-1.5687962455035509</v>
      </c>
      <c r="S216" s="118">
        <f>(VLOOKUP($A216,Hitters!$A1:$R401,17,FALSE)-AVERAGE(Rankings!Z2:Z651))/STDEV(Rankings!Z2:Z651)</f>
        <v>-1.4206927049693245</v>
      </c>
      <c r="T216" s="118">
        <f>IFERROR((VLOOKUP($A216,Hitters!$A1:$R401,18,FALSE)-AVERAGE(Rankings!AA2:AA651))/STDEV(Rankings!AA2:AA651),0)</f>
        <v>0</v>
      </c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</row>
    <row r="217" spans="1:37" ht="18.600000000000001" customHeight="1">
      <c r="A217" s="26" t="s">
        <v>704</v>
      </c>
      <c r="B217" s="27" t="s">
        <v>91</v>
      </c>
      <c r="C217" s="122" t="s">
        <v>112</v>
      </c>
      <c r="D217" s="67">
        <f>(F217*Settings!$C$2)+(G217*Settings!$C$3)+(H217*Settings!$C$4)+(I217*Settings!$C$5)+(J217*Settings!$C$6)+(M217*Settings!$C$9)+(N217*Settings!$C$10)+(O217*Settings!$C$11)+(P217*Settings!$C$12)+(Q217*Settings!$C$13)+(T217*Settings!$C$16)+(K217*Settings!$C$7)+(L217*Settings!$C$8)+(R217*Settings!$C$14)+(S217*Settings!$C$15)</f>
        <v>1.3228981410130507</v>
      </c>
      <c r="E217" s="67"/>
      <c r="F217" s="118">
        <f>(VLOOKUP($A217,Hitters!$A1:$R401,4,FALSE)-AVERAGE(Rankings!M2:M651))/STDEV(Rankings!M2:M651)</f>
        <v>1.0143130764907664</v>
      </c>
      <c r="G217" s="118">
        <f>(VLOOKUP($A217,Hitters!$A1:$R401,5,FALSE)-AVERAGE(Rankings!N2:N651))/STDEV(Rankings!N2:N651)</f>
        <v>0.59457876285044142</v>
      </c>
      <c r="H217" s="118">
        <f>(VLOOKUP($A217,Hitters!$A1:$R401,6,FALSE)-AVERAGE(Rankings!O2:O651))/STDEV(Rankings!O2:O651)</f>
        <v>1.3847020808691031</v>
      </c>
      <c r="I217" s="118">
        <f>(VLOOKUP($A217,Hitters!$A1:$R401,7,FALSE)-AVERAGE(Rankings!P2:P651))/STDEV(Rankings!P2:P651)</f>
        <v>1.1283436837921001</v>
      </c>
      <c r="J217" s="118">
        <f>(VLOOKUP($A217,Hitters!$A1:$R401,8,FALSE)-AVERAGE(Rankings!Q2:Q651))/STDEV(Rankings!Q2:Q651)</f>
        <v>-0.61241020705806326</v>
      </c>
      <c r="K217" s="157">
        <f>(VLOOKUP($A217,Hitters!$A$1:$R$401,14,FALSE)-AVERAGE(Rankings!R$2:R$651))/STDEV(Rankings!R$2:R$651)</f>
        <v>-1.1723161794405306</v>
      </c>
      <c r="L217" s="157">
        <f>(VLOOKUP($A217,Hitters!$A$1:$R$401,15,FALSE)-AVERAGE(Rankings!S$2:S$651))/STDEV(Rankings!S$2:S$651)</f>
        <v>-1.1329003900679182</v>
      </c>
      <c r="M217" s="157">
        <f>(VLOOKUP($A217,Hitters!$A$1:$R$401,9,FALSE)-AVERAGE(Rankings!T$2:T$651))/STDEV(Rankings!T$2:T$651)</f>
        <v>0.5407446923585274</v>
      </c>
      <c r="N217" s="157">
        <f>(VLOOKUP($A217,Hitters!$A$1:$R$401,10,FALSE)-AVERAGE(Rankings!U$2:U$651))/STDEV(Rankings!U$2:U$651)</f>
        <v>0.97252190057310239</v>
      </c>
      <c r="O217" s="157">
        <f>(VLOOKUP($A217,Hitters!$A$1:$R$401,11,FALSE)-AVERAGE(Rankings!V$2:V$651))/STDEV(Rankings!V$2:V$651)</f>
        <v>-1.1520647861267039</v>
      </c>
      <c r="P217" s="157">
        <f>(VLOOKUP($A217,Hitters!$A$1:$R$401,12,FALSE)-AVERAGE(Rankings!W$2:W$651))/STDEV(Rankings!W$2:W$651)</f>
        <v>0.4011783765564626</v>
      </c>
      <c r="Q217" s="157">
        <f>(VLOOKUP($A217,Hitters!$A$1:$R$401,13,FALSE)-AVERAGE(Rankings!X$2:X$651))/STDEV(Rankings!X$2:X$651)</f>
        <v>1.6784296764566828</v>
      </c>
      <c r="R217" s="118">
        <f>(VLOOKUP($A217,Hitters!$A1:$R401,16,FALSE)-AVERAGE(Rankings!Y2:Y651))/STDEV(Rankings!Y2:Y651)</f>
        <v>0.28636313130843882</v>
      </c>
      <c r="S217" s="118">
        <f>(VLOOKUP($A217,Hitters!$A1:$R401,17,FALSE)-AVERAGE(Rankings!Z2:Z651))/STDEV(Rankings!Z2:Z651)</f>
        <v>-0.21707394914430897</v>
      </c>
      <c r="T217" s="118">
        <f>IFERROR((VLOOKUP($A217,Hitters!$A1:$R401,18,FALSE)-AVERAGE(Rankings!AA2:AA651))/STDEV(Rankings!AA2:AA651),0)</f>
        <v>0</v>
      </c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</row>
    <row r="218" spans="1:37" ht="18.600000000000001" customHeight="1">
      <c r="A218" s="26" t="s">
        <v>722</v>
      </c>
      <c r="B218" s="27" t="s">
        <v>71</v>
      </c>
      <c r="C218" s="122" t="s">
        <v>112</v>
      </c>
      <c r="D218" s="67">
        <f>(F218*Settings!$C$2)+(G218*Settings!$C$3)+(H218*Settings!$C$4)+(I218*Settings!$C$5)+(J218*Settings!$C$6)+(M218*Settings!$C$9)+(N218*Settings!$C$10)+(O218*Settings!$C$11)+(P218*Settings!$C$12)+(Q218*Settings!$C$13)+(T218*Settings!$C$16)+(K218*Settings!$C$7)+(L218*Settings!$C$8)+(R218*Settings!$C$14)+(S218*Settings!$C$15)</f>
        <v>-5.6533627040104362</v>
      </c>
      <c r="E218" s="67"/>
      <c r="F218" s="118">
        <f>(VLOOKUP($A218,Hitters!$A1:$R401,4,FALSE)-AVERAGE(Rankings!M2:M651))/STDEV(Rankings!M2:M651)</f>
        <v>-1.6553073264881841</v>
      </c>
      <c r="G218" s="118">
        <f>(VLOOKUP($A218,Hitters!$A1:$R401,5,FALSE)-AVERAGE(Rankings!N2:N651))/STDEV(Rankings!N2:N651)</f>
        <v>-1.5022363552618194</v>
      </c>
      <c r="H218" s="118">
        <f>(VLOOKUP($A218,Hitters!$A1:$R401,6,FALSE)-AVERAGE(Rankings!O2:O651))/STDEV(Rankings!O2:O651)</f>
        <v>-1.3433670332769905</v>
      </c>
      <c r="I218" s="118">
        <f>(VLOOKUP($A218,Hitters!$A1:$R401,7,FALSE)-AVERAGE(Rankings!P2:P651))/STDEV(Rankings!P2:P651)</f>
        <v>-1.5288499297925744</v>
      </c>
      <c r="J218" s="118">
        <f>(VLOOKUP($A218,Hitters!$A1:$R401,8,FALSE)-AVERAGE(Rankings!Q2:Q651))/STDEV(Rankings!Q2:Q651)</f>
        <v>-0.96201543182127236</v>
      </c>
      <c r="K218" s="157">
        <f>(VLOOKUP($A218,Hitters!$A$1:$R$401,14,FALSE)-AVERAGE(Rankings!R$2:R$651))/STDEV(Rankings!R$2:R$651)</f>
        <v>-0.31689395385777985</v>
      </c>
      <c r="L218" s="157">
        <f>(VLOOKUP($A218,Hitters!$A$1:$R$401,15,FALSE)-AVERAGE(Rankings!S$2:S$651))/STDEV(Rankings!S$2:S$651)</f>
        <v>-0.4586653913627084</v>
      </c>
      <c r="M218" s="157">
        <f>(VLOOKUP($A218,Hitters!$A$1:$R$401,9,FALSE)-AVERAGE(Rankings!T$2:T$651))/STDEV(Rankings!T$2:T$651)</f>
        <v>-1.5121290394954343</v>
      </c>
      <c r="N218" s="157">
        <f>(VLOOKUP($A218,Hitters!$A$1:$R$401,10,FALSE)-AVERAGE(Rankings!U$2:U$651))/STDEV(Rankings!U$2:U$651)</f>
        <v>-1.4734193762256274</v>
      </c>
      <c r="O218" s="157">
        <f>(VLOOKUP($A218,Hitters!$A$1:$R$401,11,FALSE)-AVERAGE(Rankings!V$2:V$651))/STDEV(Rankings!V$2:V$651)</f>
        <v>-1.4031483646760505</v>
      </c>
      <c r="P218" s="157">
        <f>(VLOOKUP($A218,Hitters!$A$1:$R$401,12,FALSE)-AVERAGE(Rankings!W$2:W$651))/STDEV(Rankings!W$2:W$651)</f>
        <v>-1.2473717992863251</v>
      </c>
      <c r="Q218" s="157">
        <f>(VLOOKUP($A218,Hitters!$A$1:$R$401,13,FALSE)-AVERAGE(Rankings!X$2:X$651))/STDEV(Rankings!X$2:X$651)</f>
        <v>-1.8934454200009494</v>
      </c>
      <c r="R218" s="118">
        <f>(VLOOKUP($A218,Hitters!$A1:$R401,16,FALSE)-AVERAGE(Rankings!Y2:Y651))/STDEV(Rankings!Y2:Y651)</f>
        <v>-1.4875982432659223</v>
      </c>
      <c r="S218" s="118">
        <f>(VLOOKUP($A218,Hitters!$A1:$R401,17,FALSE)-AVERAGE(Rankings!Z2:Z651))/STDEV(Rankings!Z2:Z651)</f>
        <v>-1.2602148834136573</v>
      </c>
      <c r="T218" s="118">
        <f>IFERROR((VLOOKUP($A218,Hitters!$A1:$R401,18,FALSE)-AVERAGE(Rankings!AA2:AA651))/STDEV(Rankings!AA2:AA651),0)</f>
        <v>0</v>
      </c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</row>
    <row r="219" spans="1:37" ht="18.600000000000001" customHeight="1">
      <c r="A219" s="26" t="s">
        <v>724</v>
      </c>
      <c r="B219" s="27" t="s">
        <v>76</v>
      </c>
      <c r="C219" s="122" t="s">
        <v>112</v>
      </c>
      <c r="D219" s="67">
        <f>(F219*Settings!$C$2)+(G219*Settings!$C$3)+(H219*Settings!$C$4)+(I219*Settings!$C$5)+(J219*Settings!$C$6)+(M219*Settings!$C$9)+(N219*Settings!$C$10)+(O219*Settings!$C$11)+(P219*Settings!$C$12)+(Q219*Settings!$C$13)+(T219*Settings!$C$16)+(K219*Settings!$C$7)+(L219*Settings!$C$8)+(R219*Settings!$C$14)+(S219*Settings!$C$15)</f>
        <v>-5.0972293181120589</v>
      </c>
      <c r="E219" s="67"/>
      <c r="F219" s="118">
        <f>(VLOOKUP($A219,Hitters!$A1:$R401,4,FALSE)-AVERAGE(Rankings!M2:M651))/STDEV(Rankings!M2:M651)</f>
        <v>-1.7707000192609694</v>
      </c>
      <c r="G219" s="118">
        <f>(VLOOKUP($A219,Hitters!$A1:$R401,5,FALSE)-AVERAGE(Rankings!N2:N651))/STDEV(Rankings!N2:N651)</f>
        <v>-1.5232687827584384</v>
      </c>
      <c r="H219" s="118">
        <f>(VLOOKUP($A219,Hitters!$A1:$R401,6,FALSE)-AVERAGE(Rankings!O2:O651))/STDEV(Rankings!O2:O651)</f>
        <v>-1.1875758865769321</v>
      </c>
      <c r="I219" s="118">
        <f>(VLOOKUP($A219,Hitters!$A1:$R401,7,FALSE)-AVERAGE(Rankings!P2:P651))/STDEV(Rankings!P2:P651)</f>
        <v>-1.4759351259358451</v>
      </c>
      <c r="J219" s="118">
        <f>(VLOOKUP($A219,Hitters!$A1:$R401,8,FALSE)-AVERAGE(Rankings!Q2:Q651))/STDEV(Rankings!Q2:Q651)</f>
        <v>-0.68534857199337096</v>
      </c>
      <c r="K219" s="157">
        <f>(VLOOKUP($A219,Hitters!$A$1:$R$401,14,FALSE)-AVERAGE(Rankings!R$2:R$651))/STDEV(Rankings!R$2:R$651)</f>
        <v>-0.22510095084747195</v>
      </c>
      <c r="L219" s="157">
        <f>(VLOOKUP($A219,Hitters!$A$1:$R$401,15,FALSE)-AVERAGE(Rankings!S$2:S$651))/STDEV(Rankings!S$2:S$651)</f>
        <v>-0.58930163394622603</v>
      </c>
      <c r="M219" s="157">
        <f>(VLOOKUP($A219,Hitters!$A$1:$R$401,9,FALSE)-AVERAGE(Rankings!T$2:T$651))/STDEV(Rankings!T$2:T$651)</f>
        <v>-1.6035431066558112</v>
      </c>
      <c r="N219" s="157">
        <f>(VLOOKUP($A219,Hitters!$A$1:$R$401,10,FALSE)-AVERAGE(Rankings!U$2:U$651))/STDEV(Rankings!U$2:U$651)</f>
        <v>-1.5621690597088906</v>
      </c>
      <c r="O219" s="157">
        <f>(VLOOKUP($A219,Hitters!$A$1:$R$401,11,FALSE)-AVERAGE(Rankings!V$2:V$651))/STDEV(Rankings!V$2:V$651)</f>
        <v>-0.95749289619672595</v>
      </c>
      <c r="P219" s="157">
        <f>(VLOOKUP($A219,Hitters!$A$1:$R$401,12,FALSE)-AVERAGE(Rankings!W$2:W$651))/STDEV(Rankings!W$2:W$651)</f>
        <v>-1.3805639421403073</v>
      </c>
      <c r="Q219" s="157">
        <f>(VLOOKUP($A219,Hitters!$A$1:$R$401,13,FALSE)-AVERAGE(Rankings!X$2:X$651))/STDEV(Rankings!X$2:X$651)</f>
        <v>-1.5101326563779069</v>
      </c>
      <c r="R219" s="118">
        <f>(VLOOKUP($A219,Hitters!$A1:$R401,16,FALSE)-AVERAGE(Rankings!Y2:Y651))/STDEV(Rankings!Y2:Y651)</f>
        <v>-0.57746150178075828</v>
      </c>
      <c r="S219" s="118">
        <f>(VLOOKUP($A219,Hitters!$A1:$R401,17,FALSE)-AVERAGE(Rankings!Z2:Z651))/STDEV(Rankings!Z2:Z651)</f>
        <v>-0.64399166644814609</v>
      </c>
      <c r="T219" s="118">
        <f>IFERROR((VLOOKUP($A219,Hitters!$A1:$R401,18,FALSE)-AVERAGE(Rankings!AA2:AA651))/STDEV(Rankings!AA2:AA651),0)</f>
        <v>0</v>
      </c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</row>
    <row r="220" spans="1:37" ht="18.600000000000001" customHeight="1">
      <c r="A220" s="26" t="s">
        <v>67</v>
      </c>
      <c r="B220" s="27" t="s">
        <v>68</v>
      </c>
      <c r="C220" s="123" t="s">
        <v>23</v>
      </c>
      <c r="D220" s="67">
        <f>(F220*Settings!$C$2)+(G220*Settings!$C$3)+(H220*Settings!$C$4)+(I220*Settings!$C$5)+(J220*Settings!$C$6)+(M220*Settings!$C$9)+(N220*Settings!$C$10)+(O220*Settings!$C$11)+(P220*Settings!$C$12)+(Q220*Settings!$C$13)+(T220*Settings!$C$16)+(K220*Settings!$C$7)+(L220*Settings!$C$8)+(R220*Settings!$C$14)+(S220*Settings!$C$15)</f>
        <v>11.325934979490265</v>
      </c>
      <c r="E220" s="67"/>
      <c r="F220" s="118">
        <f>(VLOOKUP($A220,Hitters!$A1:$R401,4,FALSE)-AVERAGE(Rankings!M2:M651))/STDEV(Rankings!M2:M651)</f>
        <v>1.2609404022852104</v>
      </c>
      <c r="G220" s="118">
        <f>(VLOOKUP($A220,Hitters!$A1:$R401,5,FALSE)-AVERAGE(Rankings!N2:N651))/STDEV(Rankings!N2:N651)</f>
        <v>2.5313876920327307</v>
      </c>
      <c r="H220" s="118">
        <f>(VLOOKUP($A220,Hitters!$A1:$R401,6,FALSE)-AVERAGE(Rankings!O2:O651))/STDEV(Rankings!O2:O651)</f>
        <v>3.7452879871385325</v>
      </c>
      <c r="I220" s="118">
        <f>(VLOOKUP($A220,Hitters!$A1:$R401,7,FALSE)-AVERAGE(Rankings!P2:P651))/STDEV(Rankings!P2:P651)</f>
        <v>2.6276728158710854</v>
      </c>
      <c r="J220" s="118">
        <f>(VLOOKUP($A220,Hitters!$A1:$R401,8,FALSE)-AVERAGE(Rankings!Q2:Q651))/STDEV(Rankings!Q2:Q651)</f>
        <v>0.56996741344589241</v>
      </c>
      <c r="K220" s="157">
        <f>(VLOOKUP($A220,Hitters!$A$1:$R$401,14,FALSE)-AVERAGE(Rankings!R$2:R$651))/STDEV(Rankings!R$2:R$651)</f>
        <v>1.8516190710020235</v>
      </c>
      <c r="L220" s="157">
        <f>(VLOOKUP($A220,Hitters!$A$1:$R$401,15,FALSE)-AVERAGE(Rankings!S$2:S$651))/STDEV(Rankings!S$2:S$651)</f>
        <v>3.1627224716120454</v>
      </c>
      <c r="M220" s="157">
        <f>(VLOOKUP($A220,Hitters!$A$1:$R$401,9,FALSE)-AVERAGE(Rankings!T$2:T$651))/STDEV(Rankings!T$2:T$651)</f>
        <v>1.5948184563649193</v>
      </c>
      <c r="N220" s="157">
        <f>(VLOOKUP($A220,Hitters!$A$1:$R$401,10,FALSE)-AVERAGE(Rankings!U$2:U$651))/STDEV(Rankings!U$2:U$651)</f>
        <v>0.73886818842080271</v>
      </c>
      <c r="O220" s="157">
        <f>(VLOOKUP($A220,Hitters!$A$1:$R$401,11,FALSE)-AVERAGE(Rankings!V$2:V$651))/STDEV(Rankings!V$2:V$651)</f>
        <v>-0.56453398124010357</v>
      </c>
      <c r="P220" s="157">
        <f>(VLOOKUP($A220,Hitters!$A$1:$R$401,12,FALSE)-AVERAGE(Rankings!W$2:W$651))/STDEV(Rankings!W$2:W$651)</f>
        <v>3.0444009439193018</v>
      </c>
      <c r="Q220" s="157">
        <f>(VLOOKUP($A220,Hitters!$A$1:$R$401,13,FALSE)-AVERAGE(Rankings!X$2:X$651))/STDEV(Rankings!X$2:X$651)</f>
        <v>2.1034890614821111</v>
      </c>
      <c r="R220" s="118">
        <f>(VLOOKUP($A220,Hitters!$A1:$R401,16,FALSE)-AVERAGE(Rankings!Y2:Y651))/STDEV(Rankings!Y2:Y651)</f>
        <v>3.7565308709048946</v>
      </c>
      <c r="S220" s="118">
        <f>(VLOOKUP($A220,Hitters!$A1:$R401,17,FALSE)-AVERAGE(Rankings!Z2:Z651))/STDEV(Rankings!Z2:Z651)</f>
        <v>3.9369049930624538</v>
      </c>
      <c r="T220" s="118">
        <f>IFERROR((VLOOKUP($A220,Hitters!$A1:$R401,18,FALSE)-AVERAGE(Rankings!AA2:AA651))/STDEV(Rankings!AA2:AA651),0)</f>
        <v>0</v>
      </c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</row>
    <row r="221" spans="1:37" ht="18.600000000000001" customHeight="1">
      <c r="A221" s="26" t="s">
        <v>70</v>
      </c>
      <c r="B221" s="27" t="s">
        <v>71</v>
      </c>
      <c r="C221" s="123" t="s">
        <v>23</v>
      </c>
      <c r="D221" s="67">
        <f>(F221*Settings!$C$2)+(G221*Settings!$C$3)+(H221*Settings!$C$4)+(I221*Settings!$C$5)+(J221*Settings!$C$6)+(M221*Settings!$C$9)+(N221*Settings!$C$10)+(O221*Settings!$C$11)+(P221*Settings!$C$12)+(Q221*Settings!$C$13)+(T221*Settings!$C$16)+(K221*Settings!$C$7)+(L221*Settings!$C$8)+(R221*Settings!$C$14)+(S221*Settings!$C$15)</f>
        <v>9.6965548024941182</v>
      </c>
      <c r="E221" s="67"/>
      <c r="F221" s="118">
        <f>(VLOOKUP($A221,Hitters!$A1:$R401,4,FALSE)-AVERAGE(Rankings!M2:M651))/STDEV(Rankings!M2:M651)</f>
        <v>1.4500298010957484</v>
      </c>
      <c r="G221" s="118">
        <f>(VLOOKUP($A221,Hitters!$A1:$R401,5,FALSE)-AVERAGE(Rankings!N2:N651))/STDEV(Rankings!N2:N651)</f>
        <v>1.917529862384586</v>
      </c>
      <c r="H221" s="118">
        <f>(VLOOKUP($A221,Hitters!$A1:$R401,6,FALSE)-AVERAGE(Rankings!O2:O651))/STDEV(Rankings!O2:O651)</f>
        <v>1.8745403744505074</v>
      </c>
      <c r="I221" s="118">
        <f>(VLOOKUP($A221,Hitters!$A1:$R401,7,FALSE)-AVERAGE(Rankings!P2:P651))/STDEV(Rankings!P2:P651)</f>
        <v>1.5399032693444392</v>
      </c>
      <c r="J221" s="118">
        <f>(VLOOKUP($A221,Hitters!$A1:$R401,8,FALSE)-AVERAGE(Rankings!Q2:Q651))/STDEV(Rankings!Q2:Q651)</f>
        <v>2.8517265562429435</v>
      </c>
      <c r="K221" s="157">
        <f>(VLOOKUP($A221,Hitters!$A$1:$R$401,14,FALSE)-AVERAGE(Rankings!R$2:R$651))/STDEV(Rankings!R$2:R$651)</f>
        <v>1.5128547400716423</v>
      </c>
      <c r="L221" s="157">
        <f>(VLOOKUP($A221,Hitters!$A$1:$R$401,15,FALSE)-AVERAGE(Rankings!S$2:S$651))/STDEV(Rankings!S$2:S$651)</f>
        <v>1.0714189537965446</v>
      </c>
      <c r="M221" s="157">
        <f>(VLOOKUP($A221,Hitters!$A$1:$R$401,9,FALSE)-AVERAGE(Rankings!T$2:T$651))/STDEV(Rankings!T$2:T$651)</f>
        <v>1.6836639132987048</v>
      </c>
      <c r="N221" s="157">
        <f>(VLOOKUP($A221,Hitters!$A$1:$R$401,10,FALSE)-AVERAGE(Rankings!U$2:U$651))/STDEV(Rankings!U$2:U$651)</f>
        <v>1.3656023168735187</v>
      </c>
      <c r="O221" s="157">
        <f>(VLOOKUP($A221,Hitters!$A$1:$R$401,11,FALSE)-AVERAGE(Rankings!V$2:V$651))/STDEV(Rankings!V$2:V$651)</f>
        <v>1.1785058660492833</v>
      </c>
      <c r="P221" s="157">
        <f>(VLOOKUP($A221,Hitters!$A$1:$R$401,12,FALSE)-AVERAGE(Rankings!W$2:W$651))/STDEV(Rankings!W$2:W$651)</f>
        <v>0.84344160396653212</v>
      </c>
      <c r="Q221" s="157">
        <f>(VLOOKUP($A221,Hitters!$A$1:$R$401,13,FALSE)-AVERAGE(Rankings!X$2:X$651))/STDEV(Rankings!X$2:X$651)</f>
        <v>1.7158893200644318</v>
      </c>
      <c r="R221" s="118">
        <f>(VLOOKUP($A221,Hitters!$A1:$R401,16,FALSE)-AVERAGE(Rankings!Y2:Y651))/STDEV(Rankings!Y2:Y651)</f>
        <v>1.8662768737951188</v>
      </c>
      <c r="S221" s="118">
        <f>(VLOOKUP($A221,Hitters!$A1:$R401,17,FALSE)-AVERAGE(Rankings!Z2:Z651))/STDEV(Rankings!Z2:Z651)</f>
        <v>1.7677419381717843</v>
      </c>
      <c r="T221" s="118">
        <f>IFERROR((VLOOKUP($A221,Hitters!$A1:$R401,18,FALSE)-AVERAGE(Rankings!AA2:AA651))/STDEV(Rankings!AA2:AA651),0)</f>
        <v>0</v>
      </c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</row>
    <row r="222" spans="1:37" ht="18.600000000000001" customHeight="1">
      <c r="A222" s="26" t="s">
        <v>72</v>
      </c>
      <c r="B222" s="27" t="s">
        <v>73</v>
      </c>
      <c r="C222" s="123" t="s">
        <v>23</v>
      </c>
      <c r="D222" s="67">
        <f>(F222*Settings!$C$2)+(G222*Settings!$C$3)+(H222*Settings!$C$4)+(I222*Settings!$C$5)+(J222*Settings!$C$6)+(M222*Settings!$C$9)+(N222*Settings!$C$10)+(O222*Settings!$C$11)+(P222*Settings!$C$12)+(Q222*Settings!$C$13)+(T222*Settings!$C$16)+(K222*Settings!$C$7)+(L222*Settings!$C$8)+(R222*Settings!$C$14)+(S222*Settings!$C$15)</f>
        <v>11.038812300852172</v>
      </c>
      <c r="E222" s="67"/>
      <c r="F222" s="118">
        <f>(VLOOKUP($A222,Hitters!$A1:$R401,4,FALSE)-AVERAGE(Rankings!M2:M651))/STDEV(Rankings!M2:M651)</f>
        <v>1.2273132437836036</v>
      </c>
      <c r="G222" s="118">
        <f>(VLOOKUP($A222,Hitters!$A1:$R401,5,FALSE)-AVERAGE(Rankings!N2:N651))/STDEV(Rankings!N2:N651)</f>
        <v>2.3754003575430409</v>
      </c>
      <c r="H222" s="118">
        <f>(VLOOKUP($A222,Hitters!$A1:$R401,6,FALSE)-AVERAGE(Rankings!O2:O651))/STDEV(Rankings!O2:O651)</f>
        <v>1.8202067753331166</v>
      </c>
      <c r="I222" s="118">
        <f>(VLOOKUP($A222,Hitters!$A1:$R401,7,FALSE)-AVERAGE(Rankings!P2:P651))/STDEV(Rankings!P2:P651)</f>
        <v>1.2519388196883374</v>
      </c>
      <c r="J222" s="118">
        <f>(VLOOKUP($A222,Hitters!$A1:$R401,8,FALSE)-AVERAGE(Rankings!Q2:Q651))/STDEV(Rankings!Q2:Q651)</f>
        <v>4.3361529540142865</v>
      </c>
      <c r="K222" s="157">
        <f>(VLOOKUP($A222,Hitters!$A$1:$R$401,14,FALSE)-AVERAGE(Rankings!R$2:R$651))/STDEV(Rankings!R$2:R$651)</f>
        <v>1.2551133942733896</v>
      </c>
      <c r="L222" s="157">
        <f>(VLOOKUP($A222,Hitters!$A$1:$R$401,15,FALSE)-AVERAGE(Rankings!S$2:S$651))/STDEV(Rankings!S$2:S$651)</f>
        <v>2.037567398651198</v>
      </c>
      <c r="M222" s="157">
        <f>(VLOOKUP($A222,Hitters!$A$1:$R$401,9,FALSE)-AVERAGE(Rankings!T$2:T$651))/STDEV(Rankings!T$2:T$651)</f>
        <v>1.3931338772903492</v>
      </c>
      <c r="N222" s="157">
        <f>(VLOOKUP($A222,Hitters!$A$1:$R$401,10,FALSE)-AVERAGE(Rankings!U$2:U$651))/STDEV(Rankings!U$2:U$651)</f>
        <v>1.3344054584369771</v>
      </c>
      <c r="O222" s="157">
        <f>(VLOOKUP($A222,Hitters!$A$1:$R$401,11,FALSE)-AVERAGE(Rankings!V$2:V$651))/STDEV(Rankings!V$2:V$651)</f>
        <v>-0.56167262991760381</v>
      </c>
      <c r="P222" s="157">
        <f>(VLOOKUP($A222,Hitters!$A$1:$R$401,12,FALSE)-AVERAGE(Rankings!W$2:W$651))/STDEV(Rankings!W$2:W$651)</f>
        <v>2.102492234909882</v>
      </c>
      <c r="Q222" s="157">
        <f>(VLOOKUP($A222,Hitters!$A$1:$R$401,13,FALSE)-AVERAGE(Rankings!X$2:X$651))/STDEV(Rankings!X$2:X$651)</f>
        <v>1.5813952786991097</v>
      </c>
      <c r="R222" s="118">
        <f>(VLOOKUP($A222,Hitters!$A1:$R401,16,FALSE)-AVERAGE(Rankings!Y2:Y651))/STDEV(Rankings!Y2:Y651)</f>
        <v>1.7784496290017275</v>
      </c>
      <c r="S222" s="118">
        <f>(VLOOKUP($A222,Hitters!$A1:$R401,17,FALSE)-AVERAGE(Rankings!Z2:Z651))/STDEV(Rankings!Z2:Z651)</f>
        <v>2.0672083770932899</v>
      </c>
      <c r="T222" s="118">
        <f>IFERROR((VLOOKUP($A222,Hitters!$A1:$R401,18,FALSE)-AVERAGE(Rankings!AA2:AA651))/STDEV(Rankings!AA2:AA651),0)</f>
        <v>0</v>
      </c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</row>
    <row r="223" spans="1:37" ht="18.600000000000001" customHeight="1">
      <c r="A223" s="26" t="s">
        <v>77</v>
      </c>
      <c r="B223" s="27" t="s">
        <v>78</v>
      </c>
      <c r="C223" s="123" t="s">
        <v>23</v>
      </c>
      <c r="D223" s="67">
        <f>(F223*Settings!$C$2)+(G223*Settings!$C$3)+(H223*Settings!$C$4)+(I223*Settings!$C$5)+(J223*Settings!$C$6)+(M223*Settings!$C$9)+(N223*Settings!$C$10)+(O223*Settings!$C$11)+(P223*Settings!$C$12)+(Q223*Settings!$C$13)+(T223*Settings!$C$16)+(K223*Settings!$C$7)+(L223*Settings!$C$8)+(R223*Settings!$C$14)+(S223*Settings!$C$15)</f>
        <v>9.8900508325221015</v>
      </c>
      <c r="E223" s="67"/>
      <c r="F223" s="118">
        <f>(VLOOKUP($A223,Hitters!$A1:$R401,4,FALSE)-AVERAGE(Rankings!M2:M651))/STDEV(Rankings!M2:M651)</f>
        <v>1.3767766693849635</v>
      </c>
      <c r="G223" s="118">
        <f>(VLOOKUP($A223,Hitters!$A1:$R401,5,FALSE)-AVERAGE(Rankings!N2:N651))/STDEV(Rankings!N2:N651)</f>
        <v>1.7394324895862139</v>
      </c>
      <c r="H223" s="118">
        <f>(VLOOKUP($A223,Hitters!$A1:$R401,6,FALSE)-AVERAGE(Rankings!O2:O651))/STDEV(Rankings!O2:O651)</f>
        <v>2.1689866865905234</v>
      </c>
      <c r="I223" s="118">
        <f>(VLOOKUP($A223,Hitters!$A1:$R401,7,FALSE)-AVERAGE(Rankings!P2:P651))/STDEV(Rankings!P2:P651)</f>
        <v>2.174524586979691</v>
      </c>
      <c r="J223" s="118">
        <f>(VLOOKUP($A223,Hitters!$A1:$R401,8,FALSE)-AVERAGE(Rankings!Q2:Q651))/STDEV(Rankings!Q2:Q651)</f>
        <v>2.3276156994113846</v>
      </c>
      <c r="K223" s="157">
        <f>(VLOOKUP($A223,Hitters!$A$1:$R$401,14,FALSE)-AVERAGE(Rankings!R$2:R$651))/STDEV(Rankings!R$2:R$651)</f>
        <v>1.4794913699542873</v>
      </c>
      <c r="L223" s="157">
        <f>(VLOOKUP($A223,Hitters!$A$1:$R$401,15,FALSE)-AVERAGE(Rankings!S$2:S$651))/STDEV(Rankings!S$2:S$651)</f>
        <v>1.3932092371018443</v>
      </c>
      <c r="M223" s="157">
        <f>(VLOOKUP($A223,Hitters!$A$1:$R$401,9,FALSE)-AVERAGE(Rankings!T$2:T$651))/STDEV(Rankings!T$2:T$651)</f>
        <v>1.6022472066412441</v>
      </c>
      <c r="N223" s="157">
        <f>(VLOOKUP($A223,Hitters!$A$1:$R$401,10,FALSE)-AVERAGE(Rankings!U$2:U$651))/STDEV(Rankings!U$2:U$651)</f>
        <v>1.6565578448667291</v>
      </c>
      <c r="O223" s="157">
        <f>(VLOOKUP($A223,Hitters!$A$1:$R$401,11,FALSE)-AVERAGE(Rankings!V$2:V$651))/STDEV(Rankings!V$2:V$651)</f>
        <v>1.172783163404284</v>
      </c>
      <c r="P223" s="157">
        <f>(VLOOKUP($A223,Hitters!$A$1:$R$401,12,FALSE)-AVERAGE(Rankings!W$2:W$651))/STDEV(Rankings!W$2:W$651)</f>
        <v>1.2205783054837263</v>
      </c>
      <c r="Q223" s="157">
        <f>(VLOOKUP($A223,Hitters!$A$1:$R$401,13,FALSE)-AVERAGE(Rankings!X$2:X$651))/STDEV(Rankings!X$2:X$651)</f>
        <v>0.30694480251047551</v>
      </c>
      <c r="R223" s="118">
        <f>(VLOOKUP($A223,Hitters!$A1:$R401,16,FALSE)-AVERAGE(Rankings!Y2:Y651))/STDEV(Rankings!Y2:Y651)</f>
        <v>2.3177905624848303</v>
      </c>
      <c r="S223" s="118">
        <f>(VLOOKUP($A223,Hitters!$A1:$R401,17,FALSE)-AVERAGE(Rankings!Z2:Z651))/STDEV(Rankings!Z2:Z651)</f>
        <v>2.2189696677593296</v>
      </c>
      <c r="T223" s="118">
        <f>IFERROR((VLOOKUP($A223,Hitters!$A1:$R401,18,FALSE)-AVERAGE(Rankings!AA2:AA651))/STDEV(Rankings!AA2:AA651),0)</f>
        <v>0</v>
      </c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</row>
    <row r="224" spans="1:37" ht="18.600000000000001" customHeight="1">
      <c r="A224" s="26" t="s">
        <v>79</v>
      </c>
      <c r="B224" s="27" t="s">
        <v>78</v>
      </c>
      <c r="C224" s="123" t="s">
        <v>23</v>
      </c>
      <c r="D224" s="67">
        <f>(F224*Settings!$C$2)+(G224*Settings!$C$3)+(H224*Settings!$C$4)+(I224*Settings!$C$5)+(J224*Settings!$C$6)+(M224*Settings!$C$9)+(N224*Settings!$C$10)+(O224*Settings!$C$11)+(P224*Settings!$C$12)+(Q224*Settings!$C$13)+(T224*Settings!$C$16)+(K224*Settings!$C$7)+(L224*Settings!$C$8)+(R224*Settings!$C$14)+(S224*Settings!$C$15)</f>
        <v>8.4257356024928054</v>
      </c>
      <c r="E224" s="67"/>
      <c r="F224" s="118">
        <f>(VLOOKUP($A224,Hitters!$A1:$R401,4,FALSE)-AVERAGE(Rankings!M2:M651))/STDEV(Rankings!M2:M651)</f>
        <v>1.0075960938252455</v>
      </c>
      <c r="G224" s="118">
        <f>(VLOOKUP($A224,Hitters!$A1:$R401,5,FALSE)-AVERAGE(Rankings!N2:N651))/STDEV(Rankings!N2:N651)</f>
        <v>1.8335522856892255</v>
      </c>
      <c r="H224" s="118">
        <f>(VLOOKUP($A224,Hitters!$A1:$R401,6,FALSE)-AVERAGE(Rankings!O2:O651))/STDEV(Rankings!O2:O651)</f>
        <v>2.6882905089240516</v>
      </c>
      <c r="I224" s="118">
        <f>(VLOOKUP($A224,Hitters!$A1:$R401,7,FALSE)-AVERAGE(Rankings!P2:P651))/STDEV(Rankings!P2:P651)</f>
        <v>2.4199841196368803</v>
      </c>
      <c r="J224" s="118">
        <f>(VLOOKUP($A224,Hitters!$A1:$R401,8,FALSE)-AVERAGE(Rankings!Q2:Q651))/STDEV(Rankings!Q2:Q651)</f>
        <v>-0.75226813591338715</v>
      </c>
      <c r="K224" s="157">
        <f>(VLOOKUP($A224,Hitters!$A$1:$R$401,14,FALSE)-AVERAGE(Rankings!R$2:R$651))/STDEV(Rankings!R$2:R$651)</f>
        <v>2.2361768241560358</v>
      </c>
      <c r="L224" s="157">
        <f>(VLOOKUP($A224,Hitters!$A$1:$R$401,15,FALSE)-AVERAGE(Rankings!S$2:S$651))/STDEV(Rankings!S$2:S$651)</f>
        <v>2.8166410140925482</v>
      </c>
      <c r="M224" s="157">
        <f>(VLOOKUP($A224,Hitters!$A$1:$R$401,9,FALSE)-AVERAGE(Rankings!T$2:T$651))/STDEV(Rankings!T$2:T$651)</f>
        <v>1.4436523746331784</v>
      </c>
      <c r="N224" s="157">
        <f>(VLOOKUP($A224,Hitters!$A$1:$R$401,10,FALSE)-AVERAGE(Rankings!U$2:U$651))/STDEV(Rankings!U$2:U$651)</f>
        <v>1.4416939646922999</v>
      </c>
      <c r="O224" s="157">
        <f>(VLOOKUP($A224,Hitters!$A$1:$R$401,11,FALSE)-AVERAGE(Rankings!V$2:V$651))/STDEV(Rankings!V$2:V$651)</f>
        <v>0.3100857396706313</v>
      </c>
      <c r="P224" s="157">
        <f>(VLOOKUP($A224,Hitters!$A$1:$R$401,12,FALSE)-AVERAGE(Rankings!W$2:W$651))/STDEV(Rankings!W$2:W$651)</f>
        <v>1.9570305531520136</v>
      </c>
      <c r="Q224" s="157">
        <f>(VLOOKUP($A224,Hitters!$A$1:$R$401,13,FALSE)-AVERAGE(Rankings!X$2:X$651))/STDEV(Rankings!X$2:X$651)</f>
        <v>0.88152637984183413</v>
      </c>
      <c r="R224" s="118">
        <f>(VLOOKUP($A224,Hitters!$A1:$R401,16,FALSE)-AVERAGE(Rankings!Y2:Y651))/STDEV(Rankings!Y2:Y651)</f>
        <v>3.5573304203537894</v>
      </c>
      <c r="S224" s="118">
        <f>(VLOOKUP($A224,Hitters!$A1:$R401,17,FALSE)-AVERAGE(Rankings!Z2:Z651))/STDEV(Rankings!Z2:Z651)</f>
        <v>3.6609987606799961</v>
      </c>
      <c r="T224" s="118">
        <f>IFERROR((VLOOKUP($A224,Hitters!$A1:$R401,18,FALSE)-AVERAGE(Rankings!AA2:AA651))/STDEV(Rankings!AA2:AA651),0)</f>
        <v>0</v>
      </c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</row>
    <row r="225" spans="1:37" ht="18.600000000000001" customHeight="1">
      <c r="A225" s="26" t="s">
        <v>82</v>
      </c>
      <c r="B225" s="27" t="s">
        <v>63</v>
      </c>
      <c r="C225" s="123" t="s">
        <v>23</v>
      </c>
      <c r="D225" s="67">
        <f>(F225*Settings!$C$2)+(G225*Settings!$C$3)+(H225*Settings!$C$4)+(I225*Settings!$C$5)+(J225*Settings!$C$6)+(M225*Settings!$C$9)+(N225*Settings!$C$10)+(O225*Settings!$C$11)+(P225*Settings!$C$12)+(Q225*Settings!$C$13)+(T225*Settings!$C$16)+(K225*Settings!$C$7)+(L225*Settings!$C$8)+(R225*Settings!$C$14)+(S225*Settings!$C$15)</f>
        <v>8.5815816134329932</v>
      </c>
      <c r="E225" s="67"/>
      <c r="F225" s="118">
        <f>(VLOOKUP($A225,Hitters!$A1:$R401,4,FALSE)-AVERAGE(Rankings!M2:M651))/STDEV(Rankings!M2:M651)</f>
        <v>1.0401671229769258</v>
      </c>
      <c r="G225" s="118">
        <f>(VLOOKUP($A225,Hitters!$A1:$R401,5,FALSE)-AVERAGE(Rankings!N2:N651))/STDEV(Rankings!N2:N651)</f>
        <v>2.5268236932992867</v>
      </c>
      <c r="H225" s="118">
        <f>(VLOOKUP($A225,Hitters!$A1:$R401,6,FALSE)-AVERAGE(Rankings!O2:O651))/STDEV(Rankings!O2:O651)</f>
        <v>2.0500796946759254</v>
      </c>
      <c r="I225" s="118">
        <f>(VLOOKUP($A225,Hitters!$A1:$R401,7,FALSE)-AVERAGE(Rankings!P2:P651))/STDEV(Rankings!P2:P651)</f>
        <v>1.7539040730132129</v>
      </c>
      <c r="J225" s="118">
        <f>(VLOOKUP($A225,Hitters!$A1:$R401,8,FALSE)-AVERAGE(Rankings!Q2:Q651))/STDEV(Rankings!Q2:Q651)</f>
        <v>0.45165045664529557</v>
      </c>
      <c r="K225" s="157">
        <f>(VLOOKUP($A225,Hitters!$A$1:$R$401,14,FALSE)-AVERAGE(Rankings!R$2:R$651))/STDEV(Rankings!R$2:R$651)</f>
        <v>1.799123695799272</v>
      </c>
      <c r="L225" s="157">
        <f>(VLOOKUP($A225,Hitters!$A$1:$R$401,15,FALSE)-AVERAGE(Rankings!S$2:S$651))/STDEV(Rankings!S$2:S$651)</f>
        <v>5.0439325502776127</v>
      </c>
      <c r="M225" s="157">
        <f>(VLOOKUP($A225,Hitters!$A$1:$R$401,9,FALSE)-AVERAGE(Rankings!T$2:T$651))/STDEV(Rankings!T$2:T$651)</f>
        <v>1.3595846824940456</v>
      </c>
      <c r="N225" s="157">
        <f>(VLOOKUP($A225,Hitters!$A$1:$R$401,10,FALSE)-AVERAGE(Rankings!U$2:U$651))/STDEV(Rankings!U$2:U$651)</f>
        <v>0.95272803177198695</v>
      </c>
      <c r="O225" s="157">
        <f>(VLOOKUP($A225,Hitters!$A$1:$R$401,11,FALSE)-AVERAGE(Rankings!V$2:V$651))/STDEV(Rankings!V$2:V$651)</f>
        <v>0.3086550640093812</v>
      </c>
      <c r="P225" s="157">
        <f>(VLOOKUP($A225,Hitters!$A$1:$R$401,12,FALSE)-AVERAGE(Rankings!W$2:W$651))/STDEV(Rankings!W$2:W$651)</f>
        <v>5.4159208703078559</v>
      </c>
      <c r="Q225" s="157">
        <f>(VLOOKUP($A225,Hitters!$A$1:$R$401,13,FALSE)-AVERAGE(Rankings!X$2:X$651))/STDEV(Rankings!X$2:X$651)</f>
        <v>4.150019958056534E-2</v>
      </c>
      <c r="R225" s="118">
        <f>(VLOOKUP($A225,Hitters!$A1:$R401,16,FALSE)-AVERAGE(Rankings!Y2:Y651))/STDEV(Rankings!Y2:Y651)</f>
        <v>2.4597575047690499</v>
      </c>
      <c r="S225" s="118">
        <f>(VLOOKUP($A225,Hitters!$A1:$R401,17,FALSE)-AVERAGE(Rankings!Z2:Z651))/STDEV(Rankings!Z2:Z651)</f>
        <v>3.6969624969348622</v>
      </c>
      <c r="T225" s="118">
        <f>IFERROR((VLOOKUP($A225,Hitters!$A1:$R401,18,FALSE)-AVERAGE(Rankings!AA2:AA651))/STDEV(Rankings!AA2:AA651),0)</f>
        <v>0</v>
      </c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</row>
    <row r="226" spans="1:37" ht="18.600000000000001" customHeight="1">
      <c r="A226" s="26" t="s">
        <v>80</v>
      </c>
      <c r="B226" s="27" t="s">
        <v>81</v>
      </c>
      <c r="C226" s="123" t="s">
        <v>23</v>
      </c>
      <c r="D226" s="67">
        <f>(F226*Settings!$C$2)+(G226*Settings!$C$3)+(H226*Settings!$C$4)+(I226*Settings!$C$5)+(J226*Settings!$C$6)+(M226*Settings!$C$9)+(N226*Settings!$C$10)+(O226*Settings!$C$11)+(P226*Settings!$C$12)+(Q226*Settings!$C$13)+(T226*Settings!$C$16)+(K226*Settings!$C$7)+(L226*Settings!$C$8)+(R226*Settings!$C$14)+(S226*Settings!$C$15)</f>
        <v>8.7254161073322489</v>
      </c>
      <c r="E226" s="67"/>
      <c r="F226" s="118">
        <f>(VLOOKUP($A226,Hitters!$A1:$R401,4,FALSE)-AVERAGE(Rankings!M2:M651))/STDEV(Rankings!M2:M651)</f>
        <v>1.4194865402959229</v>
      </c>
      <c r="G226" s="118">
        <f>(VLOOKUP($A226,Hitters!$A1:$R401,5,FALSE)-AVERAGE(Rankings!N2:N651))/STDEV(Rankings!N2:N651)</f>
        <v>2.4911737920813901</v>
      </c>
      <c r="H226" s="118">
        <f>(VLOOKUP($A226,Hitters!$A1:$R401,6,FALSE)-AVERAGE(Rankings!O2:O651))/STDEV(Rankings!O2:O651)</f>
        <v>2.0433924824768619</v>
      </c>
      <c r="I226" s="118">
        <f>(VLOOKUP($A226,Hitters!$A1:$R401,7,FALSE)-AVERAGE(Rankings!P2:P651))/STDEV(Rankings!P2:P651)</f>
        <v>1.6180410508933369</v>
      </c>
      <c r="J226" s="118">
        <f>(VLOOKUP($A226,Hitters!$A1:$R401,8,FALSE)-AVERAGE(Rankings!Q2:Q651))/STDEV(Rankings!Q2:Q651)</f>
        <v>1.272108068729755</v>
      </c>
      <c r="K226" s="157">
        <f>(VLOOKUP($A226,Hitters!$A$1:$R$401,14,FALSE)-AVERAGE(Rankings!R$2:R$651))/STDEV(Rankings!R$2:R$651)</f>
        <v>1.300700713150905</v>
      </c>
      <c r="L226" s="157">
        <f>(VLOOKUP($A226,Hitters!$A$1:$R$401,15,FALSE)-AVERAGE(Rankings!S$2:S$651))/STDEV(Rankings!S$2:S$651)</f>
        <v>1.6164685721970737</v>
      </c>
      <c r="M226" s="157">
        <f>(VLOOKUP($A226,Hitters!$A$1:$R$401,9,FALSE)-AVERAGE(Rankings!T$2:T$651))/STDEV(Rankings!T$2:T$651)</f>
        <v>1.5912538544178116</v>
      </c>
      <c r="N226" s="157">
        <f>(VLOOKUP($A226,Hitters!$A$1:$R$401,10,FALSE)-AVERAGE(Rankings!U$2:U$651))/STDEV(Rankings!U$2:U$651)</f>
        <v>2.048060489016331</v>
      </c>
      <c r="O226" s="157">
        <f>(VLOOKUP($A226,Hitters!$A$1:$R$401,11,FALSE)-AVERAGE(Rankings!V$2:V$651))/STDEV(Rankings!V$2:V$651)</f>
        <v>1.1599070824530355</v>
      </c>
      <c r="P226" s="157">
        <f>(VLOOKUP($A226,Hitters!$A$1:$R$401,12,FALSE)-AVERAGE(Rankings!W$2:W$651))/STDEV(Rankings!W$2:W$651)</f>
        <v>1.7045486347191752</v>
      </c>
      <c r="Q226" s="157">
        <f>(VLOOKUP($A226,Hitters!$A$1:$R$401,13,FALSE)-AVERAGE(Rankings!X$2:X$651))/STDEV(Rankings!X$2:X$651)</f>
        <v>0.38069347586323132</v>
      </c>
      <c r="R226" s="118">
        <f>(VLOOKUP($A226,Hitters!$A1:$R401,16,FALSE)-AVERAGE(Rankings!Y2:Y651))/STDEV(Rankings!Y2:Y651)</f>
        <v>2.1848162507786761</v>
      </c>
      <c r="S226" s="118">
        <f>(VLOOKUP($A226,Hitters!$A1:$R401,17,FALSE)-AVERAGE(Rankings!Z2:Z651))/STDEV(Rankings!Z2:Z651)</f>
        <v>2.2057917452160081</v>
      </c>
      <c r="T226" s="118">
        <f>IFERROR((VLOOKUP($A226,Hitters!$A1:$R401,18,FALSE)-AVERAGE(Rankings!AA2:AA651))/STDEV(Rankings!AA2:AA651),0)</f>
        <v>0</v>
      </c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</row>
    <row r="227" spans="1:37" ht="18.600000000000001" customHeight="1">
      <c r="A227" s="26" t="s">
        <v>89</v>
      </c>
      <c r="B227" s="27" t="s">
        <v>84</v>
      </c>
      <c r="C227" s="123" t="s">
        <v>23</v>
      </c>
      <c r="D227" s="67">
        <f>(F227*Settings!$C$2)+(G227*Settings!$C$3)+(H227*Settings!$C$4)+(I227*Settings!$C$5)+(J227*Settings!$C$6)+(M227*Settings!$C$9)+(N227*Settings!$C$10)+(O227*Settings!$C$11)+(P227*Settings!$C$12)+(Q227*Settings!$C$13)+(T227*Settings!$C$16)+(K227*Settings!$C$7)+(L227*Settings!$C$8)+(R227*Settings!$C$14)+(S227*Settings!$C$15)</f>
        <v>7.7341456626224581</v>
      </c>
      <c r="E227" s="67"/>
      <c r="F227" s="118">
        <f>(VLOOKUP($A227,Hitters!$A1:$R401,4,FALSE)-AVERAGE(Rankings!M2:M651))/STDEV(Rankings!M2:M651)</f>
        <v>1.0762445015703581</v>
      </c>
      <c r="G227" s="118">
        <f>(VLOOKUP($A227,Hitters!$A1:$R401,5,FALSE)-AVERAGE(Rankings!N2:N651))/STDEV(Rankings!N2:N651)</f>
        <v>2.1194107396939015</v>
      </c>
      <c r="H227" s="118">
        <f>(VLOOKUP($A227,Hitters!$A1:$R401,6,FALSE)-AVERAGE(Rankings!O2:O651))/STDEV(Rankings!O2:O651)</f>
        <v>3.1420457200146759</v>
      </c>
      <c r="I227" s="118">
        <f>(VLOOKUP($A227,Hitters!$A1:$R401,7,FALSE)-AVERAGE(Rankings!P2:P651))/STDEV(Rankings!P2:P651)</f>
        <v>2.0171291338531807</v>
      </c>
      <c r="J227" s="118">
        <f>(VLOOKUP($A227,Hitters!$A1:$R401,8,FALSE)-AVERAGE(Rankings!Q2:Q651))/STDEV(Rankings!Q2:Q651)</f>
        <v>-0.4814220902252741</v>
      </c>
      <c r="K227" s="157">
        <f>(VLOOKUP($A227,Hitters!$A$1:$R$401,14,FALSE)-AVERAGE(Rankings!R$2:R$651))/STDEV(Rankings!R$2:R$651)</f>
        <v>0.93698215928597328</v>
      </c>
      <c r="L227" s="157">
        <f>(VLOOKUP($A227,Hitters!$A$1:$R$401,15,FALSE)-AVERAGE(Rankings!S$2:S$651))/STDEV(Rankings!S$2:S$651)</f>
        <v>2.2276473778465085</v>
      </c>
      <c r="M227" s="157">
        <f>(VLOOKUP($A227,Hitters!$A$1:$R$401,9,FALSE)-AVERAGE(Rankings!T$2:T$651))/STDEV(Rankings!T$2:T$651)</f>
        <v>1.1616144785576372</v>
      </c>
      <c r="N227" s="157">
        <f>(VLOOKUP($A227,Hitters!$A$1:$R$401,10,FALSE)-AVERAGE(Rankings!U$2:U$651))/STDEV(Rankings!U$2:U$651)</f>
        <v>1.1516707566063877</v>
      </c>
      <c r="O227" s="157">
        <f>(VLOOKUP($A227,Hitters!$A$1:$R$401,11,FALSE)-AVERAGE(Rankings!V$2:V$651))/STDEV(Rankings!V$2:V$651)</f>
        <v>1.1560919473563691</v>
      </c>
      <c r="P227" s="157">
        <f>(VLOOKUP($A227,Hitters!$A$1:$R$401,12,FALSE)-AVERAGE(Rankings!W$2:W$651))/STDEV(Rankings!W$2:W$651)</f>
        <v>2.4682457900675767</v>
      </c>
      <c r="Q227" s="157">
        <f>(VLOOKUP($A227,Hitters!$A$1:$R$401,13,FALSE)-AVERAGE(Rankings!X$2:X$651))/STDEV(Rankings!X$2:X$651)</f>
        <v>2.0938077684551075</v>
      </c>
      <c r="R227" s="118">
        <f>(VLOOKUP($A227,Hitters!$A1:$R401,16,FALSE)-AVERAGE(Rankings!Y2:Y651))/STDEV(Rankings!Y2:Y651)</f>
        <v>3.3383808064310512</v>
      </c>
      <c r="S227" s="118">
        <f>(VLOOKUP($A227,Hitters!$A1:$R401,17,FALSE)-AVERAGE(Rankings!Z2:Z651))/STDEV(Rankings!Z2:Z651)</f>
        <v>3.2792172531971251</v>
      </c>
      <c r="T227" s="118">
        <f>IFERROR((VLOOKUP($A227,Hitters!$A1:$R401,18,FALSE)-AVERAGE(Rankings!AA2:AA651))/STDEV(Rankings!AA2:AA651),0)</f>
        <v>0</v>
      </c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</row>
    <row r="228" spans="1:37" ht="18.600000000000001" customHeight="1">
      <c r="A228" s="26" t="s">
        <v>87</v>
      </c>
      <c r="B228" s="27" t="s">
        <v>73</v>
      </c>
      <c r="C228" s="123" t="s">
        <v>23</v>
      </c>
      <c r="D228" s="67">
        <f>(F228*Settings!$C$2)+(G228*Settings!$C$3)+(H228*Settings!$C$4)+(I228*Settings!$C$5)+(J228*Settings!$C$6)+(M228*Settings!$C$9)+(N228*Settings!$C$10)+(O228*Settings!$C$11)+(P228*Settings!$C$12)+(Q228*Settings!$C$13)+(T228*Settings!$C$16)+(K228*Settings!$C$7)+(L228*Settings!$C$8)+(R228*Settings!$C$14)+(S228*Settings!$C$15)</f>
        <v>7.0725053513588474</v>
      </c>
      <c r="E228" s="67"/>
      <c r="F228" s="118">
        <f>(VLOOKUP($A228,Hitters!$A1:$R401,4,FALSE)-AVERAGE(Rankings!M2:M651))/STDEV(Rankings!M2:M651)</f>
        <v>1.2372408596728968</v>
      </c>
      <c r="G228" s="118">
        <f>(VLOOKUP($A228,Hitters!$A1:$R401,5,FALSE)-AVERAGE(Rankings!N2:N651))/STDEV(Rankings!N2:N651)</f>
        <v>1.3874974761406851</v>
      </c>
      <c r="H228" s="118">
        <f>(VLOOKUP($A228,Hitters!$A1:$R401,6,FALSE)-AVERAGE(Rankings!O2:O651))/STDEV(Rankings!O2:O651)</f>
        <v>0.67063320323784936</v>
      </c>
      <c r="I228" s="118">
        <f>(VLOOKUP($A228,Hitters!$A1:$R401,7,FALSE)-AVERAGE(Rankings!P2:P651))/STDEV(Rankings!P2:P651)</f>
        <v>1.2375838656839144</v>
      </c>
      <c r="J228" s="118">
        <f>(VLOOKUP($A228,Hitters!$A1:$R401,8,FALSE)-AVERAGE(Rankings!Q2:Q651))/STDEV(Rankings!Q2:Q651)</f>
        <v>2.3155780973808016</v>
      </c>
      <c r="K228" s="157">
        <f>(VLOOKUP($A228,Hitters!$A$1:$R$401,14,FALSE)-AVERAGE(Rankings!R$2:R$651))/STDEV(Rankings!R$2:R$651)</f>
        <v>1.4612127089155966</v>
      </c>
      <c r="L228" s="157">
        <f>(VLOOKUP($A228,Hitters!$A$1:$R$401,15,FALSE)-AVERAGE(Rankings!S$2:S$651))/STDEV(Rankings!S$2:S$651)</f>
        <v>0.39231778451181648</v>
      </c>
      <c r="M228" s="157">
        <f>(VLOOKUP($A228,Hitters!$A$1:$R$401,9,FALSE)-AVERAGE(Rankings!T$2:T$651))/STDEV(Rankings!T$2:T$651)</f>
        <v>1.4608613142853897</v>
      </c>
      <c r="N228" s="157">
        <f>(VLOOKUP($A228,Hitters!$A$1:$R$401,10,FALSE)-AVERAGE(Rankings!U$2:U$651))/STDEV(Rankings!U$2:U$651)</f>
        <v>1.7821341646883</v>
      </c>
      <c r="O228" s="157">
        <f>(VLOOKUP($A228,Hitters!$A$1:$R$401,11,FALSE)-AVERAGE(Rankings!V$2:V$651))/STDEV(Rankings!V$2:V$651)</f>
        <v>2.0087746414612733</v>
      </c>
      <c r="P228" s="157">
        <f>(VLOOKUP($A228,Hitters!$A$1:$R$401,12,FALSE)-AVERAGE(Rankings!W$2:W$651))/STDEV(Rankings!W$2:W$651)</f>
        <v>-2.9888313450820183E-2</v>
      </c>
      <c r="Q228" s="157">
        <f>(VLOOKUP($A228,Hitters!$A$1:$R$401,13,FALSE)-AVERAGE(Rankings!X$2:X$651))/STDEV(Rankings!X$2:X$651)</f>
        <v>1.1437438850960764</v>
      </c>
      <c r="R228" s="118">
        <f>(VLOOKUP($A228,Hitters!$A1:$R401,16,FALSE)-AVERAGE(Rankings!Y2:Y651))/STDEV(Rankings!Y2:Y651)</f>
        <v>1.0908188157853476</v>
      </c>
      <c r="S228" s="118">
        <f>(VLOOKUP($A228,Hitters!$A1:$R401,17,FALSE)-AVERAGE(Rankings!Z2:Z651))/STDEV(Rankings!Z2:Z651)</f>
        <v>0.94518124837053241</v>
      </c>
      <c r="T228" s="118">
        <f>IFERROR((VLOOKUP($A228,Hitters!$A1:$R401,18,FALSE)-AVERAGE(Rankings!AA2:AA651))/STDEV(Rankings!AA2:AA651),0)</f>
        <v>0</v>
      </c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</row>
    <row r="229" spans="1:37" ht="18.600000000000001" customHeight="1">
      <c r="A229" s="26" t="s">
        <v>100</v>
      </c>
      <c r="B229" s="27" t="s">
        <v>101</v>
      </c>
      <c r="C229" s="123" t="s">
        <v>23</v>
      </c>
      <c r="D229" s="67">
        <f>(F229*Settings!$C$2)+(G229*Settings!$C$3)+(H229*Settings!$C$4)+(I229*Settings!$C$5)+(J229*Settings!$C$6)+(M229*Settings!$C$9)+(N229*Settings!$C$10)+(O229*Settings!$C$11)+(P229*Settings!$C$12)+(Q229*Settings!$C$13)+(T229*Settings!$C$16)+(K229*Settings!$C$7)+(L229*Settings!$C$8)+(R229*Settings!$C$14)+(S229*Settings!$C$15)</f>
        <v>7.3744292110980156</v>
      </c>
      <c r="E229" s="67"/>
      <c r="F229" s="118">
        <f>(VLOOKUP($A229,Hitters!$A1:$R401,4,FALSE)-AVERAGE(Rankings!M2:M651))/STDEV(Rankings!M2:M651)</f>
        <v>1.3305604490322527</v>
      </c>
      <c r="G229" s="118">
        <f>(VLOOKUP($A229,Hitters!$A1:$R401,5,FALSE)-AVERAGE(Rankings!N2:N651))/STDEV(Rankings!N2:N651)</f>
        <v>1.3401840226039874</v>
      </c>
      <c r="H229" s="118">
        <f>(VLOOKUP($A229,Hitters!$A1:$R401,6,FALSE)-AVERAGE(Rankings!O2:O651))/STDEV(Rankings!O2:O651)</f>
        <v>0.8852509197515448</v>
      </c>
      <c r="I229" s="118">
        <f>(VLOOKUP($A229,Hitters!$A1:$R401,7,FALSE)-AVERAGE(Rankings!P2:P651))/STDEV(Rankings!P2:P651)</f>
        <v>1.2444559181328405</v>
      </c>
      <c r="J229" s="118">
        <f>(VLOOKUP($A229,Hitters!$A1:$R401,8,FALSE)-AVERAGE(Rankings!Q2:Q651))/STDEV(Rankings!Q2:Q651)</f>
        <v>3.3506534825105203</v>
      </c>
      <c r="K229" s="157">
        <f>(VLOOKUP($A229,Hitters!$A$1:$R$401,14,FALSE)-AVERAGE(Rankings!R$2:R$651))/STDEV(Rankings!R$2:R$651)</f>
        <v>0.55388486809912219</v>
      </c>
      <c r="L229" s="157">
        <f>(VLOOKUP($A229,Hitters!$A$1:$R$401,15,FALSE)-AVERAGE(Rankings!S$2:S$651))/STDEV(Rankings!S$2:S$651)</f>
        <v>0.33785926967910607</v>
      </c>
      <c r="M229" s="157">
        <f>(VLOOKUP($A229,Hitters!$A$1:$R$401,9,FALSE)-AVERAGE(Rankings!T$2:T$651))/STDEV(Rankings!T$2:T$651)</f>
        <v>1.2899401486535025</v>
      </c>
      <c r="N229" s="157">
        <f>(VLOOKUP($A229,Hitters!$A$1:$R$401,10,FALSE)-AVERAGE(Rankings!U$2:U$651))/STDEV(Rankings!U$2:U$651)</f>
        <v>1.6782163534824428</v>
      </c>
      <c r="O229" s="157">
        <f>(VLOOKUP($A229,Hitters!$A$1:$R$401,11,FALSE)-AVERAGE(Rankings!V$2:V$651))/STDEV(Rankings!V$2:V$651)</f>
        <v>1.1494154609372034</v>
      </c>
      <c r="P229" s="157">
        <f>(VLOOKUP($A229,Hitters!$A$1:$R$401,12,FALSE)-AVERAGE(Rankings!W$2:W$651))/STDEV(Rankings!W$2:W$651)</f>
        <v>0.76201789585404545</v>
      </c>
      <c r="Q229" s="157">
        <f>(VLOOKUP($A229,Hitters!$A$1:$R$401,13,FALSE)-AVERAGE(Rankings!X$2:X$651))/STDEV(Rankings!X$2:X$651)</f>
        <v>1.7290824546796604</v>
      </c>
      <c r="R229" s="118">
        <f>(VLOOKUP($A229,Hitters!$A1:$R401,16,FALSE)-AVERAGE(Rankings!Y2:Y651))/STDEV(Rankings!Y2:Y651)</f>
        <v>0.69151143949753624</v>
      </c>
      <c r="S229" s="118">
        <f>(VLOOKUP($A229,Hitters!$A1:$R401,17,FALSE)-AVERAGE(Rankings!Z2:Z651))/STDEV(Rankings!Z2:Z651)</f>
        <v>0.6327500760798469</v>
      </c>
      <c r="T229" s="118">
        <f>IFERROR((VLOOKUP($A229,Hitters!$A1:$R401,18,FALSE)-AVERAGE(Rankings!AA2:AA651))/STDEV(Rankings!AA2:AA651),0)</f>
        <v>0</v>
      </c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</row>
    <row r="230" spans="1:37" ht="18.600000000000001" customHeight="1">
      <c r="A230" s="26" t="s">
        <v>98</v>
      </c>
      <c r="B230" s="27" t="s">
        <v>99</v>
      </c>
      <c r="C230" s="123" t="s">
        <v>23</v>
      </c>
      <c r="D230" s="67">
        <f>(F230*Settings!$C$2)+(G230*Settings!$C$3)+(H230*Settings!$C$4)+(I230*Settings!$C$5)+(J230*Settings!$C$6)+(M230*Settings!$C$9)+(N230*Settings!$C$10)+(O230*Settings!$C$11)+(P230*Settings!$C$12)+(Q230*Settings!$C$13)+(T230*Settings!$C$16)+(K230*Settings!$C$7)+(L230*Settings!$C$8)+(R230*Settings!$C$14)+(S230*Settings!$C$15)</f>
        <v>7.0213802351752683</v>
      </c>
      <c r="E230" s="67"/>
      <c r="F230" s="118">
        <f>(VLOOKUP($A230,Hitters!$A1:$R401,4,FALSE)-AVERAGE(Rankings!M2:M651))/STDEV(Rankings!M2:M651)</f>
        <v>1.4806153070695705</v>
      </c>
      <c r="G230" s="118">
        <f>(VLOOKUP($A230,Hitters!$A1:$R401,5,FALSE)-AVERAGE(Rankings!N2:N651))/STDEV(Rankings!N2:N651)</f>
        <v>1.5476938316845501</v>
      </c>
      <c r="H230" s="118">
        <f>(VLOOKUP($A230,Hitters!$A1:$R401,6,FALSE)-AVERAGE(Rankings!O2:O651))/STDEV(Rankings!O2:O651)</f>
        <v>0.57777847551543582</v>
      </c>
      <c r="I230" s="118">
        <f>(VLOOKUP($A230,Hitters!$A1:$R401,7,FALSE)-AVERAGE(Rankings!P2:P651))/STDEV(Rankings!P2:P651)</f>
        <v>0.59283263369802397</v>
      </c>
      <c r="J230" s="118">
        <f>(VLOOKUP($A230,Hitters!$A1:$R401,8,FALSE)-AVERAGE(Rankings!Q2:Q651))/STDEV(Rankings!Q2:Q651)</f>
        <v>3.8220206357080784</v>
      </c>
      <c r="K230" s="157">
        <f>(VLOOKUP($A230,Hitters!$A$1:$R$401,14,FALSE)-AVERAGE(Rankings!R$2:R$651))/STDEV(Rankings!R$2:R$651)</f>
        <v>0.48105465856917956</v>
      </c>
      <c r="L230" s="157">
        <f>(VLOOKUP($A230,Hitters!$A$1:$R$401,15,FALSE)-AVERAGE(Rankings!S$2:S$651))/STDEV(Rankings!S$2:S$651)</f>
        <v>0.11705392965056011</v>
      </c>
      <c r="M230" s="157">
        <f>(VLOOKUP($A230,Hitters!$A$1:$R$401,9,FALSE)-AVERAGE(Rankings!T$2:T$651))/STDEV(Rankings!T$2:T$651)</f>
        <v>1.4052355511275882</v>
      </c>
      <c r="N230" s="157">
        <f>(VLOOKUP($A230,Hitters!$A$1:$R$401,10,FALSE)-AVERAGE(Rankings!U$2:U$651))/STDEV(Rankings!U$2:U$651)</f>
        <v>1.4085607495252148</v>
      </c>
      <c r="O230" s="157">
        <f>(VLOOKUP($A230,Hitters!$A$1:$R$401,11,FALSE)-AVERAGE(Rankings!V$2:V$651))/STDEV(Rankings!V$2:V$651)</f>
        <v>2.0311885601541873</v>
      </c>
      <c r="P230" s="157">
        <f>(VLOOKUP($A230,Hitters!$A$1:$R$401,12,FALSE)-AVERAGE(Rankings!W$2:W$651))/STDEV(Rankings!W$2:W$651)</f>
        <v>0.66205769804138948</v>
      </c>
      <c r="Q230" s="157">
        <f>(VLOOKUP($A230,Hitters!$A$1:$R$401,13,FALSE)-AVERAGE(Rankings!X$2:X$651))/STDEV(Rankings!X$2:X$651)</f>
        <v>0.77022314824380966</v>
      </c>
      <c r="R230" s="118">
        <f>(VLOOKUP($A230,Hitters!$A1:$R401,16,FALSE)-AVERAGE(Rankings!Y2:Y651))/STDEV(Rankings!Y2:Y651)</f>
        <v>0.21902505026862079</v>
      </c>
      <c r="S230" s="118">
        <f>(VLOOKUP($A230,Hitters!$A1:$R401,17,FALSE)-AVERAGE(Rankings!Z2:Z651))/STDEV(Rankings!Z2:Z651)</f>
        <v>0.20420193771412259</v>
      </c>
      <c r="T230" s="118">
        <f>IFERROR((VLOOKUP($A230,Hitters!$A1:$R401,18,FALSE)-AVERAGE(Rankings!AA2:AA651))/STDEV(Rankings!AA2:AA651),0)</f>
        <v>0</v>
      </c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</row>
    <row r="231" spans="1:37" ht="18.600000000000001" customHeight="1">
      <c r="A231" s="26" t="s">
        <v>113</v>
      </c>
      <c r="B231" s="27" t="s">
        <v>114</v>
      </c>
      <c r="C231" s="123" t="s">
        <v>23</v>
      </c>
      <c r="D231" s="67">
        <f>(F231*Settings!$C$2)+(G231*Settings!$C$3)+(H231*Settings!$C$4)+(I231*Settings!$C$5)+(J231*Settings!$C$6)+(M231*Settings!$C$9)+(N231*Settings!$C$10)+(O231*Settings!$C$11)+(P231*Settings!$C$12)+(Q231*Settings!$C$13)+(T231*Settings!$C$16)+(K231*Settings!$C$7)+(L231*Settings!$C$8)+(R231*Settings!$C$14)+(S231*Settings!$C$15)</f>
        <v>6.4546461284013992</v>
      </c>
      <c r="E231" s="67"/>
      <c r="F231" s="118">
        <f>(VLOOKUP($A231,Hitters!$A1:$R401,4,FALSE)-AVERAGE(Rankings!M2:M651))/STDEV(Rankings!M2:M651)</f>
        <v>1.0606137871914709</v>
      </c>
      <c r="G231" s="118">
        <f>(VLOOKUP($A231,Hitters!$A1:$R401,5,FALSE)-AVERAGE(Rankings!N2:N651))/STDEV(Rankings!N2:N651)</f>
        <v>1.1756265127148318</v>
      </c>
      <c r="H231" s="118">
        <f>(VLOOKUP($A231,Hitters!$A1:$R401,6,FALSE)-AVERAGE(Rankings!O2:O651))/STDEV(Rankings!O2:O651)</f>
        <v>1.001162597868646</v>
      </c>
      <c r="I231" s="118">
        <f>(VLOOKUP($A231,Hitters!$A1:$R401,7,FALSE)-AVERAGE(Rankings!P2:P651))/STDEV(Rankings!P2:P651)</f>
        <v>1.1852290068415419</v>
      </c>
      <c r="J231" s="118">
        <f>(VLOOKUP($A231,Hitters!$A1:$R401,8,FALSE)-AVERAGE(Rankings!Q2:Q651))/STDEV(Rankings!Q2:Q651)</f>
        <v>1.3308705733790474</v>
      </c>
      <c r="K231" s="157">
        <f>(VLOOKUP($A231,Hitters!$A$1:$R$401,14,FALSE)-AVERAGE(Rankings!R$2:R$651))/STDEV(Rankings!R$2:R$651)</f>
        <v>1.7617574375973319</v>
      </c>
      <c r="L231" s="157">
        <f>(VLOOKUP($A231,Hitters!$A$1:$R$401,15,FALSE)-AVERAGE(Rankings!S$2:S$651))/STDEV(Rankings!S$2:S$651)</f>
        <v>0.4967143761169559</v>
      </c>
      <c r="M231" s="157">
        <f>(VLOOKUP($A231,Hitters!$A$1:$R$401,9,FALSE)-AVERAGE(Rankings!T$2:T$651))/STDEV(Rankings!T$2:T$651)</f>
        <v>1.3698890780386241</v>
      </c>
      <c r="N231" s="157">
        <f>(VLOOKUP($A231,Hitters!$A$1:$R$401,10,FALSE)-AVERAGE(Rankings!U$2:U$651))/STDEV(Rankings!U$2:U$651)</f>
        <v>1.4253425078565958</v>
      </c>
      <c r="O231" s="157">
        <f>(VLOOKUP($A231,Hitters!$A$1:$R$401,11,FALSE)-AVERAGE(Rankings!V$2:V$651))/STDEV(Rankings!V$2:V$651)</f>
        <v>0.2681192536073026</v>
      </c>
      <c r="P231" s="157">
        <f>(VLOOKUP($A231,Hitters!$A$1:$R$401,12,FALSE)-AVERAGE(Rankings!W$2:W$651))/STDEV(Rankings!W$2:W$651)</f>
        <v>-0.2548765122612594</v>
      </c>
      <c r="Q231" s="157">
        <f>(VLOOKUP($A231,Hitters!$A$1:$R$401,13,FALSE)-AVERAGE(Rankings!X$2:X$651))/STDEV(Rankings!X$2:X$651)</f>
        <v>0.67484975664283098</v>
      </c>
      <c r="R231" s="118">
        <f>(VLOOKUP($A231,Hitters!$A1:$R401,16,FALSE)-AVERAGE(Rankings!Y2:Y651))/STDEV(Rankings!Y2:Y651)</f>
        <v>1.4590434714606293</v>
      </c>
      <c r="S231" s="118">
        <f>(VLOOKUP($A231,Hitters!$A1:$R401,17,FALSE)-AVERAGE(Rankings!Z2:Z651))/STDEV(Rankings!Z2:Z651)</f>
        <v>1.2536856111619608</v>
      </c>
      <c r="T231" s="118">
        <f>IFERROR((VLOOKUP($A231,Hitters!$A1:$R401,18,FALSE)-AVERAGE(Rankings!AA2:AA651))/STDEV(Rankings!AA2:AA651),0)</f>
        <v>0</v>
      </c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</row>
    <row r="232" spans="1:37" ht="18.600000000000001" customHeight="1">
      <c r="A232" s="26" t="s">
        <v>108</v>
      </c>
      <c r="B232" s="27" t="s">
        <v>95</v>
      </c>
      <c r="C232" s="123" t="s">
        <v>23</v>
      </c>
      <c r="D232" s="67">
        <f>(F232*Settings!$C$2)+(G232*Settings!$C$3)+(H232*Settings!$C$4)+(I232*Settings!$C$5)+(J232*Settings!$C$6)+(M232*Settings!$C$9)+(N232*Settings!$C$10)+(O232*Settings!$C$11)+(P232*Settings!$C$12)+(Q232*Settings!$C$13)+(T232*Settings!$C$16)+(K232*Settings!$C$7)+(L232*Settings!$C$8)+(R232*Settings!$C$14)+(S232*Settings!$C$15)</f>
        <v>6.0491847431143579</v>
      </c>
      <c r="E232" s="67"/>
      <c r="F232" s="118">
        <f>(VLOOKUP($A232,Hitters!$A1:$R401,4,FALSE)-AVERAGE(Rankings!M2:M651))/STDEV(Rankings!M2:M651)</f>
        <v>0.94245403552188312</v>
      </c>
      <c r="G232" s="118">
        <f>(VLOOKUP($A232,Hitters!$A1:$R401,5,FALSE)-AVERAGE(Rankings!N2:N651))/STDEV(Rankings!N2:N651)</f>
        <v>1.1478875426349036</v>
      </c>
      <c r="H232" s="118">
        <f>(VLOOKUP($A232,Hitters!$A1:$R401,6,FALSE)-AVERAGE(Rankings!O2:O651))/STDEV(Rankings!O2:O651)</f>
        <v>4.3916034956863179E-2</v>
      </c>
      <c r="I232" s="118">
        <f>(VLOOKUP($A232,Hitters!$A1:$R401,7,FALSE)-AVERAGE(Rankings!P2:P651))/STDEV(Rankings!P2:P651)</f>
        <v>0.51438942759584061</v>
      </c>
      <c r="J232" s="118">
        <f>(VLOOKUP($A232,Hitters!$A1:$R401,8,FALSE)-AVERAGE(Rankings!Q2:Q651))/STDEV(Rankings!Q2:Q651)</f>
        <v>3.0818665003276386</v>
      </c>
      <c r="K232" s="157">
        <f>(VLOOKUP($A232,Hitters!$A$1:$R$401,14,FALSE)-AVERAGE(Rankings!R$2:R$651))/STDEV(Rankings!R$2:R$651)</f>
        <v>1.2611252375991122</v>
      </c>
      <c r="L232" s="157">
        <f>(VLOOKUP($A232,Hitters!$A$1:$R$401,15,FALSE)-AVERAGE(Rankings!S$2:S$651))/STDEV(Rankings!S$2:S$651)</f>
        <v>0.28410659404757871</v>
      </c>
      <c r="M232" s="157">
        <f>(VLOOKUP($A232,Hitters!$A$1:$R$401,9,FALSE)-AVERAGE(Rankings!T$2:T$651))/STDEV(Rankings!T$2:T$651)</f>
        <v>1.1209510571862238</v>
      </c>
      <c r="N232" s="157">
        <f>(VLOOKUP($A232,Hitters!$A$1:$R$401,10,FALSE)-AVERAGE(Rankings!U$2:U$651))/STDEV(Rankings!U$2:U$651)</f>
        <v>0.66815530929797606</v>
      </c>
      <c r="O232" s="157">
        <f>(VLOOKUP($A232,Hitters!$A$1:$R$401,11,FALSE)-AVERAGE(Rankings!V$2:V$651))/STDEV(Rankings!V$2:V$651)</f>
        <v>1.8504465349496244</v>
      </c>
      <c r="P232" s="157">
        <f>(VLOOKUP($A232,Hitters!$A$1:$R$401,12,FALSE)-AVERAGE(Rankings!W$2:W$651))/STDEV(Rankings!W$2:W$651)</f>
        <v>-0.12253966045887953</v>
      </c>
      <c r="Q232" s="157">
        <f>(VLOOKUP($A232,Hitters!$A$1:$R$401,13,FALSE)-AVERAGE(Rankings!X$2:X$651))/STDEV(Rankings!X$2:X$651)</f>
        <v>0.38480644348908216</v>
      </c>
      <c r="R232" s="118">
        <f>(VLOOKUP($A232,Hitters!$A1:$R401,16,FALSE)-AVERAGE(Rankings!Y2:Y651))/STDEV(Rankings!Y2:Y651)</f>
        <v>0.22334522517867214</v>
      </c>
      <c r="S232" s="118">
        <f>(VLOOKUP($A232,Hitters!$A1:$R401,17,FALSE)-AVERAGE(Rankings!Z2:Z651))/STDEV(Rankings!Z2:Z651)</f>
        <v>0.27024218597902355</v>
      </c>
      <c r="T232" s="118">
        <f>IFERROR((VLOOKUP($A232,Hitters!$A1:$R401,18,FALSE)-AVERAGE(Rankings!AA2:AA651))/STDEV(Rankings!AA2:AA651),0)</f>
        <v>0</v>
      </c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</row>
    <row r="233" spans="1:37" ht="18.600000000000001" customHeight="1">
      <c r="A233" s="26" t="s">
        <v>118</v>
      </c>
      <c r="B233" s="27" t="s">
        <v>94</v>
      </c>
      <c r="C233" s="123" t="s">
        <v>23</v>
      </c>
      <c r="D233" s="67">
        <f>(F233*Settings!$C$2)+(G233*Settings!$C$3)+(H233*Settings!$C$4)+(I233*Settings!$C$5)+(J233*Settings!$C$6)+(M233*Settings!$C$9)+(N233*Settings!$C$10)+(O233*Settings!$C$11)+(P233*Settings!$C$12)+(Q233*Settings!$C$13)+(T233*Settings!$C$16)+(K233*Settings!$C$7)+(L233*Settings!$C$8)+(R233*Settings!$C$14)+(S233*Settings!$C$15)</f>
        <v>5.6847343879969179</v>
      </c>
      <c r="E233" s="67"/>
      <c r="F233" s="118">
        <f>(VLOOKUP($A233,Hitters!$A1:$R401,4,FALSE)-AVERAGE(Rankings!M2:M651))/STDEV(Rankings!M2:M651)</f>
        <v>1.038561806365041</v>
      </c>
      <c r="G233" s="118">
        <f>(VLOOKUP($A233,Hitters!$A1:$R401,5,FALSE)-AVERAGE(Rankings!N2:N651))/STDEV(Rankings!N2:N651)</f>
        <v>1.6638475994506861</v>
      </c>
      <c r="H233" s="118">
        <f>(VLOOKUP($A233,Hitters!$A1:$R401,6,FALSE)-AVERAGE(Rankings!O2:O651))/STDEV(Rankings!O2:O651)</f>
        <v>1.61192797871645</v>
      </c>
      <c r="I233" s="118">
        <f>(VLOOKUP($A233,Hitters!$A1:$R401,7,FALSE)-AVERAGE(Rankings!P2:P651))/STDEV(Rankings!P2:P651)</f>
        <v>1.152930360331591</v>
      </c>
      <c r="J233" s="118">
        <f>(VLOOKUP($A233,Hitters!$A1:$R401,8,FALSE)-AVERAGE(Rankings!Q2:Q651))/STDEV(Rankings!Q2:Q651)</f>
        <v>0.66816890369538384</v>
      </c>
      <c r="K233" s="157">
        <f>(VLOOKUP($A233,Hitters!$A$1:$R$401,14,FALSE)-AVERAGE(Rankings!R$2:R$651))/STDEV(Rankings!R$2:R$651)</f>
        <v>0.58785954580280697</v>
      </c>
      <c r="L233" s="157">
        <f>(VLOOKUP($A233,Hitters!$A$1:$R$401,15,FALSE)-AVERAGE(Rankings!S$2:S$651))/STDEV(Rankings!S$2:S$651)</f>
        <v>0.91946906883495294</v>
      </c>
      <c r="M233" s="157">
        <f>(VLOOKUP($A233,Hitters!$A$1:$R$401,9,FALSE)-AVERAGE(Rankings!T$2:T$651))/STDEV(Rankings!T$2:T$651)</f>
        <v>1.0323602146772326</v>
      </c>
      <c r="N233" s="157">
        <f>(VLOOKUP($A233,Hitters!$A$1:$R$401,10,FALSE)-AVERAGE(Rankings!U$2:U$651))/STDEV(Rankings!U$2:U$651)</f>
        <v>0.68622797211638609</v>
      </c>
      <c r="O233" s="157">
        <f>(VLOOKUP($A233,Hitters!$A$1:$R$401,11,FALSE)-AVERAGE(Rankings!V$2:V$651))/STDEV(Rankings!V$2:V$651)</f>
        <v>1.1785058660492833</v>
      </c>
      <c r="P233" s="157">
        <f>(VLOOKUP($A233,Hitters!$A$1:$R$401,12,FALSE)-AVERAGE(Rankings!W$2:W$651))/STDEV(Rankings!W$2:W$651)</f>
        <v>1.1870508962609381</v>
      </c>
      <c r="Q233" s="157">
        <f>(VLOOKUP($A233,Hitters!$A$1:$R$401,13,FALSE)-AVERAGE(Rankings!X$2:X$651))/STDEV(Rankings!X$2:X$651)</f>
        <v>0.60921628479800383</v>
      </c>
      <c r="R233" s="118">
        <f>(VLOOKUP($A233,Hitters!$A1:$R401,16,FALSE)-AVERAGE(Rankings!Y2:Y651))/STDEV(Rankings!Y2:Y651)</f>
        <v>1.4525774615035729</v>
      </c>
      <c r="S233" s="118">
        <f>(VLOOKUP($A233,Hitters!$A1:$R401,17,FALSE)-AVERAGE(Rankings!Z2:Z651))/STDEV(Rankings!Z2:Z651)</f>
        <v>1.408091210485142</v>
      </c>
      <c r="T233" s="118">
        <f>IFERROR((VLOOKUP($A233,Hitters!$A1:$R401,18,FALSE)-AVERAGE(Rankings!AA2:AA651))/STDEV(Rankings!AA2:AA651),0)</f>
        <v>0</v>
      </c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</row>
    <row r="234" spans="1:37" ht="18.600000000000001" customHeight="1">
      <c r="A234" s="26" t="s">
        <v>125</v>
      </c>
      <c r="B234" s="27" t="s">
        <v>91</v>
      </c>
      <c r="C234" s="123" t="s">
        <v>23</v>
      </c>
      <c r="D234" s="67">
        <f>(F234*Settings!$C$2)+(G234*Settings!$C$3)+(H234*Settings!$C$4)+(I234*Settings!$C$5)+(J234*Settings!$C$6)+(M234*Settings!$C$9)+(N234*Settings!$C$10)+(O234*Settings!$C$11)+(P234*Settings!$C$12)+(Q234*Settings!$C$13)+(T234*Settings!$C$16)+(K234*Settings!$C$7)+(L234*Settings!$C$8)+(R234*Settings!$C$14)+(S234*Settings!$C$15)</f>
        <v>6.0632895053341898</v>
      </c>
      <c r="E234" s="67"/>
      <c r="F234" s="118">
        <f>(VLOOKUP($A234,Hitters!$A1:$R401,4,FALSE)-AVERAGE(Rankings!M2:M651))/STDEV(Rankings!M2:M651)</f>
        <v>1.1311632277664481</v>
      </c>
      <c r="G234" s="118">
        <f>(VLOOKUP($A234,Hitters!$A1:$R401,5,FALSE)-AVERAGE(Rankings!N2:N651))/STDEV(Rankings!N2:N651)</f>
        <v>1.8009957613906626</v>
      </c>
      <c r="H234" s="118">
        <f>(VLOOKUP($A234,Hitters!$A1:$R401,6,FALSE)-AVERAGE(Rankings!O2:O651))/STDEV(Rankings!O2:O651)</f>
        <v>3.1113959974356349</v>
      </c>
      <c r="I234" s="118">
        <f>(VLOOKUP($A234,Hitters!$A1:$R401,7,FALSE)-AVERAGE(Rankings!P2:P651))/STDEV(Rankings!P2:P651)</f>
        <v>1.9316611630254288</v>
      </c>
      <c r="J234" s="118">
        <f>(VLOOKUP($A234,Hitters!$A1:$R401,8,FALSE)-AVERAGE(Rankings!Q2:Q651))/STDEV(Rankings!Q2:Q651)</f>
        <v>-0.11348328079048653</v>
      </c>
      <c r="K234" s="157">
        <f>(VLOOKUP($A234,Hitters!$A$1:$R$401,14,FALSE)-AVERAGE(Rankings!R$2:R$651))/STDEV(Rankings!R$2:R$651)</f>
        <v>-0.66728013572705003</v>
      </c>
      <c r="L234" s="157">
        <f>(VLOOKUP($A234,Hitters!$A$1:$R$401,15,FALSE)-AVERAGE(Rankings!S$2:S$651))/STDEV(Rankings!S$2:S$651)</f>
        <v>0.94482690976997064</v>
      </c>
      <c r="M234" s="157">
        <f>(VLOOKUP($A234,Hitters!$A$1:$R$401,9,FALSE)-AVERAGE(Rankings!T$2:T$651))/STDEV(Rankings!T$2:T$651)</f>
        <v>0.77184472615628574</v>
      </c>
      <c r="N234" s="157">
        <f>(VLOOKUP($A234,Hitters!$A$1:$R$401,10,FALSE)-AVERAGE(Rankings!U$2:U$651))/STDEV(Rankings!U$2:U$651)</f>
        <v>0.26037292522861599</v>
      </c>
      <c r="O234" s="157">
        <f>(VLOOKUP($A234,Hitters!$A$1:$R$401,11,FALSE)-AVERAGE(Rankings!V$2:V$651))/STDEV(Rankings!V$2:V$651)</f>
        <v>0.30531682079979833</v>
      </c>
      <c r="P234" s="157">
        <f>(VLOOKUP($A234,Hitters!$A$1:$R$401,12,FALSE)-AVERAGE(Rankings!W$2:W$651))/STDEV(Rankings!W$2:W$651)</f>
        <v>2.3805395804124152</v>
      </c>
      <c r="Q234" s="157">
        <f>(VLOOKUP($A234,Hitters!$A$1:$R$401,13,FALSE)-AVERAGE(Rankings!X$2:X$651))/STDEV(Rankings!X$2:X$651)</f>
        <v>2.3856702788279822</v>
      </c>
      <c r="R234" s="118">
        <f>(VLOOKUP($A234,Hitters!$A1:$R401,16,FALSE)-AVERAGE(Rankings!Y2:Y651))/STDEV(Rankings!Y2:Y651)</f>
        <v>2.1135789702084606</v>
      </c>
      <c r="S234" s="118">
        <f>(VLOOKUP($A234,Hitters!$A1:$R401,17,FALSE)-AVERAGE(Rankings!Z2:Z651))/STDEV(Rankings!Z2:Z651)</f>
        <v>1.9008918258696719</v>
      </c>
      <c r="T234" s="118">
        <f>IFERROR((VLOOKUP($A234,Hitters!$A1:$R401,18,FALSE)-AVERAGE(Rankings!AA2:AA651))/STDEV(Rankings!AA2:AA651),0)</f>
        <v>0</v>
      </c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</row>
    <row r="235" spans="1:37" ht="18.600000000000001" customHeight="1">
      <c r="A235" s="26" t="s">
        <v>135</v>
      </c>
      <c r="B235" s="27" t="s">
        <v>114</v>
      </c>
      <c r="C235" s="123" t="s">
        <v>23</v>
      </c>
      <c r="D235" s="67">
        <f>(F235*Settings!$C$2)+(G235*Settings!$C$3)+(H235*Settings!$C$4)+(I235*Settings!$C$5)+(J235*Settings!$C$6)+(M235*Settings!$C$9)+(N235*Settings!$C$10)+(O235*Settings!$C$11)+(P235*Settings!$C$12)+(Q235*Settings!$C$13)+(T235*Settings!$C$16)+(K235*Settings!$C$7)+(L235*Settings!$C$8)+(R235*Settings!$C$14)+(S235*Settings!$C$15)</f>
        <v>4.6770660467170835</v>
      </c>
      <c r="E235" s="67"/>
      <c r="F235" s="118">
        <f>(VLOOKUP($A235,Hitters!$A1:$R401,4,FALSE)-AVERAGE(Rankings!M2:M651))/STDEV(Rankings!M2:M651)</f>
        <v>1.0717665131266763</v>
      </c>
      <c r="G235" s="118">
        <f>(VLOOKUP($A235,Hitters!$A1:$R401,5,FALSE)-AVERAGE(Rankings!N2:N651))/STDEV(Rankings!N2:N651)</f>
        <v>0.93069191402003304</v>
      </c>
      <c r="H235" s="118">
        <f>(VLOOKUP($A235,Hitters!$A1:$R401,6,FALSE)-AVERAGE(Rankings!O2:O651))/STDEV(Rankings!O2:O651)</f>
        <v>1.7572355271252678</v>
      </c>
      <c r="I235" s="118">
        <f>(VLOOKUP($A235,Hitters!$A1:$R401,7,FALSE)-AVERAGE(Rankings!P2:P651))/STDEV(Rankings!P2:P651)</f>
        <v>1.7148606342848702</v>
      </c>
      <c r="J235" s="118">
        <f>(VLOOKUP($A235,Hitters!$A1:$R401,8,FALSE)-AVERAGE(Rankings!Q2:Q651))/STDEV(Rankings!Q2:Q651)</f>
        <v>-0.96474765070321389</v>
      </c>
      <c r="K235" s="157">
        <f>(VLOOKUP($A235,Hitters!$A$1:$R$401,14,FALSE)-AVERAGE(Rankings!R$2:R$651))/STDEV(Rankings!R$2:R$651)</f>
        <v>1.2390256219901259</v>
      </c>
      <c r="L235" s="157">
        <f>(VLOOKUP($A235,Hitters!$A$1:$R$401,15,FALSE)-AVERAGE(Rankings!S$2:S$651))/STDEV(Rankings!S$2:S$651)</f>
        <v>0.69462561886507102</v>
      </c>
      <c r="M235" s="157">
        <f>(VLOOKUP($A235,Hitters!$A$1:$R$401,9,FALSE)-AVERAGE(Rankings!T$2:T$651))/STDEV(Rankings!T$2:T$651)</f>
        <v>1.2392868554387246</v>
      </c>
      <c r="N235" s="157">
        <f>(VLOOKUP($A235,Hitters!$A$1:$R$401,10,FALSE)-AVERAGE(Rankings!U$2:U$651))/STDEV(Rankings!U$2:U$651)</f>
        <v>0.80140533912577694</v>
      </c>
      <c r="O235" s="157">
        <f>(VLOOKUP($A235,Hitters!$A$1:$R$401,11,FALSE)-AVERAGE(Rankings!V$2:V$651))/STDEV(Rankings!V$2:V$651)</f>
        <v>-0.56358019746593702</v>
      </c>
      <c r="P235" s="157">
        <f>(VLOOKUP($A235,Hitters!$A$1:$R$401,12,FALSE)-AVERAGE(Rankings!W$2:W$651))/STDEV(Rankings!W$2:W$651)</f>
        <v>0.40758528407027933</v>
      </c>
      <c r="Q235" s="157">
        <f>(VLOOKUP($A235,Hitters!$A$1:$R$401,13,FALSE)-AVERAGE(Rankings!X$2:X$651))/STDEV(Rankings!X$2:X$651)</f>
        <v>1.0795183137077913</v>
      </c>
      <c r="R235" s="118">
        <f>(VLOOKUP($A235,Hitters!$A1:$R401,16,FALSE)-AVERAGE(Rankings!Y2:Y651))/STDEV(Rankings!Y2:Y651)</f>
        <v>1.7152030757838983</v>
      </c>
      <c r="S235" s="118">
        <f>(VLOOKUP($A235,Hitters!$A1:$R401,17,FALSE)-AVERAGE(Rankings!Z2:Z651))/STDEV(Rankings!Z2:Z651)</f>
        <v>1.5154603683088994</v>
      </c>
      <c r="T235" s="118">
        <f>IFERROR((VLOOKUP($A235,Hitters!$A1:$R401,18,FALSE)-AVERAGE(Rankings!AA2:AA651))/STDEV(Rankings!AA2:AA651),0)</f>
        <v>0</v>
      </c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</row>
    <row r="236" spans="1:37" ht="18.600000000000001" customHeight="1">
      <c r="A236" s="26" t="s">
        <v>131</v>
      </c>
      <c r="B236" s="27" t="s">
        <v>71</v>
      </c>
      <c r="C236" s="123" t="s">
        <v>23</v>
      </c>
      <c r="D236" s="67">
        <f>(F236*Settings!$C$2)+(G236*Settings!$C$3)+(H236*Settings!$C$4)+(I236*Settings!$C$5)+(J236*Settings!$C$6)+(M236*Settings!$C$9)+(N236*Settings!$C$10)+(O236*Settings!$C$11)+(P236*Settings!$C$12)+(Q236*Settings!$C$13)+(T236*Settings!$C$16)+(K236*Settings!$C$7)+(L236*Settings!$C$8)+(R236*Settings!$C$14)+(S236*Settings!$C$15)</f>
        <v>5.4298309872489448</v>
      </c>
      <c r="E236" s="67"/>
      <c r="F236" s="118">
        <f>(VLOOKUP($A236,Hitters!$A1:$R401,4,FALSE)-AVERAGE(Rankings!M2:M651))/STDEV(Rankings!M2:M651)</f>
        <v>1.2315377611833027</v>
      </c>
      <c r="G236" s="118">
        <f>(VLOOKUP($A236,Hitters!$A1:$R401,5,FALSE)-AVERAGE(Rankings!N2:N651))/STDEV(Rankings!N2:N651)</f>
        <v>1.110107775341399</v>
      </c>
      <c r="H236" s="118">
        <f>(VLOOKUP($A236,Hitters!$A1:$R401,6,FALSE)-AVERAGE(Rankings!O2:O651))/STDEV(Rankings!O2:O651)</f>
        <v>1.8250828675615998</v>
      </c>
      <c r="I236" s="118">
        <f>(VLOOKUP($A236,Hitters!$A1:$R401,7,FALSE)-AVERAGE(Rankings!P2:P651))/STDEV(Rankings!P2:P651)</f>
        <v>1.6304616493936177</v>
      </c>
      <c r="J236" s="118">
        <f>(VLOOKUP($A236,Hitters!$A1:$R401,8,FALSE)-AVERAGE(Rankings!Q2:Q651))/STDEV(Rankings!Q2:Q651)</f>
        <v>0.51104651929619771</v>
      </c>
      <c r="K236" s="157">
        <f>(VLOOKUP($A236,Hitters!$A$1:$R$401,14,FALSE)-AVERAGE(Rankings!R$2:R$651))/STDEV(Rankings!R$2:R$651)</f>
        <v>0.35313217565613109</v>
      </c>
      <c r="L236" s="157">
        <f>(VLOOKUP($A236,Hitters!$A$1:$R$401,15,FALSE)-AVERAGE(Rankings!S$2:S$651))/STDEV(Rankings!S$2:S$651)</f>
        <v>-0.20581528348245318</v>
      </c>
      <c r="M236" s="157">
        <f>(VLOOKUP($A236,Hitters!$A$1:$R$401,9,FALSE)-AVERAGE(Rankings!T$2:T$651))/STDEV(Rankings!T$2:T$651)</f>
        <v>1.1428928296757712</v>
      </c>
      <c r="N236" s="157">
        <f>(VLOOKUP($A236,Hitters!$A$1:$R$401,10,FALSE)-AVERAGE(Rankings!U$2:U$651))/STDEV(Rankings!U$2:U$651)</f>
        <v>1.1078517209633385</v>
      </c>
      <c r="O236" s="157">
        <f>(VLOOKUP($A236,Hitters!$A$1:$R$401,11,FALSE)-AVERAGE(Rankings!V$2:V$651))/STDEV(Rankings!V$2:V$651)</f>
        <v>-0.56167262991760381</v>
      </c>
      <c r="P236" s="157">
        <f>(VLOOKUP($A236,Hitters!$A$1:$R$401,12,FALSE)-AVERAGE(Rankings!W$2:W$651))/STDEV(Rankings!W$2:W$651)</f>
        <v>0.25851582914929</v>
      </c>
      <c r="Q236" s="157">
        <f>(VLOOKUP($A236,Hitters!$A$1:$R$401,13,FALSE)-AVERAGE(Rankings!X$2:X$651))/STDEV(Rankings!X$2:X$651)</f>
        <v>2.0752044995012597</v>
      </c>
      <c r="R236" s="118">
        <f>(VLOOKUP($A236,Hitters!$A1:$R401,16,FALSE)-AVERAGE(Rankings!Y2:Y651))/STDEV(Rankings!Y2:Y651)</f>
        <v>1.3019015411872683</v>
      </c>
      <c r="S236" s="118">
        <f>(VLOOKUP($A236,Hitters!$A1:$R401,17,FALSE)-AVERAGE(Rankings!Z2:Z651))/STDEV(Rankings!Z2:Z651)</f>
        <v>0.87435433392909401</v>
      </c>
      <c r="T236" s="118">
        <f>IFERROR((VLOOKUP($A236,Hitters!$A1:$R401,18,FALSE)-AVERAGE(Rankings!AA2:AA651))/STDEV(Rankings!AA2:AA651),0)</f>
        <v>0</v>
      </c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</row>
    <row r="237" spans="1:37" ht="18.600000000000001" customHeight="1">
      <c r="A237" s="26" t="s">
        <v>136</v>
      </c>
      <c r="B237" s="27" t="s">
        <v>137</v>
      </c>
      <c r="C237" s="123" t="s">
        <v>23</v>
      </c>
      <c r="D237" s="67">
        <f>(F237*Settings!$C$2)+(G237*Settings!$C$3)+(H237*Settings!$C$4)+(I237*Settings!$C$5)+(J237*Settings!$C$6)+(M237*Settings!$C$9)+(N237*Settings!$C$10)+(O237*Settings!$C$11)+(P237*Settings!$C$12)+(Q237*Settings!$C$13)+(T237*Settings!$C$16)+(K237*Settings!$C$7)+(L237*Settings!$C$8)+(R237*Settings!$C$14)+(S237*Settings!$C$15)</f>
        <v>5.5272179399730232</v>
      </c>
      <c r="E237" s="67"/>
      <c r="F237" s="118">
        <f>(VLOOKUP($A237,Hitters!$A1:$R401,4,FALSE)-AVERAGE(Rankings!M2:M651))/STDEV(Rankings!M2:M651)</f>
        <v>1.3864085690562777</v>
      </c>
      <c r="G237" s="118">
        <f>(VLOOKUP($A237,Hitters!$A1:$R401,5,FALSE)-AVERAGE(Rankings!N2:N651))/STDEV(Rankings!N2:N651)</f>
        <v>1.5366895236272482</v>
      </c>
      <c r="H237" s="118">
        <f>(VLOOKUP($A237,Hitters!$A1:$R401,6,FALSE)-AVERAGE(Rankings!O2:O651))/STDEV(Rankings!O2:O651)</f>
        <v>1.2347970740734284</v>
      </c>
      <c r="I237" s="118">
        <f>(VLOOKUP($A237,Hitters!$A1:$R401,7,FALSE)-AVERAGE(Rankings!P2:P651))/STDEV(Rankings!P2:P651)</f>
        <v>1.3356760513808048</v>
      </c>
      <c r="J237" s="118">
        <f>(VLOOKUP($A237,Hitters!$A1:$R401,8,FALSE)-AVERAGE(Rankings!Q2:Q651))/STDEV(Rankings!Q2:Q651)</f>
        <v>0.10873718827408804</v>
      </c>
      <c r="K237" s="157">
        <f>(VLOOKUP($A237,Hitters!$A$1:$R$401,14,FALSE)-AVERAGE(Rankings!R$2:R$651))/STDEV(Rankings!R$2:R$651)</f>
        <v>1.3113181026174532</v>
      </c>
      <c r="L237" s="157">
        <f>(VLOOKUP($A237,Hitters!$A$1:$R$401,15,FALSE)-AVERAGE(Rankings!S$2:S$651))/STDEV(Rankings!S$2:S$651)</f>
        <v>1.4952517797757876</v>
      </c>
      <c r="M237" s="157">
        <f>(VLOOKUP($A237,Hitters!$A$1:$R$401,9,FALSE)-AVERAGE(Rankings!T$2:T$651))/STDEV(Rankings!T$2:T$651)</f>
        <v>1.5624674470970545</v>
      </c>
      <c r="N237" s="157">
        <f>(VLOOKUP($A237,Hitters!$A$1:$R$401,10,FALSE)-AVERAGE(Rankings!U$2:U$651))/STDEV(Rankings!U$2:U$651)</f>
        <v>1.2645531823055038</v>
      </c>
      <c r="O237" s="157">
        <f>(VLOOKUP($A237,Hitters!$A$1:$R$401,11,FALSE)-AVERAGE(Rankings!V$2:V$651))/STDEV(Rankings!V$2:V$651)</f>
        <v>2.3330611246779034</v>
      </c>
      <c r="P237" s="157">
        <f>(VLOOKUP($A237,Hitters!$A$1:$R$401,12,FALSE)-AVERAGE(Rankings!W$2:W$651))/STDEV(Rankings!W$2:W$651)</f>
        <v>1.5130878451315259</v>
      </c>
      <c r="Q237" s="157">
        <f>(VLOOKUP($A237,Hitters!$A$1:$R$401,13,FALSE)-AVERAGE(Rankings!X$2:X$651))/STDEV(Rankings!X$2:X$651)</f>
        <v>1.2330585590020526</v>
      </c>
      <c r="R237" s="118">
        <f>(VLOOKUP($A237,Hitters!$A1:$R401,16,FALSE)-AVERAGE(Rankings!Y2:Y651))/STDEV(Rankings!Y2:Y651)</f>
        <v>1.2994470999933321</v>
      </c>
      <c r="S237" s="118">
        <f>(VLOOKUP($A237,Hitters!$A1:$R401,17,FALSE)-AVERAGE(Rankings!Z2:Z651))/STDEV(Rankings!Z2:Z651)</f>
        <v>1.5128737586091003</v>
      </c>
      <c r="T237" s="118">
        <f>IFERROR((VLOOKUP($A237,Hitters!$A1:$R401,18,FALSE)-AVERAGE(Rankings!AA2:AA651))/STDEV(Rankings!AA2:AA651),0)</f>
        <v>0</v>
      </c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</row>
    <row r="238" spans="1:37" ht="18.600000000000001" customHeight="1">
      <c r="A238" s="26" t="s">
        <v>130</v>
      </c>
      <c r="B238" s="27" t="s">
        <v>86</v>
      </c>
      <c r="C238" s="123" t="s">
        <v>23</v>
      </c>
      <c r="D238" s="67">
        <f>(F238*Settings!$C$2)+(G238*Settings!$C$3)+(H238*Settings!$C$4)+(I238*Settings!$C$5)+(J238*Settings!$C$6)+(M238*Settings!$C$9)+(N238*Settings!$C$10)+(O238*Settings!$C$11)+(P238*Settings!$C$12)+(Q238*Settings!$C$13)+(T238*Settings!$C$16)+(K238*Settings!$C$7)+(L238*Settings!$C$8)+(R238*Settings!$C$14)+(S238*Settings!$C$15)</f>
        <v>5.3360524212128739</v>
      </c>
      <c r="E238" s="67"/>
      <c r="F238" s="118">
        <f>(VLOOKUP($A238,Hitters!$A1:$R401,4,FALSE)-AVERAGE(Rankings!M2:M651))/STDEV(Rankings!M2:M651)</f>
        <v>1.447410600307935</v>
      </c>
      <c r="G238" s="118">
        <f>(VLOOKUP($A238,Hitters!$A1:$R401,5,FALSE)-AVERAGE(Rankings!N2:N651))/STDEV(Rankings!N2:N651)</f>
        <v>1.0814560055147817</v>
      </c>
      <c r="H238" s="118">
        <f>(VLOOKUP($A238,Hitters!$A1:$R401,6,FALSE)-AVERAGE(Rankings!O2:O651))/STDEV(Rankings!O2:O651)</f>
        <v>1.5231831001580443</v>
      </c>
      <c r="I238" s="118">
        <f>(VLOOKUP($A238,Hitters!$A1:$R401,7,FALSE)-AVERAGE(Rankings!P2:P651))/STDEV(Rankings!P2:P651)</f>
        <v>1.4895082180523163</v>
      </c>
      <c r="J238" s="118">
        <f>(VLOOKUP($A238,Hitters!$A1:$R401,8,FALSE)-AVERAGE(Rankings!Q2:Q651))/STDEV(Rankings!Q2:Q651)</f>
        <v>1.9032902278333406</v>
      </c>
      <c r="K238" s="157">
        <f>(VLOOKUP($A238,Hitters!$A$1:$R$401,14,FALSE)-AVERAGE(Rankings!R$2:R$651))/STDEV(Rankings!R$2:R$651)</f>
        <v>-0.66138513034560875</v>
      </c>
      <c r="L238" s="157">
        <f>(VLOOKUP($A238,Hitters!$A$1:$R$401,15,FALSE)-AVERAGE(Rankings!S$2:S$651))/STDEV(Rankings!S$2:S$651)</f>
        <v>-1.3393381152112396</v>
      </c>
      <c r="M238" s="157">
        <f>(VLOOKUP($A238,Hitters!$A$1:$R$401,9,FALSE)-AVERAGE(Rankings!T$2:T$651))/STDEV(Rankings!T$2:T$651)</f>
        <v>1.0362243630064494</v>
      </c>
      <c r="N238" s="157">
        <f>(VLOOKUP($A238,Hitters!$A$1:$R$401,10,FALSE)-AVERAGE(Rankings!U$2:U$651))/STDEV(Rankings!U$2:U$651)</f>
        <v>1.0273136243559011</v>
      </c>
      <c r="O238" s="157">
        <f>(VLOOKUP($A238,Hitters!$A$1:$R$401,11,FALSE)-AVERAGE(Rankings!V$2:V$651))/STDEV(Rankings!V$2:V$651)</f>
        <v>1.1656297850980348</v>
      </c>
      <c r="P238" s="157">
        <f>(VLOOKUP($A238,Hitters!$A$1:$R$401,12,FALSE)-AVERAGE(Rankings!W$2:W$651))/STDEV(Rankings!W$2:W$651)</f>
        <v>-1.5799337218980896E-2</v>
      </c>
      <c r="Q238" s="157">
        <f>(VLOOKUP($A238,Hitters!$A$1:$R$401,13,FALSE)-AVERAGE(Rankings!X$2:X$651))/STDEV(Rankings!X$2:X$651)</f>
        <v>2.4506551673164254</v>
      </c>
      <c r="R238" s="118">
        <f>(VLOOKUP($A238,Hitters!$A1:$R401,16,FALSE)-AVERAGE(Rankings!Y2:Y651))/STDEV(Rankings!Y2:Y651)</f>
        <v>0.45327981312311721</v>
      </c>
      <c r="S238" s="118">
        <f>(VLOOKUP($A238,Hitters!$A1:$R401,17,FALSE)-AVERAGE(Rankings!Z2:Z651))/STDEV(Rankings!Z2:Z651)</f>
        <v>-0.17274892895434477</v>
      </c>
      <c r="T238" s="118">
        <f>IFERROR((VLOOKUP($A238,Hitters!$A1:$R401,18,FALSE)-AVERAGE(Rankings!AA2:AA651))/STDEV(Rankings!AA2:AA651),0)</f>
        <v>0</v>
      </c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</row>
    <row r="239" spans="1:37" ht="18.600000000000001" customHeight="1">
      <c r="A239" s="26" t="s">
        <v>119</v>
      </c>
      <c r="B239" s="27" t="s">
        <v>120</v>
      </c>
      <c r="C239" s="123" t="s">
        <v>23</v>
      </c>
      <c r="D239" s="67">
        <f>(F239*Settings!$C$2)+(G239*Settings!$C$3)+(H239*Settings!$C$4)+(I239*Settings!$C$5)+(J239*Settings!$C$6)+(M239*Settings!$C$9)+(N239*Settings!$C$10)+(O239*Settings!$C$11)+(P239*Settings!$C$12)+(Q239*Settings!$C$13)+(T239*Settings!$C$16)+(K239*Settings!$C$7)+(L239*Settings!$C$8)+(R239*Settings!$C$14)+(S239*Settings!$C$15)</f>
        <v>4.9312451115789431</v>
      </c>
      <c r="E239" s="67"/>
      <c r="F239" s="118">
        <f>(VLOOKUP($A239,Hitters!$A1:$R401,4,FALSE)-AVERAGE(Rankings!M2:M651))/STDEV(Rankings!M2:M651)</f>
        <v>0.93430071694046279</v>
      </c>
      <c r="G239" s="118">
        <f>(VLOOKUP($A239,Hitters!$A1:$R401,5,FALSE)-AVERAGE(Rankings!N2:N651))/STDEV(Rankings!N2:N651)</f>
        <v>0.84995984753512177</v>
      </c>
      <c r="H239" s="118">
        <f>(VLOOKUP($A239,Hitters!$A1:$R401,6,FALSE)-AVERAGE(Rankings!O2:O651))/STDEV(Rankings!O2:O651)</f>
        <v>-0.23423019744793602</v>
      </c>
      <c r="I239" s="118">
        <f>(VLOOKUP($A239,Hitters!$A1:$R401,7,FALSE)-AVERAGE(Rankings!P2:P651))/STDEV(Rankings!P2:P651)</f>
        <v>0.4458725194754386</v>
      </c>
      <c r="J239" s="118">
        <f>(VLOOKUP($A239,Hitters!$A1:$R401,8,FALSE)-AVERAGE(Rankings!Q2:Q651))/STDEV(Rankings!Q2:Q651)</f>
        <v>3.2421566747348729</v>
      </c>
      <c r="K239" s="157">
        <f>(VLOOKUP($A239,Hitters!$A$1:$R$401,14,FALSE)-AVERAGE(Rankings!R$2:R$651))/STDEV(Rankings!R$2:R$651)</f>
        <v>0.62748626728144641</v>
      </c>
      <c r="L239" s="157">
        <f>(VLOOKUP($A239,Hitters!$A$1:$R$401,15,FALSE)-AVERAGE(Rankings!S$2:S$651))/STDEV(Rankings!S$2:S$651)</f>
        <v>0.19909992040624078</v>
      </c>
      <c r="M239" s="157">
        <f>(VLOOKUP($A239,Hitters!$A$1:$R$401,9,FALSE)-AVERAGE(Rankings!T$2:T$651))/STDEV(Rankings!T$2:T$651)</f>
        <v>0.94725908751982091</v>
      </c>
      <c r="N239" s="157">
        <f>(VLOOKUP($A239,Hitters!$A$1:$R$401,10,FALSE)-AVERAGE(Rankings!U$2:U$651))/STDEV(Rankings!U$2:U$651)</f>
        <v>0.7758741170489758</v>
      </c>
      <c r="O239" s="157">
        <f>(VLOOKUP($A239,Hitters!$A$1:$R$401,11,FALSE)-AVERAGE(Rankings!V$2:V$651))/STDEV(Rankings!V$2:V$651)</f>
        <v>3.7150938134452467</v>
      </c>
      <c r="P239" s="157">
        <f>(VLOOKUP($A239,Hitters!$A$1:$R$401,12,FALSE)-AVERAGE(Rankings!W$2:W$651))/STDEV(Rankings!W$2:W$651)</f>
        <v>0.29555770705684237</v>
      </c>
      <c r="Q239" s="157">
        <f>(VLOOKUP($A239,Hitters!$A$1:$R$401,13,FALSE)-AVERAGE(Rankings!X$2:X$651))/STDEV(Rankings!X$2:X$651)</f>
        <v>0.91142449066051923</v>
      </c>
      <c r="R239" s="118">
        <f>(VLOOKUP($A239,Hitters!$A1:$R401,16,FALSE)-AVERAGE(Rankings!Y2:Y651))/STDEV(Rankings!Y2:Y651)</f>
        <v>-0.11935115973167677</v>
      </c>
      <c r="S239" s="118">
        <f>(VLOOKUP($A239,Hitters!$A1:$R401,17,FALSE)-AVERAGE(Rankings!Z2:Z651))/STDEV(Rankings!Z2:Z651)</f>
        <v>-1.2299832300772763E-2</v>
      </c>
      <c r="T239" s="118">
        <f>IFERROR((VLOOKUP($A239,Hitters!$A1:$R401,18,FALSE)-AVERAGE(Rankings!AA2:AA651))/STDEV(Rankings!AA2:AA651),0)</f>
        <v>0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</row>
    <row r="240" spans="1:37" ht="18.600000000000001" customHeight="1">
      <c r="A240" s="26" t="s">
        <v>141</v>
      </c>
      <c r="B240" s="27" t="s">
        <v>76</v>
      </c>
      <c r="C240" s="123" t="s">
        <v>23</v>
      </c>
      <c r="D240" s="67">
        <f>(F240*Settings!$C$2)+(G240*Settings!$C$3)+(H240*Settings!$C$4)+(I240*Settings!$C$5)+(J240*Settings!$C$6)+(M240*Settings!$C$9)+(N240*Settings!$C$10)+(O240*Settings!$C$11)+(P240*Settings!$C$12)+(Q240*Settings!$C$13)+(T240*Settings!$C$16)+(K240*Settings!$C$7)+(L240*Settings!$C$8)+(R240*Settings!$C$14)+(S240*Settings!$C$15)</f>
        <v>4.2396734835557064</v>
      </c>
      <c r="E240" s="67"/>
      <c r="F240" s="118">
        <f>(VLOOKUP($A240,Hitters!$A1:$R401,4,FALSE)-AVERAGE(Rankings!M2:M651))/STDEV(Rankings!M2:M651)</f>
        <v>1.215062143324475</v>
      </c>
      <c r="G240" s="118">
        <f>(VLOOKUP($A240,Hitters!$A1:$R401,5,FALSE)-AVERAGE(Rankings!N2:N651))/STDEV(Rankings!N2:N651)</f>
        <v>1.3747182796870434</v>
      </c>
      <c r="H240" s="118">
        <f>(VLOOKUP($A240,Hitters!$A1:$R401,6,FALSE)-AVERAGE(Rankings!O2:O651))/STDEV(Rankings!O2:O651)</f>
        <v>-0.67830288254199944</v>
      </c>
      <c r="I240" s="118">
        <f>(VLOOKUP($A240,Hitters!$A1:$R401,7,FALSE)-AVERAGE(Rankings!P2:P651))/STDEV(Rankings!P2:P651)</f>
        <v>0.23365335903416437</v>
      </c>
      <c r="J240" s="118">
        <f>(VLOOKUP($A240,Hitters!$A1:$R401,8,FALSE)-AVERAGE(Rankings!Q2:Q651))/STDEV(Rankings!Q2:Q651)</f>
        <v>1.4176680195995659</v>
      </c>
      <c r="K240" s="157">
        <f>(VLOOKUP($A240,Hitters!$A$1:$R$401,14,FALSE)-AVERAGE(Rankings!R$2:R$651))/STDEV(Rankings!R$2:R$651)</f>
        <v>1.8919367077769322</v>
      </c>
      <c r="L240" s="157">
        <f>(VLOOKUP($A240,Hitters!$A$1:$R$401,15,FALSE)-AVERAGE(Rankings!S$2:S$651))/STDEV(Rankings!S$2:S$651)</f>
        <v>1.7955820544132104</v>
      </c>
      <c r="M240" s="157">
        <f>(VLOOKUP($A240,Hitters!$A$1:$R$401,9,FALSE)-AVERAGE(Rankings!T$2:T$651))/STDEV(Rankings!T$2:T$651)</f>
        <v>1.5601908945930194</v>
      </c>
      <c r="N240" s="157">
        <f>(VLOOKUP($A240,Hitters!$A$1:$R$401,10,FALSE)-AVERAGE(Rankings!U$2:U$651))/STDEV(Rankings!U$2:U$651)</f>
        <v>1.0360630881013213</v>
      </c>
      <c r="O240" s="157">
        <f>(VLOOKUP($A240,Hitters!$A$1:$R$401,11,FALSE)-AVERAGE(Rankings!V$2:V$651))/STDEV(Rankings!V$2:V$651)</f>
        <v>2.9153461188065872</v>
      </c>
      <c r="P240" s="157">
        <f>(VLOOKUP($A240,Hitters!$A$1:$R$401,12,FALSE)-AVERAGE(Rankings!W$2:W$651))/STDEV(Rankings!W$2:W$651)</f>
        <v>1.2088219412108008</v>
      </c>
      <c r="Q240" s="157">
        <f>(VLOOKUP($A240,Hitters!$A$1:$R$401,13,FALSE)-AVERAGE(Rankings!X$2:X$651))/STDEV(Rankings!X$2:X$651)</f>
        <v>-0.85753124700540917</v>
      </c>
      <c r="R240" s="118">
        <f>(VLOOKUP($A240,Hitters!$A1:$R401,16,FALSE)-AVERAGE(Rankings!Y2:Y651))/STDEV(Rankings!Y2:Y651)</f>
        <v>-0.23164294408325262</v>
      </c>
      <c r="S240" s="118">
        <f>(VLOOKUP($A240,Hitters!$A1:$R401,17,FALSE)-AVERAGE(Rankings!Z2:Z651))/STDEV(Rankings!Z2:Z651)</f>
        <v>0.50655022134603833</v>
      </c>
      <c r="T240" s="118">
        <f>IFERROR((VLOOKUP($A240,Hitters!$A1:$R401,18,FALSE)-AVERAGE(Rankings!AA2:AA651))/STDEV(Rankings!AA2:AA651),0)</f>
        <v>0</v>
      </c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</row>
    <row r="241" spans="1:37" ht="18.600000000000001" customHeight="1">
      <c r="A241" s="26" t="s">
        <v>166</v>
      </c>
      <c r="B241" s="27" t="s">
        <v>99</v>
      </c>
      <c r="C241" s="123" t="s">
        <v>23</v>
      </c>
      <c r="D241" s="67">
        <f>(F241*Settings!$C$2)+(G241*Settings!$C$3)+(H241*Settings!$C$4)+(I241*Settings!$C$5)+(J241*Settings!$C$6)+(M241*Settings!$C$9)+(N241*Settings!$C$10)+(O241*Settings!$C$11)+(P241*Settings!$C$12)+(Q241*Settings!$C$13)+(T241*Settings!$C$16)+(K241*Settings!$C$7)+(L241*Settings!$C$8)+(R241*Settings!$C$14)+(S241*Settings!$C$15)</f>
        <v>3.9080368983004572</v>
      </c>
      <c r="E241" s="67"/>
      <c r="F241" s="118">
        <f>(VLOOKUP($A241,Hitters!$A1:$R401,4,FALSE)-AVERAGE(Rankings!M2:M651))/STDEV(Rankings!M2:M651)</f>
        <v>1.3613149357020635</v>
      </c>
      <c r="G241" s="118">
        <f>(VLOOKUP($A241,Hitters!$A1:$R401,5,FALSE)-AVERAGE(Rankings!N2:N651))/STDEV(Rankings!N2:N651)</f>
        <v>1.072378719144933</v>
      </c>
      <c r="H241" s="118">
        <f>(VLOOKUP($A241,Hitters!$A1:$R401,6,FALSE)-AVERAGE(Rankings!O2:O651))/STDEV(Rankings!O2:O651)</f>
        <v>1.8626984361813328</v>
      </c>
      <c r="I241" s="118">
        <f>(VLOOKUP($A241,Hitters!$A1:$R401,7,FALSE)-AVERAGE(Rankings!P2:P651))/STDEV(Rankings!P2:P651)</f>
        <v>1.7186275371087263</v>
      </c>
      <c r="J241" s="118">
        <f>(VLOOKUP($A241,Hitters!$A1:$R401,8,FALSE)-AVERAGE(Rankings!Q2:Q651))/STDEV(Rankings!Q2:Q651)</f>
        <v>-0.73468690136872017</v>
      </c>
      <c r="K241" s="157">
        <f>(VLOOKUP($A241,Hitters!$A$1:$R$401,14,FALSE)-AVERAGE(Rankings!R$2:R$651))/STDEV(Rankings!R$2:R$651)</f>
        <v>-1.098089276581516E-2</v>
      </c>
      <c r="L241" s="157">
        <f>(VLOOKUP($A241,Hitters!$A$1:$R$401,15,FALSE)-AVERAGE(Rankings!S$2:S$651))/STDEV(Rankings!S$2:S$651)</f>
        <v>-0.35364838321915804</v>
      </c>
      <c r="M241" s="157">
        <f>(VLOOKUP($A241,Hitters!$A$1:$R$401,9,FALSE)-AVERAGE(Rankings!T$2:T$651))/STDEV(Rankings!T$2:T$651)</f>
        <v>1.1537963179845701</v>
      </c>
      <c r="N241" s="157">
        <f>(VLOOKUP($A241,Hitters!$A$1:$R$401,10,FALSE)-AVERAGE(Rankings!U$2:U$651))/STDEV(Rankings!U$2:U$651)</f>
        <v>1.2223836357292144</v>
      </c>
      <c r="O241" s="157">
        <f>(VLOOKUP($A241,Hitters!$A$1:$R$401,11,FALSE)-AVERAGE(Rankings!V$2:V$651))/STDEV(Rankings!V$2:V$651)</f>
        <v>-0.55404235972427129</v>
      </c>
      <c r="P241" s="157">
        <f>(VLOOKUP($A241,Hitters!$A$1:$R$401,12,FALSE)-AVERAGE(Rankings!W$2:W$651))/STDEV(Rankings!W$2:W$651)</f>
        <v>0.48188675033488221</v>
      </c>
      <c r="Q241" s="157">
        <f>(VLOOKUP($A241,Hitters!$A$1:$R$401,13,FALSE)-AVERAGE(Rankings!X$2:X$651))/STDEV(Rankings!X$2:X$651)</f>
        <v>0.83523967494475937</v>
      </c>
      <c r="R241" s="118">
        <f>(VLOOKUP($A241,Hitters!$A1:$R401,16,FALSE)-AVERAGE(Rankings!Y2:Y651))/STDEV(Rankings!Y2:Y651)</f>
        <v>1.0658458840513108</v>
      </c>
      <c r="S241" s="118">
        <f>(VLOOKUP($A241,Hitters!$A1:$R401,17,FALSE)-AVERAGE(Rankings!Z2:Z651))/STDEV(Rankings!Z2:Z651)</f>
        <v>0.64612785003153617</v>
      </c>
      <c r="T241" s="118">
        <f>IFERROR((VLOOKUP($A241,Hitters!$A1:$R401,18,FALSE)-AVERAGE(Rankings!AA2:AA651))/STDEV(Rankings!AA2:AA651),0)</f>
        <v>0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</row>
    <row r="242" spans="1:37" ht="18.600000000000001" customHeight="1">
      <c r="A242" s="26" t="s">
        <v>149</v>
      </c>
      <c r="B242" s="27" t="s">
        <v>123</v>
      </c>
      <c r="C242" s="123" t="s">
        <v>23</v>
      </c>
      <c r="D242" s="67">
        <f>(F242*Settings!$C$2)+(G242*Settings!$C$3)+(H242*Settings!$C$4)+(I242*Settings!$C$5)+(J242*Settings!$C$6)+(M242*Settings!$C$9)+(N242*Settings!$C$10)+(O242*Settings!$C$11)+(P242*Settings!$C$12)+(Q242*Settings!$C$13)+(T242*Settings!$C$16)+(K242*Settings!$C$7)+(L242*Settings!$C$8)+(R242*Settings!$C$14)+(S242*Settings!$C$15)</f>
        <v>5.1192953911417938</v>
      </c>
      <c r="E242" s="67"/>
      <c r="F242" s="118">
        <f>(VLOOKUP($A242,Hitters!$A1:$R401,4,FALSE)-AVERAGE(Rankings!M2:M651))/STDEV(Rankings!M2:M651)</f>
        <v>0.82353387072034789</v>
      </c>
      <c r="G242" s="118">
        <f>(VLOOKUP($A242,Hitters!$A1:$R401,5,FALSE)-AVERAGE(Rankings!N2:N651))/STDEV(Rankings!N2:N651)</f>
        <v>1.1261324820054894</v>
      </c>
      <c r="H242" s="118">
        <f>(VLOOKUP($A242,Hitters!$A1:$R401,6,FALSE)-AVERAGE(Rankings!O2:O651))/STDEV(Rankings!O2:O651)</f>
        <v>1.4427972368484674</v>
      </c>
      <c r="I242" s="118">
        <f>(VLOOKUP($A242,Hitters!$A1:$R401,7,FALSE)-AVERAGE(Rankings!P2:P651))/STDEV(Rankings!P2:P651)</f>
        <v>1.1410188027534527</v>
      </c>
      <c r="J242" s="118">
        <f>(VLOOKUP($A242,Hitters!$A1:$R401,8,FALSE)-AVERAGE(Rankings!Q2:Q651))/STDEV(Rankings!Q2:Q651)</f>
        <v>1.4976547173027805</v>
      </c>
      <c r="K242" s="157">
        <f>(VLOOKUP($A242,Hitters!$A$1:$R$401,14,FALSE)-AVERAGE(Rankings!R$2:R$651))/STDEV(Rankings!R$2:R$651)</f>
        <v>-8.830784776839605E-2</v>
      </c>
      <c r="L242" s="157">
        <f>(VLOOKUP($A242,Hitters!$A$1:$R$401,15,FALSE)-AVERAGE(Rankings!S$2:S$651))/STDEV(Rankings!S$2:S$651)</f>
        <v>-5.405627425880865E-2</v>
      </c>
      <c r="M242" s="157">
        <f>(VLOOKUP($A242,Hitters!$A$1:$R$401,9,FALSE)-AVERAGE(Rankings!T$2:T$651))/STDEV(Rankings!T$2:T$651)</f>
        <v>0.66355870902357039</v>
      </c>
      <c r="N242" s="157">
        <f>(VLOOKUP($A242,Hitters!$A$1:$R$401,10,FALSE)-AVERAGE(Rankings!U$2:U$651))/STDEV(Rankings!U$2:U$651)</f>
        <v>0.32592218640332471</v>
      </c>
      <c r="O242" s="157">
        <f>(VLOOKUP($A242,Hitters!$A$1:$R$401,11,FALSE)-AVERAGE(Rankings!V$2:V$651))/STDEV(Rankings!V$2:V$651)</f>
        <v>0.29196384796146668</v>
      </c>
      <c r="P242" s="157">
        <f>(VLOOKUP($A242,Hitters!$A$1:$R$401,12,FALSE)-AVERAGE(Rankings!W$2:W$651))/STDEV(Rankings!W$2:W$651)</f>
        <v>0.52788585816466371</v>
      </c>
      <c r="Q242" s="157">
        <f>(VLOOKUP($A242,Hitters!$A$1:$R$401,13,FALSE)-AVERAGE(Rankings!X$2:X$651))/STDEV(Rankings!X$2:X$651)</f>
        <v>1.8117847421717681</v>
      </c>
      <c r="R242" s="118">
        <f>(VLOOKUP($A242,Hitters!$A1:$R401,16,FALSE)-AVERAGE(Rankings!Y2:Y651))/STDEV(Rankings!Y2:Y651)</f>
        <v>1.0148500560707665</v>
      </c>
      <c r="S242" s="118">
        <f>(VLOOKUP($A242,Hitters!$A1:$R401,17,FALSE)-AVERAGE(Rankings!Z2:Z651))/STDEV(Rankings!Z2:Z651)</f>
        <v>0.72161715637019097</v>
      </c>
      <c r="T242" s="118">
        <f>IFERROR((VLOOKUP($A242,Hitters!$A1:$R401,18,FALSE)-AVERAGE(Rankings!AA2:AA651))/STDEV(Rankings!AA2:AA651),0)</f>
        <v>0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</row>
    <row r="243" spans="1:37" ht="18.600000000000001" customHeight="1">
      <c r="A243" s="26" t="s">
        <v>157</v>
      </c>
      <c r="B243" s="27" t="s">
        <v>158</v>
      </c>
      <c r="C243" s="123" t="s">
        <v>23</v>
      </c>
      <c r="D243" s="67">
        <f>(F243*Settings!$C$2)+(G243*Settings!$C$3)+(H243*Settings!$C$4)+(I243*Settings!$C$5)+(J243*Settings!$C$6)+(M243*Settings!$C$9)+(N243*Settings!$C$10)+(O243*Settings!$C$11)+(P243*Settings!$C$12)+(Q243*Settings!$C$13)+(T243*Settings!$C$16)+(K243*Settings!$C$7)+(L243*Settings!$C$8)+(R243*Settings!$C$14)+(S243*Settings!$C$15)</f>
        <v>3.5531339872330232</v>
      </c>
      <c r="E243" s="67"/>
      <c r="F243" s="118">
        <f>(VLOOKUP($A243,Hitters!$A1:$R401,4,FALSE)-AVERAGE(Rankings!M2:M651))/STDEV(Rankings!M2:M651)</f>
        <v>0.5888217962517579</v>
      </c>
      <c r="G243" s="118">
        <f>(VLOOKUP($A243,Hitters!$A1:$R401,5,FALSE)-AVERAGE(Rankings!N2:N651))/STDEV(Rankings!N2:N651)</f>
        <v>0.74912463440681909</v>
      </c>
      <c r="H243" s="118">
        <f>(VLOOKUP($A243,Hitters!$A1:$R401,6,FALSE)-AVERAGE(Rankings!O2:O651))/STDEV(Rankings!O2:O651)</f>
        <v>0.74861933258640712</v>
      </c>
      <c r="I243" s="118">
        <f>(VLOOKUP($A243,Hitters!$A1:$R401,7,FALSE)-AVERAGE(Rankings!P2:P651))/STDEV(Rankings!P2:P651)</f>
        <v>0.67044610309711539</v>
      </c>
      <c r="J243" s="118">
        <f>(VLOOKUP($A243,Hitters!$A1:$R401,8,FALSE)-AVERAGE(Rankings!Q2:Q651))/STDEV(Rankings!Q2:Q651)</f>
        <v>0.54175428368671397</v>
      </c>
      <c r="K243" s="157">
        <f>(VLOOKUP($A243,Hitters!$A$1:$R$401,14,FALSE)-AVERAGE(Rankings!R$2:R$651))/STDEV(Rankings!R$2:R$651)</f>
        <v>0.84318963345596731</v>
      </c>
      <c r="L243" s="157">
        <f>(VLOOKUP($A243,Hitters!$A$1:$R$401,15,FALSE)-AVERAGE(Rankings!S$2:S$651))/STDEV(Rankings!S$2:S$651)</f>
        <v>1.4016352893265167</v>
      </c>
      <c r="M243" s="157">
        <f>(VLOOKUP($A243,Hitters!$A$1:$R$401,9,FALSE)-AVERAGE(Rankings!T$2:T$651))/STDEV(Rankings!T$2:T$651)</f>
        <v>0.68136749030595734</v>
      </c>
      <c r="N243" s="157">
        <f>(VLOOKUP($A243,Hitters!$A$1:$R$401,10,FALSE)-AVERAGE(Rankings!U$2:U$651))/STDEV(Rankings!U$2:U$651)</f>
        <v>0.66921671965397844</v>
      </c>
      <c r="O243" s="157">
        <f>(VLOOKUP($A243,Hitters!$A$1:$R$401,11,FALSE)-AVERAGE(Rankings!V$2:V$651))/STDEV(Rankings!V$2:V$651)</f>
        <v>0.26253961852842828</v>
      </c>
      <c r="P243" s="157">
        <f>(VLOOKUP($A243,Hitters!$A$1:$R$401,12,FALSE)-AVERAGE(Rankings!W$2:W$651))/STDEV(Rankings!W$2:W$651)</f>
        <v>1.1176665760057254</v>
      </c>
      <c r="Q243" s="157">
        <f>(VLOOKUP($A243,Hitters!$A$1:$R$401,13,FALSE)-AVERAGE(Rankings!X$2:X$651))/STDEV(Rankings!X$2:X$651)</f>
        <v>0.73338598646712749</v>
      </c>
      <c r="R243" s="118">
        <f>(VLOOKUP($A243,Hitters!$A1:$R401,16,FALSE)-AVERAGE(Rankings!Y2:Y651))/STDEV(Rankings!Y2:Y651)</f>
        <v>1.0448441841066252</v>
      </c>
      <c r="S243" s="118">
        <f>(VLOOKUP($A243,Hitters!$A1:$R401,17,FALSE)-AVERAGE(Rankings!Z2:Z651))/STDEV(Rankings!Z2:Z651)</f>
        <v>1.2914956097165051</v>
      </c>
      <c r="T243" s="118">
        <f>IFERROR((VLOOKUP($A243,Hitters!$A1:$R401,18,FALSE)-AVERAGE(Rankings!AA2:AA651))/STDEV(Rankings!AA2:AA651),0)</f>
        <v>0</v>
      </c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</row>
    <row r="244" spans="1:37" ht="18.600000000000001" customHeight="1">
      <c r="A244" s="26" t="s">
        <v>155</v>
      </c>
      <c r="B244" s="27" t="s">
        <v>156</v>
      </c>
      <c r="C244" s="123" t="s">
        <v>23</v>
      </c>
      <c r="D244" s="67">
        <f>(F244*Settings!$C$2)+(G244*Settings!$C$3)+(H244*Settings!$C$4)+(I244*Settings!$C$5)+(J244*Settings!$C$6)+(M244*Settings!$C$9)+(N244*Settings!$C$10)+(O244*Settings!$C$11)+(P244*Settings!$C$12)+(Q244*Settings!$C$13)+(T244*Settings!$C$16)+(K244*Settings!$C$7)+(L244*Settings!$C$8)+(R244*Settings!$C$14)+(S244*Settings!$C$15)</f>
        <v>4.8279778401401439</v>
      </c>
      <c r="E244" s="67"/>
      <c r="F244" s="118">
        <f>(VLOOKUP($A244,Hitters!$A1:$R401,4,FALSE)-AVERAGE(Rankings!M2:M651))/STDEV(Rankings!M2:M651)</f>
        <v>0.69826003174966622</v>
      </c>
      <c r="G244" s="118">
        <f>(VLOOKUP($A244,Hitters!$A1:$R401,5,FALSE)-AVERAGE(Rankings!N2:N651))/STDEV(Rankings!N2:N651)</f>
        <v>1.2623526308696653</v>
      </c>
      <c r="H244" s="118">
        <f>(VLOOKUP($A244,Hitters!$A1:$R401,6,FALSE)-AVERAGE(Rankings!O2:O651))/STDEV(Rankings!O2:O651)</f>
        <v>2.0956363277820453</v>
      </c>
      <c r="I244" s="118">
        <f>(VLOOKUP($A244,Hitters!$A1:$R401,7,FALSE)-AVERAGE(Rankings!P2:P651))/STDEV(Rankings!P2:P651)</f>
        <v>0.99426230489972434</v>
      </c>
      <c r="J244" s="118">
        <f>(VLOOKUP($A244,Hitters!$A1:$R401,8,FALSE)-AVERAGE(Rankings!Q2:Q651))/STDEV(Rankings!Q2:Q651)</f>
        <v>0.60753740294134295</v>
      </c>
      <c r="K244" s="157">
        <f>(VLOOKUP($A244,Hitters!$A$1:$R$401,14,FALSE)-AVERAGE(Rankings!R$2:R$651))/STDEV(Rankings!R$2:R$651)</f>
        <v>-0.13181082635263372</v>
      </c>
      <c r="L244" s="157">
        <f>(VLOOKUP($A244,Hitters!$A$1:$R$401,15,FALSE)-AVERAGE(Rankings!S$2:S$651))/STDEV(Rankings!S$2:S$651)</f>
        <v>-0.37192135597437848</v>
      </c>
      <c r="M244" s="157">
        <f>(VLOOKUP($A244,Hitters!$A$1:$R$401,9,FALSE)-AVERAGE(Rankings!T$2:T$651))/STDEV(Rankings!T$2:T$651)</f>
        <v>0.54390790215360763</v>
      </c>
      <c r="N244" s="157">
        <f>(VLOOKUP($A244,Hitters!$A$1:$R$401,10,FALSE)-AVERAGE(Rankings!U$2:U$651))/STDEV(Rankings!U$2:U$651)</f>
        <v>0.92054147989539026</v>
      </c>
      <c r="O244" s="157">
        <f>(VLOOKUP($A244,Hitters!$A$1:$R$401,11,FALSE)-AVERAGE(Rankings!V$2:V$651))/STDEV(Rankings!V$2:V$651)</f>
        <v>1.1896651362070321</v>
      </c>
      <c r="P244" s="157">
        <f>(VLOOKUP($A244,Hitters!$A$1:$R$401,12,FALSE)-AVERAGE(Rankings!W$2:W$651))/STDEV(Rankings!W$2:W$651)</f>
        <v>0.16418500153081383</v>
      </c>
      <c r="Q244" s="157">
        <f>(VLOOKUP($A244,Hitters!$A$1:$R$401,13,FALSE)-AVERAGE(Rankings!X$2:X$651))/STDEV(Rankings!X$2:X$651)</f>
        <v>1.6112680789477898</v>
      </c>
      <c r="R244" s="118">
        <f>(VLOOKUP($A244,Hitters!$A1:$R401,16,FALSE)-AVERAGE(Rankings!Y2:Y651))/STDEV(Rankings!Y2:Y651)</f>
        <v>2.2524436794448532</v>
      </c>
      <c r="S244" s="118">
        <f>(VLOOKUP($A244,Hitters!$A1:$R401,17,FALSE)-AVERAGE(Rankings!Z2:Z651))/STDEV(Rankings!Z2:Z651)</f>
        <v>1.5067662521299527</v>
      </c>
      <c r="T244" s="118">
        <f>IFERROR((VLOOKUP($A244,Hitters!$A1:$R401,18,FALSE)-AVERAGE(Rankings!AA2:AA651))/STDEV(Rankings!AA2:AA651),0)</f>
        <v>0</v>
      </c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</row>
    <row r="245" spans="1:37" ht="18.600000000000001" customHeight="1">
      <c r="A245" s="26" t="s">
        <v>173</v>
      </c>
      <c r="B245" s="27" t="s">
        <v>68</v>
      </c>
      <c r="C245" s="123" t="s">
        <v>23</v>
      </c>
      <c r="D245" s="67">
        <f>(F245*Settings!$C$2)+(G245*Settings!$C$3)+(H245*Settings!$C$4)+(I245*Settings!$C$5)+(J245*Settings!$C$6)+(M245*Settings!$C$9)+(N245*Settings!$C$10)+(O245*Settings!$C$11)+(P245*Settings!$C$12)+(Q245*Settings!$C$13)+(T245*Settings!$C$16)+(K245*Settings!$C$7)+(L245*Settings!$C$8)+(R245*Settings!$C$14)+(S245*Settings!$C$15)</f>
        <v>3.140166208718691</v>
      </c>
      <c r="E245" s="67"/>
      <c r="F245" s="118">
        <f>(VLOOKUP($A245,Hitters!$A1:$R401,4,FALSE)-AVERAGE(Rankings!M2:M651))/STDEV(Rankings!M2:M651)</f>
        <v>0.64863885037279856</v>
      </c>
      <c r="G245" s="118">
        <f>(VLOOKUP($A245,Hitters!$A1:$R401,5,FALSE)-AVERAGE(Rankings!N2:N651))/STDEV(Rankings!N2:N651)</f>
        <v>0.71085930835917321</v>
      </c>
      <c r="H245" s="118">
        <f>(VLOOKUP($A245,Hitters!$A1:$R401,6,FALSE)-AVERAGE(Rankings!O2:O651))/STDEV(Rankings!O2:O651)</f>
        <v>2.1326946287185229</v>
      </c>
      <c r="I245" s="118">
        <f>(VLOOKUP($A245,Hitters!$A1:$R401,7,FALSE)-AVERAGE(Rankings!P2:P651))/STDEV(Rankings!P2:P651)</f>
        <v>1.5326494362039065</v>
      </c>
      <c r="J245" s="118">
        <f>(VLOOKUP($A245,Hitters!$A1:$R401,8,FALSE)-AVERAGE(Rankings!Q2:Q651))/STDEV(Rankings!Q2:Q651)</f>
        <v>-0.96237180819717782</v>
      </c>
      <c r="K245" s="157">
        <f>(VLOOKUP($A245,Hitters!$A$1:$R$401,14,FALSE)-AVERAGE(Rankings!R$2:R$651))/STDEV(Rankings!R$2:R$651)</f>
        <v>-0.27366535636573475</v>
      </c>
      <c r="L245" s="157">
        <f>(VLOOKUP($A245,Hitters!$A$1:$R$401,15,FALSE)-AVERAGE(Rankings!S$2:S$651))/STDEV(Rankings!S$2:S$651)</f>
        <v>0.49967168541072299</v>
      </c>
      <c r="M245" s="157">
        <f>(VLOOKUP($A245,Hitters!$A$1:$R$401,9,FALSE)-AVERAGE(Rankings!T$2:T$651))/STDEV(Rankings!T$2:T$651)</f>
        <v>0.46651709887170384</v>
      </c>
      <c r="N245" s="157">
        <f>(VLOOKUP($A245,Hitters!$A$1:$R$401,10,FALSE)-AVERAGE(Rankings!U$2:U$651))/STDEV(Rankings!U$2:U$651)</f>
        <v>-0.31981692477509954</v>
      </c>
      <c r="O245" s="157">
        <f>(VLOOKUP($A245,Hitters!$A$1:$R$401,11,FALSE)-AVERAGE(Rankings!V$2:V$651))/STDEV(Rankings!V$2:V$651)</f>
        <v>-1.3838342432491777</v>
      </c>
      <c r="P245" s="157">
        <f>(VLOOKUP($A245,Hitters!$A$1:$R$401,12,FALSE)-AVERAGE(Rankings!W$2:W$651))/STDEV(Rankings!W$2:W$651)</f>
        <v>1.0961101313560824</v>
      </c>
      <c r="Q245" s="157">
        <f>(VLOOKUP($A245,Hitters!$A$1:$R$401,13,FALSE)-AVERAGE(Rankings!X$2:X$651))/STDEV(Rankings!X$2:X$651)</f>
        <v>1.6945968030475267</v>
      </c>
      <c r="R245" s="118">
        <f>(VLOOKUP($A245,Hitters!$A1:$R401,16,FALSE)-AVERAGE(Rankings!Y2:Y651))/STDEV(Rankings!Y2:Y651)</f>
        <v>1.5443900682095728</v>
      </c>
      <c r="S245" s="118">
        <f>(VLOOKUP($A245,Hitters!$A1:$R401,17,FALSE)-AVERAGE(Rankings!Z2:Z651))/STDEV(Rankings!Z2:Z651)</f>
        <v>1.3171953390111257</v>
      </c>
      <c r="T245" s="118">
        <f>IFERROR((VLOOKUP($A245,Hitters!$A1:$R401,18,FALSE)-AVERAGE(Rankings!AA2:AA651))/STDEV(Rankings!AA2:AA651),0)</f>
        <v>0</v>
      </c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</row>
    <row r="246" spans="1:37" ht="18.600000000000001" customHeight="1">
      <c r="A246" s="26" t="s">
        <v>168</v>
      </c>
      <c r="B246" s="27" t="s">
        <v>84</v>
      </c>
      <c r="C246" s="123" t="s">
        <v>23</v>
      </c>
      <c r="D246" s="67">
        <f>(F246*Settings!$C$2)+(G246*Settings!$C$3)+(H246*Settings!$C$4)+(I246*Settings!$C$5)+(J246*Settings!$C$6)+(M246*Settings!$C$9)+(N246*Settings!$C$10)+(O246*Settings!$C$11)+(P246*Settings!$C$12)+(Q246*Settings!$C$13)+(T246*Settings!$C$16)+(K246*Settings!$C$7)+(L246*Settings!$C$8)+(R246*Settings!$C$14)+(S246*Settings!$C$15)</f>
        <v>4.1224363439837415</v>
      </c>
      <c r="E246" s="67"/>
      <c r="F246" s="118">
        <f>(VLOOKUP($A246,Hitters!$A1:$R401,4,FALSE)-AVERAGE(Rankings!M2:M651))/STDEV(Rankings!M2:M651)</f>
        <v>1.0501369840402162</v>
      </c>
      <c r="G246" s="118">
        <f>(VLOOKUP($A246,Hitters!$A1:$R401,5,FALSE)-AVERAGE(Rankings!N2:N651))/STDEV(Rankings!N2:N651)</f>
        <v>1.4068944707578197</v>
      </c>
      <c r="H246" s="118">
        <f>(VLOOKUP($A246,Hitters!$A1:$R401,6,FALSE)-AVERAGE(Rankings!O2:O651))/STDEV(Rankings!O2:O651)</f>
        <v>1.0065959577803851</v>
      </c>
      <c r="I246" s="118">
        <f>(VLOOKUP($A246,Hitters!$A1:$R401,7,FALSE)-AVERAGE(Rankings!P2:P651))/STDEV(Rankings!P2:P651)</f>
        <v>0.85590498226134937</v>
      </c>
      <c r="J246" s="118">
        <f>(VLOOKUP($A246,Hitters!$A1:$R401,8,FALSE)-AVERAGE(Rankings!Q2:Q651))/STDEV(Rankings!Q2:Q651)</f>
        <v>2.5741090063227726E-2</v>
      </c>
      <c r="K246" s="157">
        <f>(VLOOKUP($A246,Hitters!$A$1:$R$401,14,FALSE)-AVERAGE(Rankings!R$2:R$651))/STDEV(Rankings!R$2:R$651)</f>
        <v>0.82729984312096017</v>
      </c>
      <c r="L246" s="157">
        <f>(VLOOKUP($A246,Hitters!$A$1:$R$401,15,FALSE)-AVERAGE(Rankings!S$2:S$651))/STDEV(Rankings!S$2:S$651)</f>
        <v>1.280063183909447</v>
      </c>
      <c r="M246" s="157">
        <f>(VLOOKUP($A246,Hitters!$A$1:$R$401,9,FALSE)-AVERAGE(Rankings!T$2:T$651))/STDEV(Rankings!T$2:T$651)</f>
        <v>1.1075164019485964</v>
      </c>
      <c r="N246" s="157">
        <f>(VLOOKUP($A246,Hitters!$A$1:$R$401,10,FALSE)-AVERAGE(Rankings!U$2:U$651))/STDEV(Rankings!U$2:U$651)</f>
        <v>1.1614242571750539</v>
      </c>
      <c r="O246" s="157">
        <f>(VLOOKUP($A246,Hitters!$A$1:$R$401,11,FALSE)-AVERAGE(Rankings!V$2:V$651))/STDEV(Rankings!V$2:V$651)</f>
        <v>0.3086550640093812</v>
      </c>
      <c r="P246" s="157">
        <f>(VLOOKUP($A246,Hitters!$A$1:$R$401,12,FALSE)-AVERAGE(Rankings!W$2:W$651))/STDEV(Rankings!W$2:W$651)</f>
        <v>1.4047613457595658</v>
      </c>
      <c r="Q246" s="157">
        <f>(VLOOKUP($A246,Hitters!$A$1:$R$401,13,FALSE)-AVERAGE(Rankings!X$2:X$651))/STDEV(Rankings!X$2:X$651)</f>
        <v>1.1172943394406054</v>
      </c>
      <c r="R246" s="118">
        <f>(VLOOKUP($A246,Hitters!$A1:$R401,16,FALSE)-AVERAGE(Rankings!Y2:Y651))/STDEV(Rankings!Y2:Y651)</f>
        <v>0.97349229689988992</v>
      </c>
      <c r="S246" s="118">
        <f>(VLOOKUP($A246,Hitters!$A1:$R401,17,FALSE)-AVERAGE(Rankings!Z2:Z651))/STDEV(Rankings!Z2:Z651)</f>
        <v>1.1935685000803695</v>
      </c>
      <c r="T246" s="118">
        <f>IFERROR((VLOOKUP($A246,Hitters!$A1:$R401,18,FALSE)-AVERAGE(Rankings!AA2:AA651))/STDEV(Rankings!AA2:AA651),0)</f>
        <v>0</v>
      </c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</row>
    <row r="247" spans="1:37" ht="18.600000000000001" customHeight="1">
      <c r="A247" s="26" t="s">
        <v>139</v>
      </c>
      <c r="B247" s="27" t="s">
        <v>140</v>
      </c>
      <c r="C247" s="123" t="s">
        <v>23</v>
      </c>
      <c r="D247" s="67">
        <f>(F247*Settings!$C$2)+(G247*Settings!$C$3)+(H247*Settings!$C$4)+(I247*Settings!$C$5)+(J247*Settings!$C$6)+(M247*Settings!$C$9)+(N247*Settings!$C$10)+(O247*Settings!$C$11)+(P247*Settings!$C$12)+(Q247*Settings!$C$13)+(T247*Settings!$C$16)+(K247*Settings!$C$7)+(L247*Settings!$C$8)+(R247*Settings!$C$14)+(S247*Settings!$C$15)</f>
        <v>0.55026198900089696</v>
      </c>
      <c r="E247" s="67"/>
      <c r="F247" s="118">
        <f>(VLOOKUP($A247,Hitters!$A1:$R401,4,FALSE)-AVERAGE(Rankings!M2:M651))/STDEV(Rankings!M2:M651)</f>
        <v>-0.19943301761682705</v>
      </c>
      <c r="G247" s="118">
        <f>(VLOOKUP($A247,Hitters!$A1:$R401,5,FALSE)-AVERAGE(Rankings!N2:N651))/STDEV(Rankings!N2:N651)</f>
        <v>-0.23110185468137079</v>
      </c>
      <c r="H247" s="118">
        <f>(VLOOKUP($A247,Hitters!$A1:$R401,6,FALSE)-AVERAGE(Rankings!O2:O651))/STDEV(Rankings!O2:O651)</f>
        <v>-0.76770255062823001</v>
      </c>
      <c r="I247" s="118">
        <f>(VLOOKUP($A247,Hitters!$A1:$R401,7,FALSE)-AVERAGE(Rankings!P2:P651))/STDEV(Rankings!P2:P651)</f>
        <v>-0.73912129797584403</v>
      </c>
      <c r="J247" s="118">
        <f>(VLOOKUP($A247,Hitters!$A1:$R401,8,FALSE)-AVERAGE(Rankings!Q2:Q651))/STDEV(Rankings!Q2:Q651)</f>
        <v>2.8906507759668343</v>
      </c>
      <c r="K247" s="157">
        <f>(VLOOKUP($A247,Hitters!$A$1:$R$401,14,FALSE)-AVERAGE(Rankings!R$2:R$651))/STDEV(Rankings!R$2:R$651)</f>
        <v>-0.60246308368049262</v>
      </c>
      <c r="L247" s="157">
        <f>(VLOOKUP($A247,Hitters!$A$1:$R$401,15,FALSE)-AVERAGE(Rankings!S$2:S$651))/STDEV(Rankings!S$2:S$651)</f>
        <v>-0.73001100571446675</v>
      </c>
      <c r="M247" s="157">
        <f>(VLOOKUP($A247,Hitters!$A$1:$R$401,9,FALSE)-AVERAGE(Rankings!T$2:T$651))/STDEV(Rankings!T$2:T$651)</f>
        <v>-0.32118953803922551</v>
      </c>
      <c r="N247" s="157">
        <f>(VLOOKUP($A247,Hitters!$A$1:$R$401,10,FALSE)-AVERAGE(Rankings!U$2:U$651))/STDEV(Rankings!U$2:U$651)</f>
        <v>-6.2783498024380727E-2</v>
      </c>
      <c r="O247" s="157">
        <f>(VLOOKUP($A247,Hitters!$A$1:$R$401,11,FALSE)-AVERAGE(Rankings!V$2:V$651))/STDEV(Rankings!V$2:V$651)</f>
        <v>0.32610930707662961</v>
      </c>
      <c r="P247" s="157">
        <f>(VLOOKUP($A247,Hitters!$A$1:$R$401,12,FALSE)-AVERAGE(Rankings!W$2:W$651))/STDEV(Rankings!W$2:W$651)</f>
        <v>-0.37916429773074734</v>
      </c>
      <c r="Q247" s="157">
        <f>(VLOOKUP($A247,Hitters!$A$1:$R$401,13,FALSE)-AVERAGE(Rankings!X$2:X$651))/STDEV(Rankings!X$2:X$651)</f>
        <v>-0.10550991865234527</v>
      </c>
      <c r="R247" s="118">
        <f>(VLOOKUP($A247,Hitters!$A1:$R401,16,FALSE)-AVERAGE(Rankings!Y2:Y651))/STDEV(Rankings!Y2:Y651)</f>
        <v>-1.0347354519343122</v>
      </c>
      <c r="S247" s="118">
        <f>(VLOOKUP($A247,Hitters!$A1:$R401,17,FALSE)-AVERAGE(Rankings!Z2:Z651))/STDEV(Rankings!Z2:Z651)</f>
        <v>-1.0312684148437479</v>
      </c>
      <c r="T247" s="118">
        <f>IFERROR((VLOOKUP($A247,Hitters!$A1:$R401,18,FALSE)-AVERAGE(Rankings!AA2:AA651))/STDEV(Rankings!AA2:AA651),0)</f>
        <v>0</v>
      </c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</row>
    <row r="248" spans="1:37" ht="18.600000000000001" customHeight="1">
      <c r="A248" s="26" t="s">
        <v>165</v>
      </c>
      <c r="B248" s="27" t="s">
        <v>97</v>
      </c>
      <c r="C248" s="123" t="s">
        <v>23</v>
      </c>
      <c r="D248" s="67">
        <f>(F248*Settings!$C$2)+(G248*Settings!$C$3)+(H248*Settings!$C$4)+(I248*Settings!$C$5)+(J248*Settings!$C$6)+(M248*Settings!$C$9)+(N248*Settings!$C$10)+(O248*Settings!$C$11)+(P248*Settings!$C$12)+(Q248*Settings!$C$13)+(T248*Settings!$C$16)+(K248*Settings!$C$7)+(L248*Settings!$C$8)+(R248*Settings!$C$14)+(S248*Settings!$C$15)</f>
        <v>4.3990376097373458</v>
      </c>
      <c r="E248" s="67"/>
      <c r="F248" s="118">
        <f>(VLOOKUP($A248,Hitters!$A1:$R401,4,FALSE)-AVERAGE(Rankings!M2:M651))/STDEV(Rankings!M2:M651)</f>
        <v>1.1560033900766795</v>
      </c>
      <c r="G248" s="118">
        <f>(VLOOKUP($A248,Hitters!$A1:$R401,5,FALSE)-AVERAGE(Rankings!N2:N651))/STDEV(Rankings!N2:N651)</f>
        <v>1.6067215486370856</v>
      </c>
      <c r="H248" s="118">
        <f>(VLOOKUP($A248,Hitters!$A1:$R401,6,FALSE)-AVERAGE(Rankings!O2:O651))/STDEV(Rankings!O2:O651)</f>
        <v>0.49613875991853518</v>
      </c>
      <c r="I248" s="118">
        <f>(VLOOKUP($A248,Hitters!$A1:$R401,7,FALSE)-AVERAGE(Rankings!P2:P651))/STDEV(Rankings!P2:P651)</f>
        <v>0.5787322001546723</v>
      </c>
      <c r="J248" s="118">
        <f>(VLOOKUP($A248,Hitters!$A1:$R401,8,FALSE)-AVERAGE(Rankings!Q2:Q651))/STDEV(Rankings!Q2:Q651)</f>
        <v>1.5153943413478497</v>
      </c>
      <c r="K248" s="157">
        <f>(VLOOKUP($A248,Hitters!$A$1:$R$401,14,FALSE)-AVERAGE(Rankings!R$2:R$651))/STDEV(Rankings!R$2:R$651)</f>
        <v>0.20205075967920261</v>
      </c>
      <c r="L248" s="157">
        <f>(VLOOKUP($A248,Hitters!$A$1:$R$401,15,FALSE)-AVERAGE(Rankings!S$2:S$651))/STDEV(Rankings!S$2:S$651)</f>
        <v>1.761705696746134</v>
      </c>
      <c r="M248" s="157">
        <f>(VLOOKUP($A248,Hitters!$A$1:$R$401,9,FALSE)-AVERAGE(Rankings!T$2:T$651))/STDEV(Rankings!T$2:T$651)</f>
        <v>1.0331090806325069</v>
      </c>
      <c r="N248" s="157">
        <f>(VLOOKUP($A248,Hitters!$A$1:$R$401,10,FALSE)-AVERAGE(Rankings!U$2:U$651))/STDEV(Rankings!U$2:U$651)</f>
        <v>0.81646589147445148</v>
      </c>
      <c r="O248" s="157">
        <f>(VLOOKUP($A248,Hitters!$A$1:$R$401,11,FALSE)-AVERAGE(Rankings!V$2:V$651))/STDEV(Rankings!V$2:V$651)</f>
        <v>1.1646760013238679</v>
      </c>
      <c r="P248" s="157">
        <f>(VLOOKUP($A248,Hitters!$A$1:$R$401,12,FALSE)-AVERAGE(Rankings!W$2:W$651))/STDEV(Rankings!W$2:W$651)</f>
        <v>2.6385264630682892</v>
      </c>
      <c r="Q248" s="157">
        <f>(VLOOKUP($A248,Hitters!$A$1:$R$401,13,FALSE)-AVERAGE(Rankings!X$2:X$651))/STDEV(Rankings!X$2:X$651)</f>
        <v>1.6335983293349088</v>
      </c>
      <c r="R248" s="118">
        <f>(VLOOKUP($A248,Hitters!$A1:$R401,16,FALSE)-AVERAGE(Rankings!Y2:Y651))/STDEV(Rankings!Y2:Y651)</f>
        <v>2.2687445376312676E-2</v>
      </c>
      <c r="S248" s="118">
        <f>(VLOOKUP($A248,Hitters!$A1:$R401,17,FALSE)-AVERAGE(Rankings!Z2:Z651))/STDEV(Rankings!Z2:Z651)</f>
        <v>0.67973840489175319</v>
      </c>
      <c r="T248" s="118">
        <f>IFERROR((VLOOKUP($A248,Hitters!$A1:$R401,18,FALSE)-AVERAGE(Rankings!AA2:AA651))/STDEV(Rankings!AA2:AA651),0)</f>
        <v>0</v>
      </c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</row>
    <row r="249" spans="1:37" ht="18.600000000000001" customHeight="1">
      <c r="A249" s="26" t="s">
        <v>175</v>
      </c>
      <c r="B249" s="27" t="s">
        <v>176</v>
      </c>
      <c r="C249" s="123" t="s">
        <v>23</v>
      </c>
      <c r="D249" s="67">
        <f>(F249*Settings!$C$2)+(G249*Settings!$C$3)+(H249*Settings!$C$4)+(I249*Settings!$C$5)+(J249*Settings!$C$6)+(M249*Settings!$C$9)+(N249*Settings!$C$10)+(O249*Settings!$C$11)+(P249*Settings!$C$12)+(Q249*Settings!$C$13)+(T249*Settings!$C$16)+(K249*Settings!$C$7)+(L249*Settings!$C$8)+(R249*Settings!$C$14)+(S249*Settings!$C$15)</f>
        <v>4.0481356077361843</v>
      </c>
      <c r="E249" s="67"/>
      <c r="F249" s="118">
        <f>(VLOOKUP($A249,Hitters!$A1:$R401,4,FALSE)-AVERAGE(Rankings!M2:M651))/STDEV(Rankings!M2:M651)</f>
        <v>0.77959888976347613</v>
      </c>
      <c r="G249" s="118">
        <f>(VLOOKUP($A249,Hitters!$A1:$R401,5,FALSE)-AVERAGE(Rankings!N2:N651))/STDEV(Rankings!N2:N651)</f>
        <v>1.1977111954749939</v>
      </c>
      <c r="H249" s="118">
        <f>(VLOOKUP($A249,Hitters!$A1:$R401,6,FALSE)-AVERAGE(Rankings!O2:O651))/STDEV(Rankings!O2:O651)</f>
        <v>0.76111954330642795</v>
      </c>
      <c r="I249" s="118">
        <f>(VLOOKUP($A249,Hitters!$A1:$R401,7,FALSE)-AVERAGE(Rankings!P2:P651))/STDEV(Rankings!P2:P651)</f>
        <v>0.76799361500731245</v>
      </c>
      <c r="J249" s="118">
        <f>(VLOOKUP($A249,Hitters!$A1:$R401,8,FALSE)-AVERAGE(Rankings!Q2:Q651))/STDEV(Rankings!Q2:Q651)</f>
        <v>-0.13565781084682332</v>
      </c>
      <c r="K249" s="157">
        <f>(VLOOKUP($A249,Hitters!$A$1:$R$401,14,FALSE)-AVERAGE(Rankings!R$2:R$651))/STDEV(Rankings!R$2:R$651)</f>
        <v>1.456969064794273</v>
      </c>
      <c r="L249" s="157">
        <f>(VLOOKUP($A249,Hitters!$A$1:$R$401,15,FALSE)-AVERAGE(Rankings!S$2:S$651))/STDEV(Rankings!S$2:S$651)</f>
        <v>1.5808665909618376</v>
      </c>
      <c r="M249" s="157">
        <f>(VLOOKUP($A249,Hitters!$A$1:$R$401,9,FALSE)-AVERAGE(Rankings!T$2:T$651))/STDEV(Rankings!T$2:T$651)</f>
        <v>1.0135786565189437</v>
      </c>
      <c r="N249" s="157">
        <f>(VLOOKUP($A249,Hitters!$A$1:$R$401,10,FALSE)-AVERAGE(Rankings!U$2:U$651))/STDEV(Rankings!U$2:U$651)</f>
        <v>1.4233344342101055</v>
      </c>
      <c r="O249" s="157">
        <f>(VLOOKUP($A249,Hitters!$A$1:$R$401,11,FALSE)-AVERAGE(Rankings!V$2:V$651))/STDEV(Rankings!V$2:V$651)</f>
        <v>0.30531682079979833</v>
      </c>
      <c r="P249" s="157">
        <f>(VLOOKUP($A249,Hitters!$A$1:$R$401,12,FALSE)-AVERAGE(Rankings!W$2:W$651))/STDEV(Rankings!W$2:W$651)</f>
        <v>0.98797024094083519</v>
      </c>
      <c r="Q249" s="157">
        <f>(VLOOKUP($A249,Hitters!$A$1:$R$401,13,FALSE)-AVERAGE(Rankings!X$2:X$651))/STDEV(Rankings!X$2:X$651)</f>
        <v>0.58767066208104701</v>
      </c>
      <c r="R249" s="118">
        <f>(VLOOKUP($A249,Hitters!$A1:$R401,16,FALSE)-AVERAGE(Rankings!Y2:Y651))/STDEV(Rankings!Y2:Y651)</f>
        <v>1.3884464388995368</v>
      </c>
      <c r="S249" s="118">
        <f>(VLOOKUP($A249,Hitters!$A1:$R401,17,FALSE)-AVERAGE(Rankings!Z2:Z651))/STDEV(Rankings!Z2:Z651)</f>
        <v>1.6101678400321955</v>
      </c>
      <c r="T249" s="118">
        <f>IFERROR((VLOOKUP($A249,Hitters!$A1:$R401,18,FALSE)-AVERAGE(Rankings!AA2:AA651))/STDEV(Rankings!AA2:AA651),0)</f>
        <v>0</v>
      </c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</row>
    <row r="250" spans="1:37" ht="18.600000000000001" customHeight="1">
      <c r="A250" s="26" t="s">
        <v>184</v>
      </c>
      <c r="B250" s="27" t="s">
        <v>103</v>
      </c>
      <c r="C250" s="123" t="s">
        <v>23</v>
      </c>
      <c r="D250" s="67">
        <f>(F250*Settings!$C$2)+(G250*Settings!$C$3)+(H250*Settings!$C$4)+(I250*Settings!$C$5)+(J250*Settings!$C$6)+(M250*Settings!$C$9)+(N250*Settings!$C$10)+(O250*Settings!$C$11)+(P250*Settings!$C$12)+(Q250*Settings!$C$13)+(T250*Settings!$C$16)+(K250*Settings!$C$7)+(L250*Settings!$C$8)+(R250*Settings!$C$14)+(S250*Settings!$C$15)</f>
        <v>3.1852108600101925</v>
      </c>
      <c r="E250" s="67"/>
      <c r="F250" s="118">
        <f>(VLOOKUP($A250,Hitters!$A1:$R401,4,FALSE)-AVERAGE(Rankings!M2:M651))/STDEV(Rankings!M2:M651)</f>
        <v>1.2169631761543398</v>
      </c>
      <c r="G250" s="118">
        <f>(VLOOKUP($A250,Hitters!$A1:$R401,5,FALSE)-AVERAGE(Rankings!N2:N651))/STDEV(Rankings!N2:N651)</f>
        <v>0.95320764110502043</v>
      </c>
      <c r="H250" s="118">
        <f>(VLOOKUP($A250,Hitters!$A1:$R401,6,FALSE)-AVERAGE(Rankings!O2:O651))/STDEV(Rankings!O2:O651)</f>
        <v>-0.13350406369954126</v>
      </c>
      <c r="I250" s="118">
        <f>(VLOOKUP($A250,Hitters!$A1:$R401,7,FALSE)-AVERAGE(Rankings!P2:P651))/STDEV(Rankings!P2:P651)</f>
        <v>0.80062313811665753</v>
      </c>
      <c r="J250" s="118">
        <f>(VLOOKUP($A250,Hitters!$A1:$R401,8,FALSE)-AVERAGE(Rankings!Q2:Q651))/STDEV(Rankings!Q2:Q651)</f>
        <v>-0.33982187686552379</v>
      </c>
      <c r="K250" s="157">
        <f>(VLOOKUP($A250,Hitters!$A$1:$R$401,14,FALSE)-AVERAGE(Rankings!R$2:R$651))/STDEV(Rankings!R$2:R$651)</f>
        <v>1.9047060213535798</v>
      </c>
      <c r="L250" s="157">
        <f>(VLOOKUP($A250,Hitters!$A$1:$R$401,15,FALSE)-AVERAGE(Rankings!S$2:S$651))/STDEV(Rankings!S$2:S$651)</f>
        <v>1.1663693790397491</v>
      </c>
      <c r="M250" s="157">
        <f>(VLOOKUP($A250,Hitters!$A$1:$R$401,9,FALSE)-AVERAGE(Rankings!T$2:T$651))/STDEV(Rankings!T$2:T$651)</f>
        <v>1.5656875707047353</v>
      </c>
      <c r="N250" s="157">
        <f>(VLOOKUP($A250,Hitters!$A$1:$R$401,10,FALSE)-AVERAGE(Rankings!U$2:U$651))/STDEV(Rankings!U$2:U$651)</f>
        <v>1.836997605387044</v>
      </c>
      <c r="O250" s="157">
        <f>(VLOOKUP($A250,Hitters!$A$1:$R$401,11,FALSE)-AVERAGE(Rankings!V$2:V$651))/STDEV(Rankings!V$2:V$651)</f>
        <v>0.29482519928396644</v>
      </c>
      <c r="P250" s="157">
        <f>(VLOOKUP($A250,Hitters!$A$1:$R$401,12,FALSE)-AVERAGE(Rankings!W$2:W$651))/STDEV(Rankings!W$2:W$651)</f>
        <v>0.45137618591228912</v>
      </c>
      <c r="Q250" s="157">
        <f>(VLOOKUP($A250,Hitters!$A$1:$R$401,13,FALSE)-AVERAGE(Rankings!X$2:X$651))/STDEV(Rankings!X$2:X$651)</f>
        <v>-0.21622467949774793</v>
      </c>
      <c r="R250" s="118">
        <f>(VLOOKUP($A250,Hitters!$A1:$R401,16,FALSE)-AVERAGE(Rankings!Y2:Y651))/STDEV(Rankings!Y2:Y651)</f>
        <v>0.33412011769319988</v>
      </c>
      <c r="S250" s="118">
        <f>(VLOOKUP($A250,Hitters!$A1:$R401,17,FALSE)-AVERAGE(Rankings!Z2:Z651))/STDEV(Rankings!Z2:Z651)</f>
        <v>0.68332966752811386</v>
      </c>
      <c r="T250" s="118">
        <f>IFERROR((VLOOKUP($A250,Hitters!$A1:$R401,18,FALSE)-AVERAGE(Rankings!AA2:AA651))/STDEV(Rankings!AA2:AA651),0)</f>
        <v>0</v>
      </c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</row>
    <row r="251" spans="1:37" ht="18.600000000000001" customHeight="1">
      <c r="A251" s="26" t="s">
        <v>187</v>
      </c>
      <c r="B251" s="27" t="s">
        <v>91</v>
      </c>
      <c r="C251" s="123" t="s">
        <v>23</v>
      </c>
      <c r="D251" s="67">
        <f>(F251*Settings!$C$2)+(G251*Settings!$C$3)+(H251*Settings!$C$4)+(I251*Settings!$C$5)+(J251*Settings!$C$6)+(M251*Settings!$C$9)+(N251*Settings!$C$10)+(O251*Settings!$C$11)+(P251*Settings!$C$12)+(Q251*Settings!$C$13)+(T251*Settings!$C$16)+(K251*Settings!$C$7)+(L251*Settings!$C$8)+(R251*Settings!$C$14)+(S251*Settings!$C$15)</f>
        <v>3.6650301695282685</v>
      </c>
      <c r="E251" s="67"/>
      <c r="F251" s="118">
        <f>(VLOOKUP($A251,Hitters!$A1:$R401,4,FALSE)-AVERAGE(Rankings!M2:M651))/STDEV(Rankings!M2:M651)</f>
        <v>1.2230042360359099</v>
      </c>
      <c r="G251" s="118">
        <f>(VLOOKUP($A251,Hitters!$A1:$R401,5,FALSE)-AVERAGE(Rankings!N2:N651))/STDEV(Rankings!N2:N651)</f>
        <v>0.90878472009950428</v>
      </c>
      <c r="H251" s="118">
        <f>(VLOOKUP($A251,Hitters!$A1:$R401,6,FALSE)-AVERAGE(Rankings!O2:O651))/STDEV(Rankings!O2:O651)</f>
        <v>0.8654679169959818</v>
      </c>
      <c r="I251" s="118">
        <f>(VLOOKUP($A251,Hitters!$A1:$R401,7,FALSE)-AVERAGE(Rankings!P2:P651))/STDEV(Rankings!P2:P651)</f>
        <v>1.2725804290812226</v>
      </c>
      <c r="J251" s="118">
        <f>(VLOOKUP($A251,Hitters!$A1:$R401,8,FALSE)-AVERAGE(Rankings!Q2:Q651))/STDEV(Rankings!Q2:Q651)</f>
        <v>-0.25888484215989466</v>
      </c>
      <c r="K251" s="157">
        <f>(VLOOKUP($A251,Hitters!$A$1:$R$401,14,FALSE)-AVERAGE(Rankings!R$2:R$651))/STDEV(Rankings!R$2:R$651)</f>
        <v>0.87708194551145435</v>
      </c>
      <c r="L251" s="157">
        <f>(VLOOKUP($A251,Hitters!$A$1:$R$401,15,FALSE)-AVERAGE(Rankings!S$2:S$651))/STDEV(Rankings!S$2:S$651)</f>
        <v>-3.6315918449413725E-3</v>
      </c>
      <c r="M251" s="157">
        <f>(VLOOKUP($A251,Hitters!$A$1:$R$401,9,FALSE)-AVERAGE(Rankings!T$2:T$651))/STDEV(Rankings!T$2:T$651)</f>
        <v>1.2826312169300211</v>
      </c>
      <c r="N251" s="157">
        <f>(VLOOKUP($A251,Hitters!$A$1:$R$401,10,FALSE)-AVERAGE(Rankings!U$2:U$651))/STDEV(Rankings!U$2:U$651)</f>
        <v>1.6110893201569203</v>
      </c>
      <c r="O251" s="157">
        <f>(VLOOKUP($A251,Hitters!$A$1:$R$401,11,FALSE)-AVERAGE(Rankings!V$2:V$651))/STDEV(Rankings!V$2:V$651)</f>
        <v>2.0135806148327429E-3</v>
      </c>
      <c r="P251" s="157">
        <f>(VLOOKUP($A251,Hitters!$A$1:$R$401,12,FALSE)-AVERAGE(Rankings!W$2:W$651))/STDEV(Rankings!W$2:W$651)</f>
        <v>2.842698552202641E-2</v>
      </c>
      <c r="Q251" s="157">
        <f>(VLOOKUP($A251,Hitters!$A$1:$R$401,13,FALSE)-AVERAGE(Rankings!X$2:X$651))/STDEV(Rankings!X$2:X$651)</f>
        <v>1.2048372734462149</v>
      </c>
      <c r="R251" s="118">
        <f>(VLOOKUP($A251,Hitters!$A1:$R401,16,FALSE)-AVERAGE(Rankings!Y2:Y651))/STDEV(Rankings!Y2:Y651)</f>
        <v>0.78793120695582619</v>
      </c>
      <c r="S251" s="118">
        <f>(VLOOKUP($A251,Hitters!$A1:$R401,17,FALSE)-AVERAGE(Rankings!Z2:Z651))/STDEV(Rankings!Z2:Z651)</f>
        <v>0.57469853836536955</v>
      </c>
      <c r="T251" s="118">
        <f>IFERROR((VLOOKUP($A251,Hitters!$A1:$R401,18,FALSE)-AVERAGE(Rankings!AA2:AA651))/STDEV(Rankings!AA2:AA651),0)</f>
        <v>0</v>
      </c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</row>
    <row r="252" spans="1:37" ht="18.600000000000001" customHeight="1">
      <c r="A252" s="26" t="s">
        <v>195</v>
      </c>
      <c r="B252" s="27" t="s">
        <v>84</v>
      </c>
      <c r="C252" s="123" t="s">
        <v>23</v>
      </c>
      <c r="D252" s="67">
        <f>(F252*Settings!$C$2)+(G252*Settings!$C$3)+(H252*Settings!$C$4)+(I252*Settings!$C$5)+(J252*Settings!$C$6)+(M252*Settings!$C$9)+(N252*Settings!$C$10)+(O252*Settings!$C$11)+(P252*Settings!$C$12)+(Q252*Settings!$C$13)+(T252*Settings!$C$16)+(K252*Settings!$C$7)+(L252*Settings!$C$8)+(R252*Settings!$C$14)+(S252*Settings!$C$15)</f>
        <v>2.8677611888541397</v>
      </c>
      <c r="E252" s="67"/>
      <c r="F252" s="118">
        <f>(VLOOKUP($A252,Hitters!$A1:$R401,4,FALSE)-AVERAGE(Rankings!M2:M651))/STDEV(Rankings!M2:M651)</f>
        <v>0.7926104033545498</v>
      </c>
      <c r="G252" s="118">
        <f>(VLOOKUP($A252,Hitters!$A1:$R401,5,FALSE)-AVERAGE(Rankings!N2:N651))/STDEV(Rankings!N2:N651)</f>
        <v>0.7553836515587663</v>
      </c>
      <c r="H252" s="118">
        <f>(VLOOKUP($A252,Hitters!$A1:$R401,6,FALSE)-AVERAGE(Rankings!O2:O651))/STDEV(Rankings!O2:O651)</f>
        <v>1.8112208339406246</v>
      </c>
      <c r="I252" s="118">
        <f>(VLOOKUP($A252,Hitters!$A1:$R401,7,FALSE)-AVERAGE(Rankings!P2:P651))/STDEV(Rankings!P2:P651)</f>
        <v>1.2677699923669743</v>
      </c>
      <c r="J252" s="118">
        <f>(VLOOKUP($A252,Hitters!$A1:$R401,8,FALSE)-AVERAGE(Rankings!Q2:Q651))/STDEV(Rankings!Q2:Q651)</f>
        <v>-0.68368548223914571</v>
      </c>
      <c r="K252" s="157">
        <f>(VLOOKUP($A252,Hitters!$A$1:$R$401,14,FALSE)-AVERAGE(Rankings!R$2:R$651))/STDEV(Rankings!R$2:R$651)</f>
        <v>-0.28292780677307983</v>
      </c>
      <c r="L252" s="157">
        <f>(VLOOKUP($A252,Hitters!$A$1:$R$401,15,FALSE)-AVERAGE(Rankings!S$2:S$651))/STDEV(Rankings!S$2:S$651)</f>
        <v>-0.38591942605778201</v>
      </c>
      <c r="M252" s="157">
        <f>(VLOOKUP($A252,Hitters!$A$1:$R$401,9,FALSE)-AVERAGE(Rankings!T$2:T$651))/STDEV(Rankings!T$2:T$651)</f>
        <v>0.58759374652050989</v>
      </c>
      <c r="N252" s="157">
        <f>(VLOOKUP($A252,Hitters!$A$1:$R$401,10,FALSE)-AVERAGE(Rankings!U$2:U$651))/STDEV(Rankings!U$2:U$651)</f>
        <v>0.64448872703577309</v>
      </c>
      <c r="O252" s="157">
        <f>(VLOOKUP($A252,Hitters!$A$1:$R$401,11,FALSE)-AVERAGE(Rankings!V$2:V$651))/STDEV(Rankings!V$2:V$651)</f>
        <v>-0.5521347921759383</v>
      </c>
      <c r="P252" s="157">
        <f>(VLOOKUP($A252,Hitters!$A$1:$R$401,12,FALSE)-AVERAGE(Rankings!W$2:W$651))/STDEV(Rankings!W$2:W$651)</f>
        <v>0.32261600578024374</v>
      </c>
      <c r="Q252" s="157">
        <f>(VLOOKUP($A252,Hitters!$A$1:$R$401,13,FALSE)-AVERAGE(Rankings!X$2:X$651))/STDEV(Rankings!X$2:X$651)</f>
        <v>0.9981448311409582</v>
      </c>
      <c r="R252" s="118">
        <f>(VLOOKUP($A252,Hitters!$A1:$R401,16,FALSE)-AVERAGE(Rankings!Y2:Y651))/STDEV(Rankings!Y2:Y651)</f>
        <v>1.4118665625320015</v>
      </c>
      <c r="S252" s="118">
        <f>(VLOOKUP($A252,Hitters!$A1:$R401,17,FALSE)-AVERAGE(Rankings!Z2:Z651))/STDEV(Rankings!Z2:Z651)</f>
        <v>0.88695469204660882</v>
      </c>
      <c r="T252" s="118">
        <f>IFERROR((VLOOKUP($A252,Hitters!$A1:$R401,18,FALSE)-AVERAGE(Rankings!AA2:AA651))/STDEV(Rankings!AA2:AA651),0)</f>
        <v>0</v>
      </c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</row>
    <row r="253" spans="1:37" ht="18.600000000000001" customHeight="1">
      <c r="A253" s="26" t="s">
        <v>178</v>
      </c>
      <c r="B253" s="27" t="s">
        <v>120</v>
      </c>
      <c r="C253" s="123" t="s">
        <v>23</v>
      </c>
      <c r="D253" s="67">
        <f>(F253*Settings!$C$2)+(G253*Settings!$C$3)+(H253*Settings!$C$4)+(I253*Settings!$C$5)+(J253*Settings!$C$6)+(M253*Settings!$C$9)+(N253*Settings!$C$10)+(O253*Settings!$C$11)+(P253*Settings!$C$12)+(Q253*Settings!$C$13)+(T253*Settings!$C$16)+(K253*Settings!$C$7)+(L253*Settings!$C$8)+(R253*Settings!$C$14)+(S253*Settings!$C$15)</f>
        <v>3.7859885360649921</v>
      </c>
      <c r="E253" s="67"/>
      <c r="F253" s="118">
        <f>(VLOOKUP($A253,Hitters!$A1:$R401,4,FALSE)-AVERAGE(Rankings!M2:M651))/STDEV(Rankings!M2:M651)</f>
        <v>0.88681714136784295</v>
      </c>
      <c r="G253" s="118">
        <f>(VLOOKUP($A253,Hitters!$A1:$R401,5,FALSE)-AVERAGE(Rankings!N2:N651))/STDEV(Rankings!N2:N651)</f>
        <v>1.0761566958742834</v>
      </c>
      <c r="H253" s="118">
        <f>(VLOOKUP($A253,Hitters!$A1:$R401,6,FALSE)-AVERAGE(Rankings!O2:O651))/STDEV(Rankings!O2:O651)</f>
        <v>0.29385059089686311</v>
      </c>
      <c r="I253" s="118">
        <f>(VLOOKUP($A253,Hitters!$A1:$R401,7,FALSE)-AVERAGE(Rankings!P2:P651))/STDEV(Rankings!P2:P651)</f>
        <v>0.46030382961818284</v>
      </c>
      <c r="J253" s="118">
        <f>(VLOOKUP($A253,Hitters!$A1:$R401,8,FALSE)-AVERAGE(Rankings!Q2:Q651))/STDEV(Rankings!Q2:Q651)</f>
        <v>1.8874512777930996</v>
      </c>
      <c r="K253" s="157">
        <f>(VLOOKUP($A253,Hitters!$A$1:$R$401,14,FALSE)-AVERAGE(Rankings!R$2:R$651))/STDEV(Rankings!R$2:R$651)</f>
        <v>6.8226141882563013E-2</v>
      </c>
      <c r="L253" s="157">
        <f>(VLOOKUP($A253,Hitters!$A$1:$R$401,15,FALSE)-AVERAGE(Rankings!S$2:S$651))/STDEV(Rankings!S$2:S$651)</f>
        <v>0.42900216794851609</v>
      </c>
      <c r="M253" s="157">
        <f>(VLOOKUP($A253,Hitters!$A$1:$R$401,9,FALSE)-AVERAGE(Rankings!T$2:T$651))/STDEV(Rankings!T$2:T$651)</f>
        <v>0.75906907295929993</v>
      </c>
      <c r="N253" s="157">
        <f>(VLOOKUP($A253,Hitters!$A$1:$R$401,10,FALSE)-AVERAGE(Rankings!U$2:U$651))/STDEV(Rankings!U$2:U$651)</f>
        <v>0.73908333916864077</v>
      </c>
      <c r="O253" s="157">
        <f>(VLOOKUP($A253,Hitters!$A$1:$R$401,11,FALSE)-AVERAGE(Rankings!V$2:V$651))/STDEV(Rankings!V$2:V$651)</f>
        <v>4.5906673181301478</v>
      </c>
      <c r="P253" s="157">
        <f>(VLOOKUP($A253,Hitters!$A$1:$R$401,12,FALSE)-AVERAGE(Rankings!W$2:W$651))/STDEV(Rankings!W$2:W$651)</f>
        <v>0.95494045560261542</v>
      </c>
      <c r="Q253" s="157">
        <f>(VLOOKUP($A253,Hitters!$A$1:$R$401,13,FALSE)-AVERAGE(Rankings!X$2:X$651))/STDEV(Rankings!X$2:X$651)</f>
        <v>1.5489661108799013</v>
      </c>
      <c r="R253" s="118">
        <f>(VLOOKUP($A253,Hitters!$A1:$R401,16,FALSE)-AVERAGE(Rankings!Y2:Y651))/STDEV(Rankings!Y2:Y651)</f>
        <v>0.34172692867029653</v>
      </c>
      <c r="S253" s="118">
        <f>(VLOOKUP($A253,Hitters!$A1:$R401,17,FALSE)-AVERAGE(Rankings!Z2:Z651))/STDEV(Rankings!Z2:Z651)</f>
        <v>0.41133199321109931</v>
      </c>
      <c r="T253" s="118">
        <f>IFERROR((VLOOKUP($A253,Hitters!$A1:$R401,18,FALSE)-AVERAGE(Rankings!AA2:AA651))/STDEV(Rankings!AA2:AA651),0)</f>
        <v>0</v>
      </c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</row>
    <row r="254" spans="1:37" ht="18.600000000000001" customHeight="1">
      <c r="A254" s="26" t="s">
        <v>191</v>
      </c>
      <c r="B254" s="27" t="s">
        <v>103</v>
      </c>
      <c r="C254" s="123" t="s">
        <v>23</v>
      </c>
      <c r="D254" s="67">
        <f>(F254*Settings!$C$2)+(G254*Settings!$C$3)+(H254*Settings!$C$4)+(I254*Settings!$C$5)+(J254*Settings!$C$6)+(M254*Settings!$C$9)+(N254*Settings!$C$10)+(O254*Settings!$C$11)+(P254*Settings!$C$12)+(Q254*Settings!$C$13)+(T254*Settings!$C$16)+(K254*Settings!$C$7)+(L254*Settings!$C$8)+(R254*Settings!$C$14)+(S254*Settings!$C$15)</f>
        <v>3.6281601272496804</v>
      </c>
      <c r="E254" s="67"/>
      <c r="F254" s="118">
        <f>(VLOOKUP($A254,Hitters!$A1:$R401,4,FALSE)-AVERAGE(Rankings!M2:M651))/STDEV(Rankings!M2:M651)</f>
        <v>0.60081731340820344</v>
      </c>
      <c r="G254" s="118">
        <f>(VLOOKUP($A254,Hitters!$A1:$R401,5,FALSE)-AVERAGE(Rankings!N2:N651))/STDEV(Rankings!N2:N651)</f>
        <v>0.74344118820625571</v>
      </c>
      <c r="H254" s="118">
        <f>(VLOOKUP($A254,Hitters!$A1:$R401,6,FALSE)-AVERAGE(Rankings!O2:O651))/STDEV(Rankings!O2:O651)</f>
        <v>0.28444669874192963</v>
      </c>
      <c r="I254" s="118">
        <f>(VLOOKUP($A254,Hitters!$A1:$R401,7,FALSE)-AVERAGE(Rankings!P2:P651))/STDEV(Rankings!P2:P651)</f>
        <v>0.77466205108738151</v>
      </c>
      <c r="J254" s="118">
        <f>(VLOOKUP($A254,Hitters!$A1:$R401,8,FALSE)-AVERAGE(Rankings!Q2:Q651))/STDEV(Rankings!Q2:Q651)</f>
        <v>-0.46795898269106967</v>
      </c>
      <c r="K254" s="157">
        <f>(VLOOKUP($A254,Hitters!$A$1:$R$401,14,FALSE)-AVERAGE(Rankings!R$2:R$651))/STDEV(Rankings!R$2:R$651)</f>
        <v>2.2935691719051832</v>
      </c>
      <c r="L254" s="157">
        <f>(VLOOKUP($A254,Hitters!$A$1:$R$401,15,FALSE)-AVERAGE(Rankings!S$2:S$651))/STDEV(Rankings!S$2:S$651)</f>
        <v>2.3667383114655691</v>
      </c>
      <c r="M254" s="157">
        <f>(VLOOKUP($A254,Hitters!$A$1:$R$401,9,FALSE)-AVERAGE(Rankings!T$2:T$651))/STDEV(Rankings!T$2:T$651)</f>
        <v>1.0393396453803923</v>
      </c>
      <c r="N254" s="157">
        <f>(VLOOKUP($A254,Hitters!$A$1:$R$401,10,FALSE)-AVERAGE(Rankings!U$2:U$651))/STDEV(Rankings!U$2:U$651)</f>
        <v>1.0330509776315864</v>
      </c>
      <c r="O254" s="157">
        <f>(VLOOKUP($A254,Hitters!$A$1:$R$401,11,FALSE)-AVERAGE(Rankings!V$2:V$651))/STDEV(Rankings!V$2:V$651)</f>
        <v>0.12028276861148589</v>
      </c>
      <c r="P254" s="157">
        <f>(VLOOKUP($A254,Hitters!$A$1:$R$401,12,FALSE)-AVERAGE(Rankings!W$2:W$651))/STDEV(Rankings!W$2:W$651)</f>
        <v>1.0110164470949048</v>
      </c>
      <c r="Q254" s="157">
        <f>(VLOOKUP($A254,Hitters!$A$1:$R$401,13,FALSE)-AVERAGE(Rankings!X$2:X$651))/STDEV(Rankings!X$2:X$651)</f>
        <v>-0.95352158375026586</v>
      </c>
      <c r="R254" s="118">
        <f>(VLOOKUP($A254,Hitters!$A1:$R401,16,FALSE)-AVERAGE(Rankings!Y2:Y651))/STDEV(Rankings!Y2:Y651)</f>
        <v>1.2429158750805611</v>
      </c>
      <c r="S254" s="118">
        <f>(VLOOKUP($A254,Hitters!$A1:$R401,17,FALSE)-AVERAGE(Rankings!Z2:Z651))/STDEV(Rankings!Z2:Z651)</f>
        <v>1.7995880502632768</v>
      </c>
      <c r="T254" s="118">
        <f>IFERROR((VLOOKUP($A254,Hitters!$A1:$R401,18,FALSE)-AVERAGE(Rankings!AA2:AA651))/STDEV(Rankings!AA2:AA651),0)</f>
        <v>0</v>
      </c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</row>
    <row r="255" spans="1:37" ht="18.600000000000001" customHeight="1">
      <c r="A255" s="26" t="s">
        <v>194</v>
      </c>
      <c r="B255" s="27" t="s">
        <v>95</v>
      </c>
      <c r="C255" s="123" t="s">
        <v>23</v>
      </c>
      <c r="D255" s="67">
        <f>(F255*Settings!$C$2)+(G255*Settings!$C$3)+(H255*Settings!$C$4)+(I255*Settings!$C$5)+(J255*Settings!$C$6)+(M255*Settings!$C$9)+(N255*Settings!$C$10)+(O255*Settings!$C$11)+(P255*Settings!$C$12)+(Q255*Settings!$C$13)+(T255*Settings!$C$16)+(K255*Settings!$C$7)+(L255*Settings!$C$8)+(R255*Settings!$C$14)+(S255*Settings!$C$15)</f>
        <v>3.2710666063433007</v>
      </c>
      <c r="E255" s="67"/>
      <c r="F255" s="118">
        <f>(VLOOKUP($A255,Hitters!$A1:$R401,4,FALSE)-AVERAGE(Rankings!M2:M651))/STDEV(Rankings!M2:M651)</f>
        <v>1.1097449245499733</v>
      </c>
      <c r="G255" s="118">
        <f>(VLOOKUP($A255,Hitters!$A1:$R401,5,FALSE)-AVERAGE(Rankings!N2:N651))/STDEV(Rankings!N2:N651)</f>
        <v>1.6235322773052694</v>
      </c>
      <c r="H255" s="118">
        <f>(VLOOKUP($A255,Hitters!$A1:$R401,6,FALSE)-AVERAGE(Rankings!O2:O651))/STDEV(Rankings!O2:O651)</f>
        <v>8.9472668062983318E-2</v>
      </c>
      <c r="I255" s="118">
        <f>(VLOOKUP($A255,Hitters!$A1:$R401,7,FALSE)-AVERAGE(Rankings!P2:P651))/STDEV(Rankings!P2:P651)</f>
        <v>0.46206002079957537</v>
      </c>
      <c r="J255" s="118">
        <f>(VLOOKUP($A255,Hitters!$A1:$R401,8,FALSE)-AVERAGE(Rankings!Q2:Q651))/STDEV(Rankings!Q2:Q651)</f>
        <v>-0.1185517448033634</v>
      </c>
      <c r="K255" s="157">
        <f>(VLOOKUP($A255,Hitters!$A$1:$R$401,14,FALSE)-AVERAGE(Rankings!R$2:R$651))/STDEV(Rankings!R$2:R$651)</f>
        <v>1.2145533849788359</v>
      </c>
      <c r="L255" s="157">
        <f>(VLOOKUP($A255,Hitters!$A$1:$R$401,15,FALSE)-AVERAGE(Rankings!S$2:S$651))/STDEV(Rankings!S$2:S$651)</f>
        <v>2.0670905583923558</v>
      </c>
      <c r="M255" s="157">
        <f>(VLOOKUP($A255,Hitters!$A$1:$R$401,9,FALSE)-AVERAGE(Rankings!T$2:T$651))/STDEV(Rankings!T$2:T$651)</f>
        <v>1.2690467885013395</v>
      </c>
      <c r="N255" s="157">
        <f>(VLOOKUP($A255,Hitters!$A$1:$R$401,10,FALSE)-AVERAGE(Rankings!U$2:U$651))/STDEV(Rankings!U$2:U$651)</f>
        <v>1.0759376933673372</v>
      </c>
      <c r="O255" s="157">
        <f>(VLOOKUP($A255,Hitters!$A$1:$R$401,11,FALSE)-AVERAGE(Rankings!V$2:V$651))/STDEV(Rankings!V$2:V$651)</f>
        <v>2.8981780108715895</v>
      </c>
      <c r="P255" s="157">
        <f>(VLOOKUP($A255,Hitters!$A$1:$R$401,12,FALSE)-AVERAGE(Rankings!W$2:W$651))/STDEV(Rankings!W$2:W$651)</f>
        <v>2.0577060852987352</v>
      </c>
      <c r="Q255" s="157">
        <f>(VLOOKUP($A255,Hitters!$A$1:$R$401,13,FALSE)-AVERAGE(Rankings!X$2:X$651))/STDEV(Rankings!X$2:X$651)</f>
        <v>0.52686201764346774</v>
      </c>
      <c r="R255" s="118">
        <f>(VLOOKUP($A255,Hitters!$A1:$R401,16,FALSE)-AVERAGE(Rankings!Y2:Y651))/STDEV(Rankings!Y2:Y651)</f>
        <v>0.35441664177429077</v>
      </c>
      <c r="S255" s="118">
        <f>(VLOOKUP($A255,Hitters!$A1:$R401,17,FALSE)-AVERAGE(Rankings!Z2:Z651))/STDEV(Rankings!Z2:Z651)</f>
        <v>1.0372168807837863</v>
      </c>
      <c r="T255" s="118">
        <f>IFERROR((VLOOKUP($A255,Hitters!$A1:$R401,18,FALSE)-AVERAGE(Rankings!AA2:AA651))/STDEV(Rankings!AA2:AA651),0)</f>
        <v>0</v>
      </c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</row>
    <row r="256" spans="1:37" ht="18.600000000000001" customHeight="1">
      <c r="A256" s="26" t="s">
        <v>190</v>
      </c>
      <c r="B256" s="27" t="s">
        <v>158</v>
      </c>
      <c r="C256" s="123" t="s">
        <v>23</v>
      </c>
      <c r="D256" s="67">
        <f>(F256*Settings!$C$2)+(G256*Settings!$C$3)+(H256*Settings!$C$4)+(I256*Settings!$C$5)+(J256*Settings!$C$6)+(M256*Settings!$C$9)+(N256*Settings!$C$10)+(O256*Settings!$C$11)+(P256*Settings!$C$12)+(Q256*Settings!$C$13)+(T256*Settings!$C$16)+(K256*Settings!$C$7)+(L256*Settings!$C$8)+(R256*Settings!$C$14)+(S256*Settings!$C$15)</f>
        <v>3.4019392879710217</v>
      </c>
      <c r="E256" s="67"/>
      <c r="F256" s="118">
        <f>(VLOOKUP($A256,Hitters!$A1:$R401,4,FALSE)-AVERAGE(Rankings!M2:M651))/STDEV(Rankings!M2:M651)</f>
        <v>1.2045853401732212</v>
      </c>
      <c r="G256" s="118">
        <f>(VLOOKUP($A256,Hitters!$A1:$R401,5,FALSE)-AVERAGE(Rankings!N2:N651))/STDEV(Rankings!N2:N651)</f>
        <v>1.0349539295306971</v>
      </c>
      <c r="H256" s="118">
        <f>(VLOOKUP($A256,Hitters!$A1:$R401,6,FALSE)-AVERAGE(Rankings!O2:O651))/STDEV(Rankings!O2:O651)</f>
        <v>0.85237212643948257</v>
      </c>
      <c r="I256" s="118">
        <f>(VLOOKUP($A256,Hitters!$A1:$R401,7,FALSE)-AVERAGE(Rankings!P2:P651))/STDEV(Rankings!P2:P651)</f>
        <v>1.0144203254165733</v>
      </c>
      <c r="J256" s="118">
        <f>(VLOOKUP($A256,Hitters!$A1:$R401,8,FALSE)-AVERAGE(Rankings!Q2:Q651))/STDEV(Rankings!Q2:Q651)</f>
        <v>0.41648798755596167</v>
      </c>
      <c r="K256" s="157">
        <f>(VLOOKUP($A256,Hitters!$A$1:$R$401,14,FALSE)-AVERAGE(Rankings!R$2:R$651))/STDEV(Rankings!R$2:R$651)</f>
        <v>8.3704919028307262E-2</v>
      </c>
      <c r="L256" s="157">
        <f>(VLOOKUP($A256,Hitters!$A$1:$R$401,15,FALSE)-AVERAGE(Rankings!S$2:S$651))/STDEV(Rankings!S$2:S$651)</f>
        <v>0.67135646962564677</v>
      </c>
      <c r="M256" s="157">
        <f>(VLOOKUP($A256,Hitters!$A$1:$R$401,9,FALSE)-AVERAGE(Rankings!T$2:T$651))/STDEV(Rankings!T$2:T$651)</f>
        <v>1.0431738390713985</v>
      </c>
      <c r="N256" s="157">
        <f>(VLOOKUP($A256,Hitters!$A$1:$R$401,10,FALSE)-AVERAGE(Rankings!U$2:U$651))/STDEV(Rankings!U$2:U$651)</f>
        <v>1.2050281420702653</v>
      </c>
      <c r="O256" s="157">
        <f>(VLOOKUP($A256,Hitters!$A$1:$R$401,11,FALSE)-AVERAGE(Rankings!V$2:V$651))/STDEV(Rankings!V$2:V$651)</f>
        <v>0.30340925325146528</v>
      </c>
      <c r="P256" s="157">
        <f>(VLOOKUP($A256,Hitters!$A$1:$R$401,12,FALSE)-AVERAGE(Rankings!W$2:W$651))/STDEV(Rankings!W$2:W$651)</f>
        <v>1.4733090358588476</v>
      </c>
      <c r="Q256" s="157">
        <f>(VLOOKUP($A256,Hitters!$A$1:$R$401,13,FALSE)-AVERAGE(Rankings!X$2:X$651))/STDEV(Rankings!X$2:X$651)</f>
        <v>1.654890846351813</v>
      </c>
      <c r="R256" s="118">
        <f>(VLOOKUP($A256,Hitters!$A1:$R401,16,FALSE)-AVERAGE(Rankings!Y2:Y651))/STDEV(Rankings!Y2:Y651)</f>
        <v>0.33494625922657256</v>
      </c>
      <c r="S256" s="118">
        <f>(VLOOKUP($A256,Hitters!$A1:$R401,17,FALSE)-AVERAGE(Rankings!Z2:Z651))/STDEV(Rankings!Z2:Z651)</f>
        <v>0.4976014227955593</v>
      </c>
      <c r="T256" s="118">
        <f>IFERROR((VLOOKUP($A256,Hitters!$A1:$R401,18,FALSE)-AVERAGE(Rankings!AA2:AA651))/STDEV(Rankings!AA2:AA651),0)</f>
        <v>0</v>
      </c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</row>
    <row r="257" spans="1:37" ht="18.600000000000001" customHeight="1">
      <c r="A257" s="26" t="s">
        <v>204</v>
      </c>
      <c r="B257" s="27" t="s">
        <v>76</v>
      </c>
      <c r="C257" s="123" t="s">
        <v>23</v>
      </c>
      <c r="D257" s="67">
        <f>(F257*Settings!$C$2)+(G257*Settings!$C$3)+(H257*Settings!$C$4)+(I257*Settings!$C$5)+(J257*Settings!$C$6)+(M257*Settings!$C$9)+(N257*Settings!$C$10)+(O257*Settings!$C$11)+(P257*Settings!$C$12)+(Q257*Settings!$C$13)+(T257*Settings!$C$16)+(K257*Settings!$C$7)+(L257*Settings!$C$8)+(R257*Settings!$C$14)+(S257*Settings!$C$15)</f>
        <v>1.9388241476823103</v>
      </c>
      <c r="E257" s="67"/>
      <c r="F257" s="118">
        <f>(VLOOKUP($A257,Hitters!$A1:$R401,4,FALSE)-AVERAGE(Rankings!M2:M651))/STDEV(Rankings!M2:M651)</f>
        <v>0.81863343053669713</v>
      </c>
      <c r="G257" s="118">
        <f>(VLOOKUP($A257,Hitters!$A1:$R401,5,FALSE)-AVERAGE(Rankings!N2:N651))/STDEV(Rankings!N2:N651)</f>
        <v>0.23409892955396552</v>
      </c>
      <c r="H257" s="118">
        <f>(VLOOKUP($A257,Hitters!$A1:$R401,6,FALSE)-AVERAGE(Rankings!O2:O651))/STDEV(Rankings!O2:O651)</f>
        <v>0.39165106930816707</v>
      </c>
      <c r="I257" s="118">
        <f>(VLOOKUP($A257,Hitters!$A1:$R401,7,FALSE)-AVERAGE(Rankings!P2:P651))/STDEV(Rankings!P2:P651)</f>
        <v>0.75725285155010214</v>
      </c>
      <c r="J257" s="118">
        <f>(VLOOKUP($A257,Hitters!$A1:$R401,8,FALSE)-AVERAGE(Rankings!Q2:Q651))/STDEV(Rankings!Q2:Q651)</f>
        <v>-0.63973239587747821</v>
      </c>
      <c r="K257" s="157">
        <f>(VLOOKUP($A257,Hitters!$A$1:$R$401,14,FALSE)-AVERAGE(Rankings!R$2:R$651))/STDEV(Rankings!R$2:R$651)</f>
        <v>1.1955536931475537</v>
      </c>
      <c r="L257" s="157">
        <f>(VLOOKUP($A257,Hitters!$A$1:$R$401,15,FALSE)-AVERAGE(Rankings!S$2:S$651))/STDEV(Rankings!S$2:S$651)</f>
        <v>-0.3855239000269774</v>
      </c>
      <c r="M257" s="157">
        <f>(VLOOKUP($A257,Hitters!$A$1:$R$401,9,FALSE)-AVERAGE(Rankings!T$2:T$651))/STDEV(Rankings!T$2:T$651)</f>
        <v>0.98525654609045576</v>
      </c>
      <c r="N257" s="157">
        <f>(VLOOKUP($A257,Hitters!$A$1:$R$401,10,FALSE)-AVERAGE(Rankings!U$2:U$651))/STDEV(Rankings!U$2:U$651)</f>
        <v>1.0796669729965325</v>
      </c>
      <c r="O257" s="157">
        <f>(VLOOKUP($A257,Hitters!$A$1:$R$401,11,FALSE)-AVERAGE(Rankings!V$2:V$651))/STDEV(Rankings!V$2:V$651)</f>
        <v>-0.30081276768304988</v>
      </c>
      <c r="P257" s="157">
        <f>(VLOOKUP($A257,Hitters!$A$1:$R$401,12,FALSE)-AVERAGE(Rankings!W$2:W$651))/STDEV(Rankings!W$2:W$651)</f>
        <v>-0.79330555536415159</v>
      </c>
      <c r="Q257" s="157">
        <f>(VLOOKUP($A257,Hitters!$A$1:$R$401,13,FALSE)-AVERAGE(Rankings!X$2:X$651))/STDEV(Rankings!X$2:X$651)</f>
        <v>0.29682057450838162</v>
      </c>
      <c r="R257" s="118">
        <f>(VLOOKUP($A257,Hitters!$A1:$R401,16,FALSE)-AVERAGE(Rankings!Y2:Y651))/STDEV(Rankings!Y2:Y651)</f>
        <v>0.61437957765276396</v>
      </c>
      <c r="S257" s="118">
        <f>(VLOOKUP($A257,Hitters!$A1:$R401,17,FALSE)-AVERAGE(Rankings!Z2:Z651))/STDEV(Rankings!Z2:Z651)</f>
        <v>0.30406416977975431</v>
      </c>
      <c r="T257" s="118">
        <f>IFERROR((VLOOKUP($A257,Hitters!$A1:$R401,18,FALSE)-AVERAGE(Rankings!AA2:AA651))/STDEV(Rankings!AA2:AA651),0)</f>
        <v>0</v>
      </c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</row>
    <row r="258" spans="1:37" ht="18.600000000000001" customHeight="1">
      <c r="A258" s="26" t="s">
        <v>216</v>
      </c>
      <c r="B258" s="27" t="s">
        <v>217</v>
      </c>
      <c r="C258" s="123" t="s">
        <v>23</v>
      </c>
      <c r="D258" s="67">
        <f>(F258*Settings!$C$2)+(G258*Settings!$C$3)+(H258*Settings!$C$4)+(I258*Settings!$C$5)+(J258*Settings!$C$6)+(M258*Settings!$C$9)+(N258*Settings!$C$10)+(O258*Settings!$C$11)+(P258*Settings!$C$12)+(Q258*Settings!$C$13)+(T258*Settings!$C$16)+(K258*Settings!$C$7)+(L258*Settings!$C$8)+(R258*Settings!$C$14)+(S258*Settings!$C$15)</f>
        <v>2.1555914804261267</v>
      </c>
      <c r="E258" s="67"/>
      <c r="F258" s="118">
        <f>(VLOOKUP($A258,Hitters!$A1:$R401,4,FALSE)-AVERAGE(Rankings!M2:M651))/STDEV(Rankings!M2:M651)</f>
        <v>0.70735964222861925</v>
      </c>
      <c r="G258" s="118">
        <f>(VLOOKUP($A258,Hitters!$A1:$R401,5,FALSE)-AVERAGE(Rankings!N2:N651))/STDEV(Rankings!N2:N651)</f>
        <v>0.77242258016362131</v>
      </c>
      <c r="H258" s="118">
        <f>(VLOOKUP($A258,Hitters!$A1:$R401,6,FALSE)-AVERAGE(Rankings!O2:O651))/STDEV(Rankings!O2:O651)</f>
        <v>1.0200400406389192</v>
      </c>
      <c r="I258" s="118">
        <f>(VLOOKUP($A258,Hitters!$A1:$R401,7,FALSE)-AVERAGE(Rankings!P2:P651))/STDEV(Rankings!P2:P651)</f>
        <v>0.92294567170753772</v>
      </c>
      <c r="J258" s="118">
        <f>(VLOOKUP($A258,Hitters!$A1:$R401,8,FALSE)-AVERAGE(Rankings!Q2:Q651))/STDEV(Rankings!Q2:Q651)</f>
        <v>-0.79938901228310277</v>
      </c>
      <c r="K258" s="157">
        <f>(VLOOKUP($A258,Hitters!$A$1:$R$401,14,FALSE)-AVERAGE(Rankings!R$2:R$651))/STDEV(Rankings!R$2:R$651)</f>
        <v>0.23957220019915074</v>
      </c>
      <c r="L258" s="157">
        <f>(VLOOKUP($A258,Hitters!$A$1:$R$401,15,FALSE)-AVERAGE(Rankings!S$2:S$651))/STDEV(Rankings!S$2:S$651)</f>
        <v>0.30778654930508259</v>
      </c>
      <c r="M258" s="157">
        <f>(VLOOKUP($A258,Hitters!$A$1:$R$401,9,FALSE)-AVERAGE(Rankings!T$2:T$651))/STDEV(Rankings!T$2:T$651)</f>
        <v>0.64327941895473328</v>
      </c>
      <c r="N258" s="157">
        <f>(VLOOKUP($A258,Hitters!$A$1:$R$401,10,FALSE)-AVERAGE(Rankings!U$2:U$651))/STDEV(Rankings!U$2:U$651)</f>
        <v>0.26403048794186545</v>
      </c>
      <c r="O258" s="157">
        <f>(VLOOKUP($A258,Hitters!$A$1:$R$401,11,FALSE)-AVERAGE(Rankings!V$2:V$651))/STDEV(Rankings!V$2:V$651)</f>
        <v>0.29577898305813277</v>
      </c>
      <c r="P258" s="157">
        <f>(VLOOKUP($A258,Hitters!$A$1:$R$401,12,FALSE)-AVERAGE(Rankings!W$2:W$651))/STDEV(Rankings!W$2:W$651)</f>
        <v>0.56100894798124068</v>
      </c>
      <c r="Q258" s="157">
        <f>(VLOOKUP($A258,Hitters!$A$1:$R$401,13,FALSE)-AVERAGE(Rankings!X$2:X$651))/STDEV(Rankings!X$2:X$651)</f>
        <v>0.97672576127402766</v>
      </c>
      <c r="R258" s="118">
        <f>(VLOOKUP($A258,Hitters!$A1:$R401,16,FALSE)-AVERAGE(Rankings!Y2:Y651))/STDEV(Rankings!Y2:Y651)</f>
        <v>0.79884523612868619</v>
      </c>
      <c r="S258" s="118">
        <f>(VLOOKUP($A258,Hitters!$A1:$R401,17,FALSE)-AVERAGE(Rankings!Z2:Z651))/STDEV(Rankings!Z2:Z651)</f>
        <v>0.69990142531365329</v>
      </c>
      <c r="T258" s="118">
        <f>IFERROR((VLOOKUP($A258,Hitters!$A1:$R401,18,FALSE)-AVERAGE(Rankings!AA2:AA651))/STDEV(Rankings!AA2:AA651),0)</f>
        <v>0</v>
      </c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</row>
    <row r="259" spans="1:37" ht="18.600000000000001" customHeight="1">
      <c r="A259" s="26" t="s">
        <v>212</v>
      </c>
      <c r="B259" s="27" t="s">
        <v>176</v>
      </c>
      <c r="C259" s="123" t="s">
        <v>23</v>
      </c>
      <c r="D259" s="67">
        <f>(F259*Settings!$C$2)+(G259*Settings!$C$3)+(H259*Settings!$C$4)+(I259*Settings!$C$5)+(J259*Settings!$C$6)+(M259*Settings!$C$9)+(N259*Settings!$C$10)+(O259*Settings!$C$11)+(P259*Settings!$C$12)+(Q259*Settings!$C$13)+(T259*Settings!$C$16)+(K259*Settings!$C$7)+(L259*Settings!$C$8)+(R259*Settings!$C$14)+(S259*Settings!$C$15)</f>
        <v>1.7356110584836966</v>
      </c>
      <c r="E259" s="67"/>
      <c r="F259" s="118">
        <f>(VLOOKUP($A259,Hitters!$A1:$R401,4,FALSE)-AVERAGE(Rankings!M2:M651))/STDEV(Rankings!M2:M651)</f>
        <v>0.67584474242686277</v>
      </c>
      <c r="G259" s="118">
        <f>(VLOOKUP($A259,Hitters!$A1:$R401,5,FALSE)-AVERAGE(Rankings!N2:N651))/STDEV(Rankings!N2:N651)</f>
        <v>0.48620914847967844</v>
      </c>
      <c r="H259" s="118">
        <f>(VLOOKUP($A259,Hitters!$A1:$R401,6,FALSE)-AVERAGE(Rankings!O2:O651))/STDEV(Rankings!O2:O651)</f>
        <v>-8.5021775256330825E-2</v>
      </c>
      <c r="I259" s="118">
        <f>(VLOOKUP($A259,Hitters!$A1:$R401,7,FALSE)-AVERAGE(Rankings!P2:P651))/STDEV(Rankings!P2:P651)</f>
        <v>0.5714020108758181</v>
      </c>
      <c r="J259" s="118">
        <f>(VLOOKUP($A259,Hitters!$A1:$R401,8,FALSE)-AVERAGE(Rankings!Q2:Q651))/STDEV(Rankings!Q2:Q651)</f>
        <v>-0.46605830868624076</v>
      </c>
      <c r="K259" s="157">
        <f>(VLOOKUP($A259,Hitters!$A$1:$R$401,14,FALSE)-AVERAGE(Rankings!R$2:R$651))/STDEV(Rankings!R$2:R$651)</f>
        <v>1.2290799830707717</v>
      </c>
      <c r="L259" s="157">
        <f>(VLOOKUP($A259,Hitters!$A$1:$R$401,15,FALSE)-AVERAGE(Rankings!S$2:S$651))/STDEV(Rankings!S$2:S$651)</f>
        <v>0.49968405528037563</v>
      </c>
      <c r="M259" s="157">
        <f>(VLOOKUP($A259,Hitters!$A$1:$R$401,9,FALSE)-AVERAGE(Rankings!T$2:T$651))/STDEV(Rankings!T$2:T$651)</f>
        <v>0.8567960801226423</v>
      </c>
      <c r="N259" s="157">
        <f>(VLOOKUP($A259,Hitters!$A$1:$R$401,10,FALSE)-AVERAGE(Rankings!U$2:U$651))/STDEV(Rankings!U$2:U$651)</f>
        <v>0.47530852231899068</v>
      </c>
      <c r="O259" s="157">
        <f>(VLOOKUP($A259,Hitters!$A$1:$R$401,11,FALSE)-AVERAGE(Rankings!V$2:V$651))/STDEV(Rankings!V$2:V$651)</f>
        <v>2.0440646411054355</v>
      </c>
      <c r="P259" s="157">
        <f>(VLOOKUP($A259,Hitters!$A$1:$R$401,12,FALSE)-AVERAGE(Rankings!W$2:W$651))/STDEV(Rankings!W$2:W$651)</f>
        <v>-1.9935835759454377E-2</v>
      </c>
      <c r="Q259" s="157">
        <f>(VLOOKUP($A259,Hitters!$A$1:$R$401,13,FALSE)-AVERAGE(Rankings!X$2:X$651))/STDEV(Rankings!X$2:X$651)</f>
        <v>2.3434780239328011E-2</v>
      </c>
      <c r="R259" s="118">
        <f>(VLOOKUP($A259,Hitters!$A1:$R401,16,FALSE)-AVERAGE(Rankings!Y2:Y651))/STDEV(Rankings!Y2:Y651)</f>
        <v>0.25920500569555432</v>
      </c>
      <c r="S259" s="118">
        <f>(VLOOKUP($A259,Hitters!$A1:$R401,17,FALSE)-AVERAGE(Rankings!Z2:Z651))/STDEV(Rankings!Z2:Z651)</f>
        <v>0.37760656071196236</v>
      </c>
      <c r="T259" s="118">
        <f>IFERROR((VLOOKUP($A259,Hitters!$A1:$R401,18,FALSE)-AVERAGE(Rankings!AA2:AA651))/STDEV(Rankings!AA2:AA651),0)</f>
        <v>0</v>
      </c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</row>
    <row r="260" spans="1:37" ht="18.600000000000001" customHeight="1">
      <c r="A260" s="26" t="s">
        <v>215</v>
      </c>
      <c r="B260" s="27" t="s">
        <v>120</v>
      </c>
      <c r="C260" s="123" t="s">
        <v>23</v>
      </c>
      <c r="D260" s="67">
        <f>(F260*Settings!$C$2)+(G260*Settings!$C$3)+(H260*Settings!$C$4)+(I260*Settings!$C$5)+(J260*Settings!$C$6)+(M260*Settings!$C$9)+(N260*Settings!$C$10)+(O260*Settings!$C$11)+(P260*Settings!$C$12)+(Q260*Settings!$C$13)+(T260*Settings!$C$16)+(K260*Settings!$C$7)+(L260*Settings!$C$8)+(R260*Settings!$C$14)+(S260*Settings!$C$15)</f>
        <v>2.1763944914278768</v>
      </c>
      <c r="E260" s="67"/>
      <c r="F260" s="118">
        <f>(VLOOKUP($A260,Hitters!$A1:$R401,4,FALSE)-AVERAGE(Rankings!M2:M651))/STDEV(Rankings!M2:M651)</f>
        <v>0.75235075253541639</v>
      </c>
      <c r="G260" s="118">
        <f>(VLOOKUP($A260,Hitters!$A1:$R401,5,FALSE)-AVERAGE(Rankings!N2:N651))/STDEV(Rankings!N2:N651)</f>
        <v>0.31860897276822725</v>
      </c>
      <c r="H260" s="118">
        <f>(VLOOKUP($A260,Hitters!$A1:$R401,6,FALSE)-AVERAGE(Rankings!O2:O651))/STDEV(Rankings!O2:O651)</f>
        <v>-0.10417785186823146</v>
      </c>
      <c r="I260" s="118">
        <f>(VLOOKUP($A260,Hitters!$A1:$R401,7,FALSE)-AVERAGE(Rankings!P2:P651))/STDEV(Rankings!P2:P651)</f>
        <v>0.54085955554725873</v>
      </c>
      <c r="J260" s="118">
        <f>(VLOOKUP($A260,Hitters!$A1:$R401,8,FALSE)-AVERAGE(Rankings!Q2:Q651))/STDEV(Rankings!Q2:Q651)</f>
        <v>-0.27599090820335431</v>
      </c>
      <c r="K260" s="157">
        <f>(VLOOKUP($A260,Hitters!$A$1:$R$401,14,FALSE)-AVERAGE(Rankings!R$2:R$651))/STDEV(Rankings!R$2:R$651)</f>
        <v>1.6970947231839766</v>
      </c>
      <c r="L260" s="157">
        <f>(VLOOKUP($A260,Hitters!$A$1:$R$401,15,FALSE)-AVERAGE(Rankings!S$2:S$651))/STDEV(Rankings!S$2:S$651)</f>
        <v>0.61435701572396639</v>
      </c>
      <c r="M260" s="157">
        <f>(VLOOKUP($A260,Hitters!$A$1:$R$401,9,FALSE)-AVERAGE(Rankings!T$2:T$651))/STDEV(Rankings!T$2:T$651)</f>
        <v>1.046903191528666</v>
      </c>
      <c r="N260" s="157">
        <f>(VLOOKUP($A260,Hitters!$A$1:$R$401,10,FALSE)-AVERAGE(Rankings!U$2:U$651))/STDEV(Rankings!U$2:U$651)</f>
        <v>1.213490738151902</v>
      </c>
      <c r="O260" s="157">
        <f>(VLOOKUP($A260,Hitters!$A$1:$R$401,11,FALSE)-AVERAGE(Rankings!V$2:V$651))/STDEV(Rankings!V$2:V$651)</f>
        <v>0.30340925325146528</v>
      </c>
      <c r="P260" s="157">
        <f>(VLOOKUP($A260,Hitters!$A$1:$R$401,12,FALSE)-AVERAGE(Rankings!W$2:W$651))/STDEV(Rankings!W$2:W$651)</f>
        <v>-0.2254545000861593</v>
      </c>
      <c r="Q260" s="157">
        <f>(VLOOKUP($A260,Hitters!$A$1:$R$401,13,FALSE)-AVERAGE(Rankings!X$2:X$651))/STDEV(Rankings!X$2:X$651)</f>
        <v>4.9093370582136447E-2</v>
      </c>
      <c r="R260" s="118">
        <f>(VLOOKUP($A260,Hitters!$A1:$R401,16,FALSE)-AVERAGE(Rankings!Y2:Y651))/STDEV(Rankings!Y2:Y651)</f>
        <v>0.45347505850621339</v>
      </c>
      <c r="S260" s="118">
        <f>(VLOOKUP($A260,Hitters!$A1:$R401,17,FALSE)-AVERAGE(Rankings!Z2:Z651))/STDEV(Rankings!Z2:Z651)</f>
        <v>0.56280165931318338</v>
      </c>
      <c r="T260" s="118">
        <f>IFERROR((VLOOKUP($A260,Hitters!$A1:$R401,18,FALSE)-AVERAGE(Rankings!AA2:AA651))/STDEV(Rankings!AA2:AA651),0)</f>
        <v>0</v>
      </c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</row>
    <row r="261" spans="1:37" ht="18.600000000000001" customHeight="1">
      <c r="A261" s="26" t="s">
        <v>218</v>
      </c>
      <c r="B261" s="27" t="s">
        <v>114</v>
      </c>
      <c r="C261" s="123" t="s">
        <v>23</v>
      </c>
      <c r="D261" s="67">
        <f>(F261*Settings!$C$2)+(G261*Settings!$C$3)+(H261*Settings!$C$4)+(I261*Settings!$C$5)+(J261*Settings!$C$6)+(M261*Settings!$C$9)+(N261*Settings!$C$10)+(O261*Settings!$C$11)+(P261*Settings!$C$12)+(Q261*Settings!$C$13)+(T261*Settings!$C$16)+(K261*Settings!$C$7)+(L261*Settings!$C$8)+(R261*Settings!$C$14)+(S261*Settings!$C$15)</f>
        <v>2.715473904178066</v>
      </c>
      <c r="E261" s="67"/>
      <c r="F261" s="118">
        <f>(VLOOKUP($A261,Hitters!$A1:$R401,4,FALSE)-AVERAGE(Rankings!M2:M651))/STDEV(Rankings!M2:M651)</f>
        <v>0.729242642359061</v>
      </c>
      <c r="G261" s="118">
        <f>(VLOOKUP($A261,Hitters!$A1:$R401,5,FALSE)-AVERAGE(Rankings!N2:N651))/STDEV(Rankings!N2:N651)</f>
        <v>0.64044695012154795</v>
      </c>
      <c r="H261" s="118">
        <f>(VLOOKUP($A261,Hitters!$A1:$R401,6,FALSE)-AVERAGE(Rankings!O2:O651))/STDEV(Rankings!O2:O651)</f>
        <v>-9.9301759639747758E-2</v>
      </c>
      <c r="I261" s="118">
        <f>(VLOOKUP($A261,Hitters!$A1:$R401,7,FALSE)-AVERAGE(Rankings!P2:P651))/STDEV(Rankings!P2:P651)</f>
        <v>0.43950950794865551</v>
      </c>
      <c r="J261" s="118">
        <f>(VLOOKUP($A261,Hitters!$A1:$R401,8,FALSE)-AVERAGE(Rankings!Q2:Q651))/STDEV(Rankings!Q2:Q651)</f>
        <v>0.52181700532356123</v>
      </c>
      <c r="K261" s="157">
        <f>(VLOOKUP($A261,Hitters!$A$1:$R$401,14,FALSE)-AVERAGE(Rankings!R$2:R$651))/STDEV(Rankings!R$2:R$651)</f>
        <v>1.2130022004240493</v>
      </c>
      <c r="L261" s="157">
        <f>(VLOOKUP($A261,Hitters!$A$1:$R$401,15,FALSE)-AVERAGE(Rankings!S$2:S$651))/STDEV(Rankings!S$2:S$651)</f>
        <v>1.2660055522854208</v>
      </c>
      <c r="M261" s="157">
        <f>(VLOOKUP($A261,Hitters!$A$1:$R$401,9,FALSE)-AVERAGE(Rankings!T$2:T$651))/STDEV(Rankings!T$2:T$651)</f>
        <v>0.90403454458136734</v>
      </c>
      <c r="N261" s="157">
        <f>(VLOOKUP($A261,Hitters!$A$1:$R$401,10,FALSE)-AVERAGE(Rankings!U$2:U$651))/STDEV(Rankings!U$2:U$651)</f>
        <v>0.64405842554009696</v>
      </c>
      <c r="O261" s="157">
        <f>(VLOOKUP($A261,Hitters!$A$1:$R$401,11,FALSE)-AVERAGE(Rankings!V$2:V$651))/STDEV(Rankings!V$2:V$651)</f>
        <v>0.3086550640093812</v>
      </c>
      <c r="P261" s="157">
        <f>(VLOOKUP($A261,Hitters!$A$1:$R$401,12,FALSE)-AVERAGE(Rankings!W$2:W$651))/STDEV(Rankings!W$2:W$651)</f>
        <v>0.80717726337861784</v>
      </c>
      <c r="Q261" s="157">
        <f>(VLOOKUP($A261,Hitters!$A$1:$R$401,13,FALSE)-AVERAGE(Rankings!X$2:X$651))/STDEV(Rankings!X$2:X$651)</f>
        <v>-8.3217634120233794E-2</v>
      </c>
      <c r="R261" s="118">
        <f>(VLOOKUP($A261,Hitters!$A1:$R401,16,FALSE)-AVERAGE(Rankings!Y2:Y651))/STDEV(Rankings!Y2:Y651)</f>
        <v>5.2242810554207327E-2</v>
      </c>
      <c r="S261" s="118">
        <f>(VLOOKUP($A261,Hitters!$A1:$R401,17,FALSE)-AVERAGE(Rankings!Z2:Z651))/STDEV(Rankings!Z2:Z651)</f>
        <v>0.51475528735747478</v>
      </c>
      <c r="T261" s="118">
        <f>IFERROR((VLOOKUP($A261,Hitters!$A1:$R401,18,FALSE)-AVERAGE(Rankings!AA2:AA651))/STDEV(Rankings!AA2:AA651),0)</f>
        <v>0</v>
      </c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</row>
    <row r="262" spans="1:37" ht="18.600000000000001" customHeight="1">
      <c r="A262" s="26" t="s">
        <v>205</v>
      </c>
      <c r="B262" s="27" t="s">
        <v>68</v>
      </c>
      <c r="C262" s="123" t="s">
        <v>23</v>
      </c>
      <c r="D262" s="67">
        <f>(F262*Settings!$C$2)+(G262*Settings!$C$3)+(H262*Settings!$C$4)+(I262*Settings!$C$5)+(J262*Settings!$C$6)+(M262*Settings!$C$9)+(N262*Settings!$C$10)+(O262*Settings!$C$11)+(P262*Settings!$C$12)+(Q262*Settings!$C$13)+(T262*Settings!$C$16)+(K262*Settings!$C$7)+(L262*Settings!$C$8)+(R262*Settings!$C$14)+(S262*Settings!$C$15)</f>
        <v>1.9378582774650324</v>
      </c>
      <c r="E262" s="67"/>
      <c r="F262" s="118">
        <f>(VLOOKUP($A262,Hitters!$A1:$R401,4,FALSE)-AVERAGE(Rankings!M2:M651))/STDEV(Rankings!M2:M651)</f>
        <v>0.36944471994407524</v>
      </c>
      <c r="G262" s="118">
        <f>(VLOOKUP($A262,Hitters!$A1:$R401,5,FALSE)-AVERAGE(Rankings!N2:N651))/STDEV(Rankings!N2:N651)</f>
        <v>0.23436516281341616</v>
      </c>
      <c r="H262" s="118">
        <f>(VLOOKUP($A262,Hitters!$A1:$R401,6,FALSE)-AVERAGE(Rankings!O2:O651))/STDEV(Rankings!O2:O651)</f>
        <v>2.2245287924272692E-2</v>
      </c>
      <c r="I262" s="118">
        <f>(VLOOKUP($A262,Hitters!$A1:$R401,7,FALSE)-AVERAGE(Rankings!P2:P651))/STDEV(Rankings!P2:P651)</f>
        <v>7.8385696962211079E-2</v>
      </c>
      <c r="J262" s="118">
        <f>(VLOOKUP($A262,Hitters!$A1:$R401,8,FALSE)-AVERAGE(Rankings!Q2:Q651))/STDEV(Rankings!Q2:Q651)</f>
        <v>1.690493934042709</v>
      </c>
      <c r="K262" s="157">
        <f>(VLOOKUP($A262,Hitters!$A$1:$R$401,14,FALSE)-AVERAGE(Rankings!R$2:R$651))/STDEV(Rankings!R$2:R$651)</f>
        <v>-8.7631804277576344E-2</v>
      </c>
      <c r="L262" s="157">
        <f>(VLOOKUP($A262,Hitters!$A$1:$R$401,15,FALSE)-AVERAGE(Rankings!S$2:S$651))/STDEV(Rankings!S$2:S$651)</f>
        <v>-0.53794816645239707</v>
      </c>
      <c r="M262" s="157">
        <f>(VLOOKUP($A262,Hitters!$A$1:$R$401,9,FALSE)-AVERAGE(Rankings!T$2:T$651))/STDEV(Rankings!T$2:T$651)</f>
        <v>0.26874908874322029</v>
      </c>
      <c r="N262" s="157">
        <f>(VLOOKUP($A262,Hitters!$A$1:$R$401,10,FALSE)-AVERAGE(Rankings!U$2:U$651))/STDEV(Rankings!U$2:U$651)</f>
        <v>8.6466575750988053E-2</v>
      </c>
      <c r="O262" s="157">
        <f>(VLOOKUP($A262,Hitters!$A$1:$R$401,11,FALSE)-AVERAGE(Rankings!V$2:V$651))/STDEV(Rankings!V$2:V$651)</f>
        <v>1.0810768535181692</v>
      </c>
      <c r="P262" s="157">
        <f>(VLOOKUP($A262,Hitters!$A$1:$R$401,12,FALSE)-AVERAGE(Rankings!W$2:W$651))/STDEV(Rankings!W$2:W$651)</f>
        <v>-0.21044180951858929</v>
      </c>
      <c r="Q262" s="157">
        <f>(VLOOKUP($A262,Hitters!$A$1:$R$401,13,FALSE)-AVERAGE(Rankings!X$2:X$651))/STDEV(Rankings!X$2:X$651)</f>
        <v>0.33915803952932627</v>
      </c>
      <c r="R262" s="118">
        <f>(VLOOKUP($A262,Hitters!$A1:$R401,16,FALSE)-AVERAGE(Rankings!Y2:Y651))/STDEV(Rankings!Y2:Y651)</f>
        <v>-0.14913827256560372</v>
      </c>
      <c r="S262" s="118">
        <f>(VLOOKUP($A262,Hitters!$A1:$R401,17,FALSE)-AVERAGE(Rankings!Z2:Z651))/STDEV(Rankings!Z2:Z651)</f>
        <v>-0.3115159238208472</v>
      </c>
      <c r="T262" s="118">
        <f>IFERROR((VLOOKUP($A262,Hitters!$A1:$R401,18,FALSE)-AVERAGE(Rankings!AA2:AA651))/STDEV(Rankings!AA2:AA651),0)</f>
        <v>0</v>
      </c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</row>
    <row r="263" spans="1:37" ht="18.600000000000001" customHeight="1">
      <c r="A263" s="26" t="s">
        <v>229</v>
      </c>
      <c r="B263" s="27" t="s">
        <v>176</v>
      </c>
      <c r="C263" s="123" t="s">
        <v>23</v>
      </c>
      <c r="D263" s="67">
        <f>(F263*Settings!$C$2)+(G263*Settings!$C$3)+(H263*Settings!$C$4)+(I263*Settings!$C$5)+(J263*Settings!$C$6)+(M263*Settings!$C$9)+(N263*Settings!$C$10)+(O263*Settings!$C$11)+(P263*Settings!$C$12)+(Q263*Settings!$C$13)+(T263*Settings!$C$16)+(K263*Settings!$C$7)+(L263*Settings!$C$8)+(R263*Settings!$C$14)+(S263*Settings!$C$15)</f>
        <v>1.3907903187239401</v>
      </c>
      <c r="E263" s="67"/>
      <c r="F263" s="118">
        <f>(VLOOKUP($A263,Hitters!$A1:$R401,4,FALSE)-AVERAGE(Rankings!M2:M651))/STDEV(Rankings!M2:M651)</f>
        <v>0.37696013639813986</v>
      </c>
      <c r="G263" s="118">
        <f>(VLOOKUP($A263,Hitters!$A1:$R401,5,FALSE)-AVERAGE(Rankings!N2:N651))/STDEV(Rankings!N2:N651)</f>
        <v>0.21918986702471685</v>
      </c>
      <c r="H263" s="118">
        <f>(VLOOKUP($A263,Hitters!$A1:$R401,6,FALSE)-AVERAGE(Rankings!O2:O651))/STDEV(Rankings!O2:O651)</f>
        <v>0.60271620434111006</v>
      </c>
      <c r="I263" s="118">
        <f>(VLOOKUP($A263,Hitters!$A1:$R401,7,FALSE)-AVERAGE(Rankings!P2:P651))/STDEV(Rankings!P2:P651)</f>
        <v>0.55834511122285879</v>
      </c>
      <c r="J263" s="118">
        <f>(VLOOKUP($A263,Hitters!$A1:$R401,8,FALSE)-AVERAGE(Rankings!Q2:Q651))/STDEV(Rankings!Q2:Q651)</f>
        <v>-0.5761390114659124</v>
      </c>
      <c r="K263" s="157">
        <f>(VLOOKUP($A263,Hitters!$A$1:$R$401,14,FALSE)-AVERAGE(Rankings!R$2:R$651))/STDEV(Rankings!R$2:R$651)</f>
        <v>0.58667814760116677</v>
      </c>
      <c r="L263" s="157">
        <f>(VLOOKUP($A263,Hitters!$A$1:$R$401,15,FALSE)-AVERAGE(Rankings!S$2:S$651))/STDEV(Rankings!S$2:S$651)</f>
        <v>-0.56796964401477468</v>
      </c>
      <c r="M263" s="157">
        <f>(VLOOKUP($A263,Hitters!$A$1:$R$401,9,FALSE)-AVERAGE(Rankings!T$2:T$651))/STDEV(Rankings!T$2:T$651)</f>
        <v>0.42625806511613828</v>
      </c>
      <c r="N263" s="157">
        <f>(VLOOKUP($A263,Hitters!$A$1:$R$401,10,FALSE)-AVERAGE(Rankings!U$2:U$651))/STDEV(Rankings!U$2:U$651)</f>
        <v>0.38602096196613256</v>
      </c>
      <c r="O263" s="157">
        <f>(VLOOKUP($A263,Hitters!$A$1:$R$401,11,FALSE)-AVERAGE(Rankings!V$2:V$651))/STDEV(Rankings!V$2:V$651)</f>
        <v>0.69922951953058721</v>
      </c>
      <c r="P263" s="157">
        <f>(VLOOKUP($A263,Hitters!$A$1:$R$401,12,FALSE)-AVERAGE(Rankings!W$2:W$651))/STDEV(Rankings!W$2:W$651)</f>
        <v>-0.68535227390561748</v>
      </c>
      <c r="Q263" s="157">
        <f>(VLOOKUP($A263,Hitters!$A$1:$R$401,13,FALSE)-AVERAGE(Rankings!X$2:X$651))/STDEV(Rankings!X$2:X$651)</f>
        <v>0.24784462154825004</v>
      </c>
      <c r="R263" s="118">
        <f>(VLOOKUP($A263,Hitters!$A1:$R401,16,FALSE)-AVERAGE(Rankings!Y2:Y651))/STDEV(Rankings!Y2:Y651)</f>
        <v>0.96442698338232746</v>
      </c>
      <c r="S263" s="118">
        <f>(VLOOKUP($A263,Hitters!$A1:$R401,17,FALSE)-AVERAGE(Rankings!Z2:Z651))/STDEV(Rankings!Z2:Z651)</f>
        <v>0.49130633384763323</v>
      </c>
      <c r="T263" s="118">
        <f>IFERROR((VLOOKUP($A263,Hitters!$A1:$R401,18,FALSE)-AVERAGE(Rankings!AA2:AA651))/STDEV(Rankings!AA2:AA651),0)</f>
        <v>0</v>
      </c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</row>
    <row r="264" spans="1:37" ht="18.600000000000001" customHeight="1">
      <c r="A264" s="26" t="s">
        <v>235</v>
      </c>
      <c r="B264" s="27" t="s">
        <v>99</v>
      </c>
      <c r="C264" s="123" t="s">
        <v>23</v>
      </c>
      <c r="D264" s="67">
        <f>(F264*Settings!$C$2)+(G264*Settings!$C$3)+(H264*Settings!$C$4)+(I264*Settings!$C$5)+(J264*Settings!$C$6)+(M264*Settings!$C$9)+(N264*Settings!$C$10)+(O264*Settings!$C$11)+(P264*Settings!$C$12)+(Q264*Settings!$C$13)+(T264*Settings!$C$16)+(K264*Settings!$C$7)+(L264*Settings!$C$8)+(R264*Settings!$C$14)+(S264*Settings!$C$15)</f>
        <v>1.6678348948137605</v>
      </c>
      <c r="E264" s="67"/>
      <c r="F264" s="118">
        <f>(VLOOKUP($A264,Hitters!$A1:$R401,4,FALSE)-AVERAGE(Rankings!M2:M651))/STDEV(Rankings!M2:M651)</f>
        <v>0.9682658368340451</v>
      </c>
      <c r="G264" s="118">
        <f>(VLOOKUP($A264,Hitters!$A1:$R401,5,FALSE)-AVERAGE(Rankings!N2:N651))/STDEV(Rankings!N2:N651)</f>
        <v>0.56881752555500487</v>
      </c>
      <c r="H264" s="118">
        <f>(VLOOKUP($A264,Hitters!$A1:$R401,6,FALSE)-AVERAGE(Rankings!O2:O651))/STDEV(Rankings!O2:O651)</f>
        <v>0.48401818780773243</v>
      </c>
      <c r="I264" s="118">
        <f>(VLOOKUP($A264,Hitters!$A1:$R401,7,FALSE)-AVERAGE(Rankings!P2:P651))/STDEV(Rankings!P2:P651)</f>
        <v>0.69428448948105581</v>
      </c>
      <c r="J264" s="118">
        <f>(VLOOKUP($A264,Hitters!$A1:$R401,8,FALSE)-AVERAGE(Rankings!Q2:Q651))/STDEV(Rankings!Q2:Q651)</f>
        <v>-0.25840967365868739</v>
      </c>
      <c r="K264" s="157">
        <f>(VLOOKUP($A264,Hitters!$A$1:$R$401,14,FALSE)-AVERAGE(Rankings!R$2:R$651))/STDEV(Rankings!R$2:R$651)</f>
        <v>0.17912436562865486</v>
      </c>
      <c r="L264" s="157">
        <f>(VLOOKUP($A264,Hitters!$A$1:$R$401,15,FALSE)-AVERAGE(Rankings!S$2:S$651))/STDEV(Rankings!S$2:S$651)</f>
        <v>-0.68555810541391526</v>
      </c>
      <c r="M264" s="157">
        <f>(VLOOKUP($A264,Hitters!$A$1:$R$401,9,FALSE)-AVERAGE(Rankings!T$2:T$651))/STDEV(Rankings!T$2:T$651)</f>
        <v>0.86006113568763998</v>
      </c>
      <c r="N264" s="157">
        <f>(VLOOKUP($A264,Hitters!$A$1:$R$401,10,FALSE)-AVERAGE(Rankings!U$2:U$651))/STDEV(Rankings!U$2:U$651)</f>
        <v>1.0205722342569703</v>
      </c>
      <c r="O264" s="157">
        <f>(VLOOKUP($A264,Hitters!$A$1:$R$401,11,FALSE)-AVERAGE(Rankings!V$2:V$651))/STDEV(Rankings!V$2:V$651)</f>
        <v>0.32296182062187995</v>
      </c>
      <c r="P264" s="157">
        <f>(VLOOKUP($A264,Hitters!$A$1:$R$401,12,FALSE)-AVERAGE(Rankings!W$2:W$651))/STDEV(Rankings!W$2:W$651)</f>
        <v>-0.2398233897530688</v>
      </c>
      <c r="Q264" s="157">
        <f>(VLOOKUP($A264,Hitters!$A$1:$R$401,13,FALSE)-AVERAGE(Rankings!X$2:X$651))/STDEV(Rankings!X$2:X$651)</f>
        <v>0.48835831302300275</v>
      </c>
      <c r="R264" s="118">
        <f>(VLOOKUP($A264,Hitters!$A1:$R401,16,FALSE)-AVERAGE(Rankings!Y2:Y651))/STDEV(Rankings!Y2:Y651)</f>
        <v>0.1599138908993227</v>
      </c>
      <c r="S264" s="118">
        <f>(VLOOKUP($A264,Hitters!$A1:$R401,17,FALSE)-AVERAGE(Rankings!Z2:Z651))/STDEV(Rankings!Z2:Z651)</f>
        <v>-0.14113235353793993</v>
      </c>
      <c r="T264" s="118">
        <f>IFERROR((VLOOKUP($A264,Hitters!$A1:$R401,18,FALSE)-AVERAGE(Rankings!AA2:AA651))/STDEV(Rankings!AA2:AA651),0)</f>
        <v>0</v>
      </c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</row>
    <row r="265" spans="1:37" ht="18.600000000000001" customHeight="1">
      <c r="A265" s="26" t="s">
        <v>257</v>
      </c>
      <c r="B265" s="27" t="s">
        <v>258</v>
      </c>
      <c r="C265" s="123" t="s">
        <v>23</v>
      </c>
      <c r="D265" s="67">
        <f>(F265*Settings!$C$2)+(G265*Settings!$C$3)+(H265*Settings!$C$4)+(I265*Settings!$C$5)+(J265*Settings!$C$6)+(M265*Settings!$C$9)+(N265*Settings!$C$10)+(O265*Settings!$C$11)+(P265*Settings!$C$12)+(Q265*Settings!$C$13)+(T265*Settings!$C$16)+(K265*Settings!$C$7)+(L265*Settings!$C$8)+(R265*Settings!$C$14)+(S265*Settings!$C$15)</f>
        <v>1.4920979055112722</v>
      </c>
      <c r="E265" s="67"/>
      <c r="F265" s="118">
        <f>(VLOOKUP($A265,Hitters!$A1:$R401,4,FALSE)-AVERAGE(Rankings!M2:M651))/STDEV(Rankings!M2:M651)</f>
        <v>1.1174757913914228</v>
      </c>
      <c r="G265" s="118">
        <f>(VLOOKUP($A265,Hitters!$A1:$R401,5,FALSE)-AVERAGE(Rankings!N2:N651))/STDEV(Rankings!N2:N651)</f>
        <v>0.8494020254677016</v>
      </c>
      <c r="H265" s="118">
        <f>(VLOOKUP($A265,Hitters!$A1:$R401,6,FALSE)-AVERAGE(Rankings!O2:O651))/STDEV(Rankings!O2:O651)</f>
        <v>-0.10167014729358269</v>
      </c>
      <c r="I265" s="118">
        <f>(VLOOKUP($A265,Hitters!$A1:$R401,7,FALSE)-AVERAGE(Rankings!P2:P651))/STDEV(Rankings!P2:P651)</f>
        <v>0.37272333896353876</v>
      </c>
      <c r="J265" s="118">
        <f>(VLOOKUP($A265,Hitters!$A1:$R401,8,FALSE)-AVERAGE(Rankings!Q2:Q651))/STDEV(Rankings!Q2:Q651)</f>
        <v>0.15308624838676163</v>
      </c>
      <c r="K265" s="157">
        <f>(VLOOKUP($A265,Hitters!$A$1:$R$401,14,FALSE)-AVERAGE(Rankings!R$2:R$651))/STDEV(Rankings!R$2:R$651)</f>
        <v>0.21855643998685298</v>
      </c>
      <c r="L265" s="157">
        <f>(VLOOKUP($A265,Hitters!$A$1:$R$401,15,FALSE)-AVERAGE(Rankings!S$2:S$651))/STDEV(Rankings!S$2:S$651)</f>
        <v>0.34838462859200003</v>
      </c>
      <c r="M265" s="157">
        <f>(VLOOKUP($A265,Hitters!$A$1:$R$401,9,FALSE)-AVERAGE(Rankings!T$2:T$651))/STDEV(Rankings!T$2:T$651)</f>
        <v>1.003364124888998</v>
      </c>
      <c r="N265" s="157">
        <f>(VLOOKUP($A265,Hitters!$A$1:$R$401,10,FALSE)-AVERAGE(Rankings!U$2:U$651))/STDEV(Rankings!U$2:U$651)</f>
        <v>0.69813298016343439</v>
      </c>
      <c r="O265" s="157">
        <f>(VLOOKUP($A265,Hitters!$A$1:$R$401,11,FALSE)-AVERAGE(Rankings!V$2:V$651))/STDEV(Rankings!V$2:V$651)</f>
        <v>2.902470037855339</v>
      </c>
      <c r="P265" s="157">
        <f>(VLOOKUP($A265,Hitters!$A$1:$R$401,12,FALSE)-AVERAGE(Rankings!W$2:W$651))/STDEV(Rankings!W$2:W$651)</f>
        <v>0.9177119687383497</v>
      </c>
      <c r="Q265" s="157">
        <f>(VLOOKUP($A265,Hitters!$A$1:$R$401,13,FALSE)-AVERAGE(Rankings!X$2:X$651))/STDEV(Rankings!X$2:X$651)</f>
        <v>1.794510278143195</v>
      </c>
      <c r="R265" s="118">
        <f>(VLOOKUP($A265,Hitters!$A1:$R401,16,FALSE)-AVERAGE(Rankings!Y2:Y651))/STDEV(Rankings!Y2:Y651)</f>
        <v>-0.42399029621979523</v>
      </c>
      <c r="S265" s="118">
        <f>(VLOOKUP($A265,Hitters!$A1:$R401,17,FALSE)-AVERAGE(Rankings!Z2:Z651))/STDEV(Rankings!Z2:Z651)</f>
        <v>-0.1788266421301305</v>
      </c>
      <c r="T265" s="118">
        <f>IFERROR((VLOOKUP($A265,Hitters!$A1:$R401,18,FALSE)-AVERAGE(Rankings!AA2:AA651))/STDEV(Rankings!AA2:AA651),0)</f>
        <v>0</v>
      </c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</row>
    <row r="266" spans="1:37" ht="18.600000000000001" customHeight="1">
      <c r="A266" s="26" t="s">
        <v>259</v>
      </c>
      <c r="B266" s="27" t="s">
        <v>217</v>
      </c>
      <c r="C266" s="123" t="s">
        <v>23</v>
      </c>
      <c r="D266" s="67">
        <f>(F266*Settings!$C$2)+(G266*Settings!$C$3)+(H266*Settings!$C$4)+(I266*Settings!$C$5)+(J266*Settings!$C$6)+(M266*Settings!$C$9)+(N266*Settings!$C$10)+(O266*Settings!$C$11)+(P266*Settings!$C$12)+(Q266*Settings!$C$13)+(T266*Settings!$C$16)+(K266*Settings!$C$7)+(L266*Settings!$C$8)+(R266*Settings!$C$14)+(S266*Settings!$C$15)</f>
        <v>1.8287152958777</v>
      </c>
      <c r="E266" s="67"/>
      <c r="F266" s="118">
        <f>(VLOOKUP($A266,Hitters!$A1:$R401,4,FALSE)-AVERAGE(Rankings!M2:M651))/STDEV(Rankings!M2:M651)</f>
        <v>0.46056333573818836</v>
      </c>
      <c r="G266" s="118">
        <f>(VLOOKUP($A266,Hitters!$A1:$R401,5,FALSE)-AVERAGE(Rankings!N2:N651))/STDEV(Rankings!N2:N651)</f>
        <v>0.50624003180979116</v>
      </c>
      <c r="H266" s="118">
        <f>(VLOOKUP($A266,Hitters!$A1:$R401,6,FALSE)-AVERAGE(Rankings!O2:O651))/STDEV(Rankings!O2:O651)</f>
        <v>1.0300012004771075</v>
      </c>
      <c r="I266" s="118">
        <f>(VLOOKUP($A266,Hitters!$A1:$R401,7,FALSE)-AVERAGE(Rankings!P2:P651))/STDEV(Rankings!P2:P651)</f>
        <v>0.77405120198081023</v>
      </c>
      <c r="J266" s="118">
        <f>(VLOOKUP($A266,Hitters!$A1:$R401,8,FALSE)-AVERAGE(Rankings!Q2:Q651))/STDEV(Rankings!Q2:Q651)</f>
        <v>-0.43469718760656451</v>
      </c>
      <c r="K266" s="157">
        <f>(VLOOKUP($A266,Hitters!$A$1:$R$401,14,FALSE)-AVERAGE(Rankings!R$2:R$651))/STDEV(Rankings!R$2:R$651)</f>
        <v>-4.6879950783444632E-2</v>
      </c>
      <c r="L266" s="157">
        <f>(VLOOKUP($A266,Hitters!$A$1:$R$401,15,FALSE)-AVERAGE(Rankings!S$2:S$651))/STDEV(Rankings!S$2:S$651)</f>
        <v>0.2582137344934074</v>
      </c>
      <c r="M266" s="157">
        <f>(VLOOKUP($A266,Hitters!$A$1:$R$401,9,FALSE)-AVERAGE(Rankings!T$2:T$651))/STDEV(Rankings!T$2:T$651)</f>
        <v>0.35736239723087004</v>
      </c>
      <c r="N266" s="157">
        <f>(VLOOKUP($A266,Hitters!$A$1:$R$401,10,FALSE)-AVERAGE(Rankings!U$2:U$651))/STDEV(Rankings!U$2:U$651)</f>
        <v>0.18937317844200544</v>
      </c>
      <c r="O266" s="157">
        <f>(VLOOKUP($A266,Hitters!$A$1:$R$401,11,FALSE)-AVERAGE(Rankings!V$2:V$651))/STDEV(Rankings!V$2:V$651)</f>
        <v>0.97868816536138925</v>
      </c>
      <c r="P266" s="157">
        <f>(VLOOKUP($A266,Hitters!$A$1:$R$401,12,FALSE)-AVERAGE(Rankings!W$2:W$651))/STDEV(Rankings!W$2:W$651)</f>
        <v>0.54076187617786886</v>
      </c>
      <c r="Q266" s="157">
        <f>(VLOOKUP($A266,Hitters!$A$1:$R$401,13,FALSE)-AVERAGE(Rankings!X$2:X$651))/STDEV(Rankings!X$2:X$651)</f>
        <v>0.67760228113090071</v>
      </c>
      <c r="R266" s="118">
        <f>(VLOOKUP($A266,Hitters!$A1:$R401,16,FALSE)-AVERAGE(Rankings!Y2:Y651))/STDEV(Rankings!Y2:Y651)</f>
        <v>1.0611552181880117</v>
      </c>
      <c r="S266" s="118">
        <f>(VLOOKUP($A266,Hitters!$A1:$R401,17,FALSE)-AVERAGE(Rankings!Z2:Z651))/STDEV(Rankings!Z2:Z651)</f>
        <v>0.87301501198118237</v>
      </c>
      <c r="T266" s="118">
        <f>IFERROR((VLOOKUP($A266,Hitters!$A1:$R401,18,FALSE)-AVERAGE(Rankings!AA2:AA651))/STDEV(Rankings!AA2:AA651),0)</f>
        <v>0</v>
      </c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</row>
    <row r="267" spans="1:37" ht="18.600000000000001" customHeight="1">
      <c r="A267" s="26" t="s">
        <v>250</v>
      </c>
      <c r="B267" s="27" t="s">
        <v>140</v>
      </c>
      <c r="C267" s="123" t="s">
        <v>23</v>
      </c>
      <c r="D267" s="67">
        <f>(F267*Settings!$C$2)+(G267*Settings!$C$3)+(H267*Settings!$C$4)+(I267*Settings!$C$5)+(J267*Settings!$C$6)+(M267*Settings!$C$9)+(N267*Settings!$C$10)+(O267*Settings!$C$11)+(P267*Settings!$C$12)+(Q267*Settings!$C$13)+(T267*Settings!$C$16)+(K267*Settings!$C$7)+(L267*Settings!$C$8)+(R267*Settings!$C$14)+(S267*Settings!$C$15)</f>
        <v>2.3325016193856114</v>
      </c>
      <c r="E267" s="67"/>
      <c r="F267" s="118">
        <f>(VLOOKUP($A267,Hitters!$A1:$R401,4,FALSE)-AVERAGE(Rankings!M2:M651))/STDEV(Rankings!M2:M651)</f>
        <v>0.87498849264868561</v>
      </c>
      <c r="G267" s="118">
        <f>(VLOOKUP($A267,Hitters!$A1:$R401,5,FALSE)-AVERAGE(Rankings!N2:N651))/STDEV(Rankings!N2:N651)</f>
        <v>0.67094967499006186</v>
      </c>
      <c r="H267" s="118">
        <f>(VLOOKUP($A267,Hitters!$A1:$R401,6,FALSE)-AVERAGE(Rankings!O2:O651))/STDEV(Rankings!O2:O651)</f>
        <v>0.63169412387038548</v>
      </c>
      <c r="I267" s="118">
        <f>(VLOOKUP($A267,Hitters!$A1:$R401,7,FALSE)-AVERAGE(Rankings!P2:P651))/STDEV(Rankings!P2:P651)</f>
        <v>0.43385915371287198</v>
      </c>
      <c r="J267" s="118">
        <f>(VLOOKUP($A267,Hitters!$A1:$R401,8,FALSE)-AVERAGE(Rankings!Q2:Q651))/STDEV(Rankings!Q2:Q651)</f>
        <v>1.3755364124925256</v>
      </c>
      <c r="K267" s="157">
        <f>(VLOOKUP($A267,Hitters!$A$1:$R$401,14,FALSE)-AVERAGE(Rankings!R$2:R$651))/STDEV(Rankings!R$2:R$651)</f>
        <v>-0.77953774568023348</v>
      </c>
      <c r="L267" s="157">
        <f>(VLOOKUP($A267,Hitters!$A$1:$R$401,15,FALSE)-AVERAGE(Rankings!S$2:S$651))/STDEV(Rankings!S$2:S$651)</f>
        <v>-0.90092981351345125</v>
      </c>
      <c r="M267" s="157">
        <f>(VLOOKUP($A267,Hitters!$A$1:$R$401,9,FALSE)-AVERAGE(Rankings!T$2:T$651))/STDEV(Rankings!T$2:T$651)</f>
        <v>0.53017070507004949</v>
      </c>
      <c r="N267" s="157">
        <f>(VLOOKUP($A267,Hitters!$A$1:$R$401,10,FALSE)-AVERAGE(Rankings!U$2:U$651))/STDEV(Rankings!U$2:U$651)</f>
        <v>0.8896171457394445</v>
      </c>
      <c r="O267" s="157">
        <f>(VLOOKUP($A267,Hitters!$A$1:$R$401,11,FALSE)-AVERAGE(Rankings!V$2:V$651))/STDEV(Rankings!V$2:V$651)</f>
        <v>-0.53401290046677363</v>
      </c>
      <c r="P267" s="157">
        <f>(VLOOKUP($A267,Hitters!$A$1:$R$401,12,FALSE)-AVERAGE(Rankings!W$2:W$651))/STDEV(Rankings!W$2:W$651)</f>
        <v>0.23957502004290993</v>
      </c>
      <c r="Q267" s="157">
        <f>(VLOOKUP($A267,Hitters!$A$1:$R$401,13,FALSE)-AVERAGE(Rankings!X$2:X$651))/STDEV(Rankings!X$2:X$651)</f>
        <v>1.4893597185175711</v>
      </c>
      <c r="R267" s="118">
        <f>(VLOOKUP($A267,Hitters!$A1:$R401,16,FALSE)-AVERAGE(Rankings!Y2:Y651))/STDEV(Rankings!Y2:Y651)</f>
        <v>-0.1485289590381956</v>
      </c>
      <c r="S267" s="118">
        <f>(VLOOKUP($A267,Hitters!$A1:$R401,17,FALSE)-AVERAGE(Rankings!Z2:Z651))/STDEV(Rankings!Z2:Z651)</f>
        <v>-0.44770362312544781</v>
      </c>
      <c r="T267" s="118">
        <f>IFERROR((VLOOKUP($A267,Hitters!$A1:$R401,18,FALSE)-AVERAGE(Rankings!AA2:AA651))/STDEV(Rankings!AA2:AA651),0)</f>
        <v>0</v>
      </c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</row>
    <row r="268" spans="1:37" ht="18.600000000000001" customHeight="1">
      <c r="A268" s="26" t="s">
        <v>266</v>
      </c>
      <c r="B268" s="27" t="s">
        <v>78</v>
      </c>
      <c r="C268" s="123" t="s">
        <v>23</v>
      </c>
      <c r="D268" s="67">
        <f>(F268*Settings!$C$2)+(G268*Settings!$C$3)+(H268*Settings!$C$4)+(I268*Settings!$C$5)+(J268*Settings!$C$6)+(M268*Settings!$C$9)+(N268*Settings!$C$10)+(O268*Settings!$C$11)+(P268*Settings!$C$12)+(Q268*Settings!$C$13)+(T268*Settings!$C$16)+(K268*Settings!$C$7)+(L268*Settings!$C$8)+(R268*Settings!$C$14)+(S268*Settings!$C$15)</f>
        <v>0.32797270221320152</v>
      </c>
      <c r="E268" s="67"/>
      <c r="F268" s="118">
        <f>(VLOOKUP($A268,Hitters!$A1:$R401,4,FALSE)-AVERAGE(Rankings!M2:M651))/STDEV(Rankings!M2:M651)</f>
        <v>6.6965049608208385E-2</v>
      </c>
      <c r="G268" s="118">
        <f>(VLOOKUP($A268,Hitters!$A1:$R401,5,FALSE)-AVERAGE(Rankings!N2:N651))/STDEV(Rankings!N2:N651)</f>
        <v>6.8806108757754794E-2</v>
      </c>
      <c r="H268" s="118">
        <f>(VLOOKUP($A268,Hitters!$A1:$R401,6,FALSE)-AVERAGE(Rankings!O2:O651))/STDEV(Rankings!O2:O651)</f>
        <v>-0.69481193765843741</v>
      </c>
      <c r="I268" s="118">
        <f>(VLOOKUP($A268,Hitters!$A1:$R401,7,FALSE)-AVERAGE(Rankings!P2:P651))/STDEV(Rankings!P2:P651)</f>
        <v>-0.21819681550576603</v>
      </c>
      <c r="J268" s="118">
        <f>(VLOOKUP($A268,Hitters!$A1:$R401,8,FALSE)-AVERAGE(Rankings!Q2:Q651))/STDEV(Rankings!Q2:Q651)</f>
        <v>-0.68273514523673118</v>
      </c>
      <c r="K268" s="157">
        <f>(VLOOKUP($A268,Hitters!$A$1:$R$401,14,FALSE)-AVERAGE(Rankings!R$2:R$651))/STDEV(Rankings!R$2:R$651)</f>
        <v>1.8549104918563812</v>
      </c>
      <c r="L268" s="157">
        <f>(VLOOKUP($A268,Hitters!$A$1:$R$401,15,FALSE)-AVERAGE(Rankings!S$2:S$651))/STDEV(Rankings!S$2:S$651)</f>
        <v>1.4481679816820709</v>
      </c>
      <c r="M268" s="157">
        <f>(VLOOKUP($A268,Hitters!$A$1:$R$401,9,FALSE)-AVERAGE(Rankings!T$2:T$651))/STDEV(Rankings!T$2:T$651)</f>
        <v>0.39965834638478226</v>
      </c>
      <c r="N268" s="157">
        <f>(VLOOKUP($A268,Hitters!$A$1:$R$401,10,FALSE)-AVERAGE(Rankings!U$2:U$651))/STDEV(Rankings!U$2:U$651)</f>
        <v>0.32477471574818739</v>
      </c>
      <c r="O268" s="157">
        <f>(VLOOKUP($A268,Hitters!$A$1:$R$401,11,FALSE)-AVERAGE(Rankings!V$2:V$651))/STDEV(Rankings!V$2:V$651)</f>
        <v>0.3086550640093812</v>
      </c>
      <c r="P268" s="157">
        <f>(VLOOKUP($A268,Hitters!$A$1:$R$401,12,FALSE)-AVERAGE(Rankings!W$2:W$651))/STDEV(Rankings!W$2:W$651)</f>
        <v>3.1506033307792704E-2</v>
      </c>
      <c r="Q268" s="157">
        <f>(VLOOKUP($A268,Hitters!$A$1:$R$401,13,FALSE)-AVERAGE(Rankings!X$2:X$651))/STDEV(Rankings!X$2:X$651)</f>
        <v>-1.1748625184460526</v>
      </c>
      <c r="R268" s="118">
        <f>(VLOOKUP($A268,Hitters!$A1:$R401,16,FALSE)-AVERAGE(Rankings!Y2:Y651))/STDEV(Rankings!Y2:Y651)</f>
        <v>7.1988544503061497E-2</v>
      </c>
      <c r="S268" s="118">
        <f>(VLOOKUP($A268,Hitters!$A1:$R401,17,FALSE)-AVERAGE(Rankings!Z2:Z651))/STDEV(Rankings!Z2:Z651)</f>
        <v>0.59776069913136098</v>
      </c>
      <c r="T268" s="118">
        <f>IFERROR((VLOOKUP($A268,Hitters!$A1:$R401,18,FALSE)-AVERAGE(Rankings!AA2:AA651))/STDEV(Rankings!AA2:AA651),0)</f>
        <v>0</v>
      </c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</row>
    <row r="269" spans="1:37" ht="18.600000000000001" customHeight="1">
      <c r="A269" s="26" t="s">
        <v>276</v>
      </c>
      <c r="B269" s="27" t="s">
        <v>217</v>
      </c>
      <c r="C269" s="123" t="s">
        <v>23</v>
      </c>
      <c r="D269" s="67">
        <f>(F269*Settings!$C$2)+(G269*Settings!$C$3)+(H269*Settings!$C$4)+(I269*Settings!$C$5)+(J269*Settings!$C$6)+(M269*Settings!$C$9)+(N269*Settings!$C$10)+(O269*Settings!$C$11)+(P269*Settings!$C$12)+(Q269*Settings!$C$13)+(T269*Settings!$C$16)+(K269*Settings!$C$7)+(L269*Settings!$C$8)+(R269*Settings!$C$14)+(S269*Settings!$C$15)</f>
        <v>0.73572193324000579</v>
      </c>
      <c r="E269" s="67"/>
      <c r="F269" s="118">
        <f>(VLOOKUP($A269,Hitters!$A1:$R401,4,FALSE)-AVERAGE(Rankings!M2:M651))/STDEV(Rankings!M2:M651)</f>
        <v>0.65983382148200209</v>
      </c>
      <c r="G269" s="118">
        <f>(VLOOKUP($A269,Hitters!$A1:$R401,5,FALSE)-AVERAGE(Rankings!N2:N651))/STDEV(Rankings!N2:N651)</f>
        <v>0.69113269161128987</v>
      </c>
      <c r="H269" s="118">
        <f>(VLOOKUP($A269,Hitters!$A1:$R401,6,FALSE)-AVERAGE(Rankings!O2:O651))/STDEV(Rankings!O2:O651)</f>
        <v>0.62486759475050802</v>
      </c>
      <c r="I269" s="118">
        <f>(VLOOKUP($A269,Hitters!$A1:$R401,7,FALSE)-AVERAGE(Rankings!P2:P651))/STDEV(Rankings!P2:P651)</f>
        <v>0.56076305560303674</v>
      </c>
      <c r="J269" s="118">
        <f>(VLOOKUP($A269,Hitters!$A1:$R401,8,FALSE)-AVERAGE(Rankings!Q2:Q651))/STDEV(Rankings!Q2:Q651)</f>
        <v>-0.25777611565707781</v>
      </c>
      <c r="K269" s="157">
        <f>(VLOOKUP($A269,Hitters!$A$1:$R$401,14,FALSE)-AVERAGE(Rankings!R$2:R$651))/STDEV(Rankings!R$2:R$651)</f>
        <v>-0.88326529306775092</v>
      </c>
      <c r="L269" s="157">
        <f>(VLOOKUP($A269,Hitters!$A$1:$R$401,15,FALSE)-AVERAGE(Rankings!S$2:S$651))/STDEV(Rankings!S$2:S$651)</f>
        <v>-8.6671028071986247E-2</v>
      </c>
      <c r="M269" s="157">
        <f>(VLOOKUP($A269,Hitters!$A$1:$R$401,9,FALSE)-AVERAGE(Rankings!T$2:T$651))/STDEV(Rankings!T$2:T$651)</f>
        <v>0.32791698786947077</v>
      </c>
      <c r="N269" s="157">
        <f>(VLOOKUP($A269,Hitters!$A$1:$R$401,10,FALSE)-AVERAGE(Rankings!U$2:U$651))/STDEV(Rankings!U$2:U$651)</f>
        <v>0.98844305591313042</v>
      </c>
      <c r="O269" s="157">
        <f>(VLOOKUP($A269,Hitters!$A$1:$R$401,11,FALSE)-AVERAGE(Rankings!V$2:V$651))/STDEV(Rankings!V$2:V$651)</f>
        <v>0.8809253285093166</v>
      </c>
      <c r="P269" s="157">
        <f>(VLOOKUP($A269,Hitters!$A$1:$R$401,12,FALSE)-AVERAGE(Rankings!W$2:W$651))/STDEV(Rankings!W$2:W$651)</f>
        <v>0.97294821992543001</v>
      </c>
      <c r="Q269" s="157">
        <f>(VLOOKUP($A269,Hitters!$A$1:$R$401,13,FALSE)-AVERAGE(Rankings!X$2:X$651))/STDEV(Rankings!X$2:X$651)</f>
        <v>1.1203632460537405</v>
      </c>
      <c r="R269" s="118">
        <f>(VLOOKUP($A269,Hitters!$A1:$R401,16,FALSE)-AVERAGE(Rankings!Y2:Y651))/STDEV(Rankings!Y2:Y651)</f>
        <v>0.23527985977859633</v>
      </c>
      <c r="S269" s="118">
        <f>(VLOOKUP($A269,Hitters!$A1:$R401,17,FALSE)-AVERAGE(Rankings!Z2:Z651))/STDEV(Rankings!Z2:Z651)</f>
        <v>0.1393998289886072</v>
      </c>
      <c r="T269" s="118">
        <f>IFERROR((VLOOKUP($A269,Hitters!$A1:$R401,18,FALSE)-AVERAGE(Rankings!AA2:AA651))/STDEV(Rankings!AA2:AA651),0)</f>
        <v>0</v>
      </c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</row>
    <row r="270" spans="1:37" ht="18.600000000000001" customHeight="1">
      <c r="A270" s="26" t="s">
        <v>279</v>
      </c>
      <c r="B270" s="27" t="s">
        <v>217</v>
      </c>
      <c r="C270" s="123" t="s">
        <v>23</v>
      </c>
      <c r="D270" s="67">
        <f>(F270*Settings!$C$2)+(G270*Settings!$C$3)+(H270*Settings!$C$4)+(I270*Settings!$C$5)+(J270*Settings!$C$6)+(M270*Settings!$C$9)+(N270*Settings!$C$10)+(O270*Settings!$C$11)+(P270*Settings!$C$12)+(Q270*Settings!$C$13)+(T270*Settings!$C$16)+(K270*Settings!$C$7)+(L270*Settings!$C$8)+(R270*Settings!$C$14)+(S270*Settings!$C$15)</f>
        <v>2.0116536285793485</v>
      </c>
      <c r="E270" s="67"/>
      <c r="F270" s="118">
        <f>(VLOOKUP($A270,Hitters!$A1:$R401,4,FALSE)-AVERAGE(Rankings!M2:M651))/STDEV(Rankings!M2:M651)</f>
        <v>0.95642029004528861</v>
      </c>
      <c r="G270" s="118">
        <f>(VLOOKUP($A270,Hitters!$A1:$R401,5,FALSE)-AVERAGE(Rankings!N2:N651))/STDEV(Rankings!N2:N651)</f>
        <v>0.84662559290485617</v>
      </c>
      <c r="H270" s="118">
        <f>(VLOOKUP($A270,Hitters!$A1:$R401,6,FALSE)-AVERAGE(Rankings!O2:O651))/STDEV(Rankings!O2:O651)</f>
        <v>0.55699239093001296</v>
      </c>
      <c r="I270" s="118">
        <f>(VLOOKUP($A270,Hitters!$A1:$R401,7,FALSE)-AVERAGE(Rankings!P2:P651))/STDEV(Rankings!P2:P651)</f>
        <v>0.86496845588009952</v>
      </c>
      <c r="J270" s="118">
        <f>(VLOOKUP($A270,Hitters!$A1:$R401,8,FALSE)-AVERAGE(Rankings!Q2:Q651))/STDEV(Rankings!Q2:Q651)</f>
        <v>-0.39699256703577201</v>
      </c>
      <c r="K270" s="157">
        <f>(VLOOKUP($A270,Hitters!$A$1:$R$401,14,FALSE)-AVERAGE(Rankings!R$2:R$651))/STDEV(Rankings!R$2:R$651)</f>
        <v>0.14005975590015196</v>
      </c>
      <c r="L270" s="157">
        <f>(VLOOKUP($A270,Hitters!$A$1:$R$401,15,FALSE)-AVERAGE(Rankings!S$2:S$651))/STDEV(Rankings!S$2:S$651)</f>
        <v>1.0364509202334542</v>
      </c>
      <c r="M270" s="157">
        <f>(VLOOKUP($A270,Hitters!$A$1:$R$401,9,FALSE)-AVERAGE(Rankings!T$2:T$651))/STDEV(Rankings!T$2:T$651)</f>
        <v>0.83925913718202028</v>
      </c>
      <c r="N270" s="157">
        <f>(VLOOKUP($A270,Hitters!$A$1:$R$401,10,FALSE)-AVERAGE(Rankings!U$2:U$651))/STDEV(Rankings!U$2:U$651)</f>
        <v>0.95518075029734228</v>
      </c>
      <c r="O270" s="157">
        <f>(VLOOKUP($A270,Hitters!$A$1:$R$401,11,FALSE)-AVERAGE(Rankings!V$2:V$651))/STDEV(Rankings!V$2:V$651)</f>
        <v>-0.41870044217003671</v>
      </c>
      <c r="P270" s="157">
        <f>(VLOOKUP($A270,Hitters!$A$1:$R$401,12,FALSE)-AVERAGE(Rankings!W$2:W$651))/STDEV(Rankings!W$2:W$651)</f>
        <v>1.6231311469052461</v>
      </c>
      <c r="Q270" s="157">
        <f>(VLOOKUP($A270,Hitters!$A$1:$R$401,13,FALSE)-AVERAGE(Rankings!X$2:X$651))/STDEV(Rankings!X$2:X$651)</f>
        <v>0.87798922768360221</v>
      </c>
      <c r="R270" s="118">
        <f>(VLOOKUP($A270,Hitters!$A1:$R401,16,FALSE)-AVERAGE(Rankings!Y2:Y651))/STDEV(Rankings!Y2:Y651)</f>
        <v>0.13194242207159543</v>
      </c>
      <c r="S270" s="118">
        <f>(VLOOKUP($A270,Hitters!$A1:$R401,17,FALSE)-AVERAGE(Rankings!Z2:Z651))/STDEV(Rankings!Z2:Z651)</f>
        <v>0.48661462998232602</v>
      </c>
      <c r="T270" s="118">
        <f>IFERROR((VLOOKUP($A270,Hitters!$A1:$R401,18,FALSE)-AVERAGE(Rankings!AA2:AA651))/STDEV(Rankings!AA2:AA651),0)</f>
        <v>0</v>
      </c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</row>
    <row r="271" spans="1:37" ht="18.600000000000001" customHeight="1">
      <c r="A271" s="26" t="s">
        <v>280</v>
      </c>
      <c r="B271" s="27" t="s">
        <v>95</v>
      </c>
      <c r="C271" s="123" t="s">
        <v>23</v>
      </c>
      <c r="D271" s="67">
        <f>(F271*Settings!$C$2)+(G271*Settings!$C$3)+(H271*Settings!$C$4)+(I271*Settings!$C$5)+(J271*Settings!$C$6)+(M271*Settings!$C$9)+(N271*Settings!$C$10)+(O271*Settings!$C$11)+(P271*Settings!$C$12)+(Q271*Settings!$C$13)+(T271*Settings!$C$16)+(K271*Settings!$C$7)+(L271*Settings!$C$8)+(R271*Settings!$C$14)+(S271*Settings!$C$15)</f>
        <v>0.27634525583910352</v>
      </c>
      <c r="E271" s="67"/>
      <c r="F271" s="118">
        <f>(VLOOKUP($A271,Hitters!$A1:$R401,4,FALSE)-AVERAGE(Rankings!M2:M651))/STDEV(Rankings!M2:M651)</f>
        <v>0.47809508294693975</v>
      </c>
      <c r="G271" s="118">
        <f>(VLOOKUP($A271,Hitters!$A1:$R401,5,FALSE)-AVERAGE(Rankings!N2:N651))/STDEV(Rankings!N2:N651)</f>
        <v>0.57115023601876491</v>
      </c>
      <c r="H271" s="118">
        <f>(VLOOKUP($A271,Hitters!$A1:$R401,6,FALSE)-AVERAGE(Rankings!O2:O651))/STDEV(Rankings!O2:O651)</f>
        <v>-9.1500012074173756E-2</v>
      </c>
      <c r="I271" s="118">
        <f>(VLOOKUP($A271,Hitters!$A1:$R401,7,FALSE)-AVERAGE(Rankings!P2:P651))/STDEV(Rankings!P2:P651)</f>
        <v>0.22820662116723822</v>
      </c>
      <c r="J271" s="118">
        <f>(VLOOKUP($A271,Hitters!$A1:$R401,8,FALSE)-AVERAGE(Rankings!Q2:Q651))/STDEV(Rankings!Q2:Q651)</f>
        <v>-0.20313173801824791</v>
      </c>
      <c r="K271" s="157">
        <f>(VLOOKUP($A271,Hitters!$A$1:$R$401,14,FALSE)-AVERAGE(Rankings!R$2:R$651))/STDEV(Rankings!R$2:R$651)</f>
        <v>-0.22837985125447804</v>
      </c>
      <c r="L271" s="157">
        <f>(VLOOKUP($A271,Hitters!$A$1:$R$401,15,FALSE)-AVERAGE(Rankings!S$2:S$651))/STDEV(Rankings!S$2:S$651)</f>
        <v>0.62471216243731786</v>
      </c>
      <c r="M271" s="157">
        <f>(VLOOKUP($A271,Hitters!$A$1:$R$401,9,FALSE)-AVERAGE(Rankings!T$2:T$651))/STDEV(Rankings!T$2:T$651)</f>
        <v>0.33077765581862012</v>
      </c>
      <c r="N271" s="157">
        <f>(VLOOKUP($A271,Hitters!$A$1:$R$401,10,FALSE)-AVERAGE(Rankings!U$2:U$651))/STDEV(Rankings!U$2:U$651)</f>
        <v>0.20378827854716591</v>
      </c>
      <c r="O271" s="157">
        <f>(VLOOKUP($A271,Hitters!$A$1:$R$401,11,FALSE)-AVERAGE(Rankings!V$2:V$651))/STDEV(Rankings!V$2:V$651)</f>
        <v>0.30054790192896552</v>
      </c>
      <c r="P271" s="157">
        <f>(VLOOKUP($A271,Hitters!$A$1:$R$401,12,FALSE)-AVERAGE(Rankings!W$2:W$651))/STDEV(Rankings!W$2:W$651)</f>
        <v>1.0350267995253246</v>
      </c>
      <c r="Q271" s="157">
        <f>(VLOOKUP($A271,Hitters!$A$1:$R$401,13,FALSE)-AVERAGE(Rankings!X$2:X$651))/STDEV(Rankings!X$2:X$651)</f>
        <v>0.32469383972664712</v>
      </c>
      <c r="R271" s="118">
        <f>(VLOOKUP($A271,Hitters!$A1:$R401,16,FALSE)-AVERAGE(Rankings!Y2:Y651))/STDEV(Rankings!Y2:Y651)</f>
        <v>-0.51720681215506226</v>
      </c>
      <c r="S271" s="118">
        <f>(VLOOKUP($A271,Hitters!$A1:$R401,17,FALSE)-AVERAGE(Rankings!Z2:Z651))/STDEV(Rankings!Z2:Z651)</f>
        <v>-0.14296193116029876</v>
      </c>
      <c r="T271" s="118">
        <f>IFERROR((VLOOKUP($A271,Hitters!$A1:$R401,18,FALSE)-AVERAGE(Rankings!AA2:AA651))/STDEV(Rankings!AA2:AA651),0)</f>
        <v>0</v>
      </c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</row>
    <row r="272" spans="1:37" ht="18.600000000000001" customHeight="1">
      <c r="A272" s="26" t="s">
        <v>264</v>
      </c>
      <c r="B272" s="27" t="s">
        <v>223</v>
      </c>
      <c r="C272" s="123" t="s">
        <v>23</v>
      </c>
      <c r="D272" s="67">
        <f>(F272*Settings!$C$2)+(G272*Settings!$C$3)+(H272*Settings!$C$4)+(I272*Settings!$C$5)+(J272*Settings!$C$6)+(M272*Settings!$C$9)+(N272*Settings!$C$10)+(O272*Settings!$C$11)+(P272*Settings!$C$12)+(Q272*Settings!$C$13)+(T272*Settings!$C$16)+(K272*Settings!$C$7)+(L272*Settings!$C$8)+(R272*Settings!$C$14)+(S272*Settings!$C$15)</f>
        <v>0.99135687727366295</v>
      </c>
      <c r="E272" s="67"/>
      <c r="F272" s="118">
        <f>(VLOOKUP($A272,Hitters!$A1:$R401,4,FALSE)-AVERAGE(Rankings!M2:M651))/STDEV(Rankings!M2:M651)</f>
        <v>2.2861087955348046E-2</v>
      </c>
      <c r="G272" s="118">
        <f>(VLOOKUP($A272,Hitters!$A1:$R401,5,FALSE)-AVERAGE(Rankings!N2:N651))/STDEV(Rankings!N2:N651)</f>
        <v>0.20009713898981155</v>
      </c>
      <c r="H272" s="118">
        <f>(VLOOKUP($A272,Hitters!$A1:$R401,6,FALSE)-AVERAGE(Rankings!O2:O651))/STDEV(Rankings!O2:O651)</f>
        <v>0.21757457675129446</v>
      </c>
      <c r="I272" s="118">
        <f>(VLOOKUP($A272,Hitters!$A1:$R401,7,FALSE)-AVERAGE(Rankings!P2:P651))/STDEV(Rankings!P2:P651)</f>
        <v>3.6909042626027407E-2</v>
      </c>
      <c r="J272" s="118">
        <f>(VLOOKUP($A272,Hitters!$A1:$R401,8,FALSE)-AVERAGE(Rankings!Q2:Q651))/STDEV(Rankings!Q2:Q651)</f>
        <v>0.72851530334870007</v>
      </c>
      <c r="K272" s="157">
        <f>(VLOOKUP($A272,Hitters!$A$1:$R$401,14,FALSE)-AVERAGE(Rankings!R$2:R$651))/STDEV(Rankings!R$2:R$651)</f>
        <v>-0.19173918444217056</v>
      </c>
      <c r="L272" s="157">
        <f>(VLOOKUP($A272,Hitters!$A$1:$R$401,15,FALSE)-AVERAGE(Rankings!S$2:S$651))/STDEV(Rankings!S$2:S$651)</f>
        <v>0.75124896433333488</v>
      </c>
      <c r="M272" s="157">
        <f>(VLOOKUP($A272,Hitters!$A$1:$R$401,9,FALSE)-AVERAGE(Rankings!T$2:T$651))/STDEV(Rankings!T$2:T$651)</f>
        <v>-5.3525375109226676E-2</v>
      </c>
      <c r="N272" s="157">
        <f>(VLOOKUP($A272,Hitters!$A$1:$R$401,10,FALSE)-AVERAGE(Rankings!U$2:U$651))/STDEV(Rankings!U$2:U$651)</f>
        <v>-0.13120143583693275</v>
      </c>
      <c r="O272" s="157">
        <f>(VLOOKUP($A272,Hitters!$A$1:$R$401,11,FALSE)-AVERAGE(Rankings!V$2:V$651))/STDEV(Rankings!V$2:V$651)</f>
        <v>-0.55118100840177164</v>
      </c>
      <c r="P272" s="157">
        <f>(VLOOKUP($A272,Hitters!$A$1:$R$401,12,FALSE)-AVERAGE(Rankings!W$2:W$651))/STDEV(Rankings!W$2:W$651)</f>
        <v>0.70777689243610153</v>
      </c>
      <c r="Q272" s="157">
        <f>(VLOOKUP($A272,Hitters!$A$1:$R$401,13,FALSE)-AVERAGE(Rankings!X$2:X$651))/STDEV(Rankings!X$2:X$651)</f>
        <v>0.44748174246454703</v>
      </c>
      <c r="R272" s="118">
        <f>(VLOOKUP($A272,Hitters!$A1:$R401,16,FALSE)-AVERAGE(Rankings!Y2:Y651))/STDEV(Rankings!Y2:Y651)</f>
        <v>0.18440656827473914</v>
      </c>
      <c r="S272" s="118">
        <f>(VLOOKUP($A272,Hitters!$A1:$R401,17,FALSE)-AVERAGE(Rankings!Z2:Z651))/STDEV(Rankings!Z2:Z651)</f>
        <v>0.41761553109102384</v>
      </c>
      <c r="T272" s="118">
        <f>IFERROR((VLOOKUP($A272,Hitters!$A1:$R401,18,FALSE)-AVERAGE(Rankings!AA2:AA651))/STDEV(Rankings!AA2:AA651),0)</f>
        <v>0</v>
      </c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</row>
    <row r="273" spans="1:37" ht="18.600000000000001" customHeight="1">
      <c r="A273" s="26" t="s">
        <v>292</v>
      </c>
      <c r="B273" s="27" t="s">
        <v>123</v>
      </c>
      <c r="C273" s="123" t="s">
        <v>23</v>
      </c>
      <c r="D273" s="67">
        <f>(F273*Settings!$C$2)+(G273*Settings!$C$3)+(H273*Settings!$C$4)+(I273*Settings!$C$5)+(J273*Settings!$C$6)+(M273*Settings!$C$9)+(N273*Settings!$C$10)+(O273*Settings!$C$11)+(P273*Settings!$C$12)+(Q273*Settings!$C$13)+(T273*Settings!$C$16)+(K273*Settings!$C$7)+(L273*Settings!$C$8)+(R273*Settings!$C$14)+(S273*Settings!$C$15)</f>
        <v>0.42666442586634201</v>
      </c>
      <c r="E273" s="67"/>
      <c r="F273" s="118">
        <f>(VLOOKUP($A273,Hitters!$A1:$R401,4,FALSE)-AVERAGE(Rankings!M2:M651))/STDEV(Rankings!M2:M651)</f>
        <v>0.4450171117072948</v>
      </c>
      <c r="G273" s="118">
        <f>(VLOOKUP($A273,Hitters!$A1:$R401,5,FALSE)-AVERAGE(Rankings!N2:N651))/STDEV(Rankings!N2:N651)</f>
        <v>0.41011714737376775</v>
      </c>
      <c r="H273" s="118">
        <f>(VLOOKUP($A273,Hitters!$A1:$R401,6,FALSE)-AVERAGE(Rankings!O2:O651))/STDEV(Rankings!O2:O651)</f>
        <v>-0.21730319156905645</v>
      </c>
      <c r="I273" s="118">
        <f>(VLOOKUP($A273,Hitters!$A1:$R401,7,FALSE)-AVERAGE(Rankings!P2:P651))/STDEV(Rankings!P2:P651)</f>
        <v>0.14380763627598536</v>
      </c>
      <c r="J273" s="118">
        <f>(VLOOKUP($A273,Hitters!$A1:$R401,8,FALSE)-AVERAGE(Rankings!Q2:Q651))/STDEV(Rankings!Q2:Q651)</f>
        <v>-0.16907799543173088</v>
      </c>
      <c r="K273" s="157">
        <f>(VLOOKUP($A273,Hitters!$A$1:$R$401,14,FALSE)-AVERAGE(Rankings!R$2:R$651))/STDEV(Rankings!R$2:R$651)</f>
        <v>0.25912082921737628</v>
      </c>
      <c r="L273" s="157">
        <f>(VLOOKUP($A273,Hitters!$A$1:$R$401,15,FALSE)-AVERAGE(Rankings!S$2:S$651))/STDEV(Rankings!S$2:S$651)</f>
        <v>0.50442158150867378</v>
      </c>
      <c r="M273" s="157">
        <f>(VLOOKUP($A273,Hitters!$A$1:$R$401,9,FALSE)-AVERAGE(Rankings!T$2:T$651))/STDEV(Rankings!T$2:T$651)</f>
        <v>0.41372204902484044</v>
      </c>
      <c r="N273" s="157">
        <f>(VLOOKUP($A273,Hitters!$A$1:$R$401,10,FALSE)-AVERAGE(Rankings!U$2:U$651))/STDEV(Rankings!U$2:U$651)</f>
        <v>0.9703703930947204</v>
      </c>
      <c r="O273" s="157">
        <f>(VLOOKUP($A273,Hitters!$A$1:$R$401,11,FALSE)-AVERAGE(Rankings!V$2:V$651))/STDEV(Rankings!V$2:V$651)</f>
        <v>1.1785058660492833</v>
      </c>
      <c r="P273" s="157">
        <f>(VLOOKUP($A273,Hitters!$A$1:$R$401,12,FALSE)-AVERAGE(Rankings!W$2:W$651))/STDEV(Rankings!W$2:W$651)</f>
        <v>0.54374761948527861</v>
      </c>
      <c r="Q273" s="157">
        <f>(VLOOKUP($A273,Hitters!$A$1:$R$401,13,FALSE)-AVERAGE(Rankings!X$2:X$651))/STDEV(Rankings!X$2:X$651)</f>
        <v>0.21123920967817766</v>
      </c>
      <c r="R273" s="118">
        <f>(VLOOKUP($A273,Hitters!$A1:$R401,16,FALSE)-AVERAGE(Rankings!Y2:Y651))/STDEV(Rankings!Y2:Y651)</f>
        <v>-5.9460598836944441E-3</v>
      </c>
      <c r="S273" s="118">
        <f>(VLOOKUP($A273,Hitters!$A1:$R401,17,FALSE)-AVERAGE(Rankings!Z2:Z651))/STDEV(Rankings!Z2:Z651)</f>
        <v>0.18553901805593015</v>
      </c>
      <c r="T273" s="118">
        <f>IFERROR((VLOOKUP($A273,Hitters!$A1:$R401,18,FALSE)-AVERAGE(Rankings!AA2:AA651))/STDEV(Rankings!AA2:AA651),0)</f>
        <v>0</v>
      </c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</row>
    <row r="274" spans="1:37" ht="18.600000000000001" customHeight="1">
      <c r="A274" s="26" t="s">
        <v>287</v>
      </c>
      <c r="B274" s="27" t="s">
        <v>63</v>
      </c>
      <c r="C274" s="123" t="s">
        <v>23</v>
      </c>
      <c r="D274" s="67">
        <f>(F274*Settings!$C$2)+(G274*Settings!$C$3)+(H274*Settings!$C$4)+(I274*Settings!$C$5)+(J274*Settings!$C$6)+(M274*Settings!$C$9)+(N274*Settings!$C$10)+(O274*Settings!$C$11)+(P274*Settings!$C$12)+(Q274*Settings!$C$13)+(T274*Settings!$C$16)+(K274*Settings!$C$7)+(L274*Settings!$C$8)+(R274*Settings!$C$14)+(S274*Settings!$C$15)</f>
        <v>0.64464014251326751</v>
      </c>
      <c r="E274" s="67"/>
      <c r="F274" s="118">
        <f>(VLOOKUP($A274,Hitters!$A1:$R401,4,FALSE)-AVERAGE(Rankings!M2:M651))/STDEV(Rankings!M2:M651)</f>
        <v>0.54703920691003249</v>
      </c>
      <c r="G274" s="118">
        <f>(VLOOKUP($A274,Hitters!$A1:$R401,5,FALSE)-AVERAGE(Rankings!N2:N651))/STDEV(Rankings!N2:N651)</f>
        <v>0.55791463969177923</v>
      </c>
      <c r="H274" s="118">
        <f>(VLOOKUP($A274,Hitters!$A1:$R401,6,FALSE)-AVERAGE(Rankings!O2:O651))/STDEV(Rankings!O2:O651)</f>
        <v>0.38830746320863568</v>
      </c>
      <c r="I274" s="118">
        <f>(VLOOKUP($A274,Hitters!$A1:$R401,7,FALSE)-AVERAGE(Rankings!P2:P651))/STDEV(Rankings!P2:P651)</f>
        <v>0.30346832150602998</v>
      </c>
      <c r="J274" s="118">
        <f>(VLOOKUP($A274,Hitters!$A1:$R401,8,FALSE)-AVERAGE(Rankings!Q2:Q651))/STDEV(Rankings!Q2:Q651)</f>
        <v>0.71996227032697013</v>
      </c>
      <c r="K274" s="157">
        <f>(VLOOKUP($A274,Hitters!$A$1:$R$401,14,FALSE)-AVERAGE(Rankings!R$2:R$651))/STDEV(Rankings!R$2:R$651)</f>
        <v>-1.3250125522201475</v>
      </c>
      <c r="L274" s="157">
        <f>(VLOOKUP($A274,Hitters!$A$1:$R$401,15,FALSE)-AVERAGE(Rankings!S$2:S$651))/STDEV(Rankings!S$2:S$651)</f>
        <v>-0.13255118816296316</v>
      </c>
      <c r="M274" s="157">
        <f>(VLOOKUP($A274,Hitters!$A$1:$R$401,9,FALSE)-AVERAGE(Rankings!T$2:T$651))/STDEV(Rankings!T$2:T$651)</f>
        <v>0.13189383541677732</v>
      </c>
      <c r="N274" s="157">
        <f>(VLOOKUP($A274,Hitters!$A$1:$R$401,10,FALSE)-AVERAGE(Rankings!U$2:U$651))/STDEV(Rankings!U$2:U$651)</f>
        <v>0.13816730045651043</v>
      </c>
      <c r="O274" s="157">
        <f>(VLOOKUP($A274,Hitters!$A$1:$R$401,11,FALSE)-AVERAGE(Rankings!V$2:V$651))/STDEV(Rankings!V$2:V$651)</f>
        <v>1.1465541096147036</v>
      </c>
      <c r="P274" s="157">
        <f>(VLOOKUP($A274,Hitters!$A$1:$R$401,12,FALSE)-AVERAGE(Rankings!W$2:W$651))/STDEV(Rankings!W$2:W$651)</f>
        <v>1.1505999467163102</v>
      </c>
      <c r="Q274" s="157">
        <f>(VLOOKUP($A274,Hitters!$A$1:$R$401,13,FALSE)-AVERAGE(Rankings!X$2:X$651))/STDEV(Rankings!X$2:X$651)</f>
        <v>1.1898407607181125</v>
      </c>
      <c r="R274" s="118">
        <f>(VLOOKUP($A274,Hitters!$A1:$R401,16,FALSE)-AVERAGE(Rankings!Y2:Y651))/STDEV(Rankings!Y2:Y651)</f>
        <v>-0.41192125889309145</v>
      </c>
      <c r="S274" s="118">
        <f>(VLOOKUP($A274,Hitters!$A1:$R401,17,FALSE)-AVERAGE(Rankings!Z2:Z651))/STDEV(Rankings!Z2:Z651)</f>
        <v>-0.3510363684181772</v>
      </c>
      <c r="T274" s="118">
        <f>IFERROR((VLOOKUP($A274,Hitters!$A1:$R401,18,FALSE)-AVERAGE(Rankings!AA2:AA651))/STDEV(Rankings!AA2:AA651),0)</f>
        <v>0</v>
      </c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</row>
    <row r="275" spans="1:37" ht="18.600000000000001" customHeight="1">
      <c r="A275" s="26" t="s">
        <v>291</v>
      </c>
      <c r="B275" s="27" t="s">
        <v>134</v>
      </c>
      <c r="C275" s="123" t="s">
        <v>23</v>
      </c>
      <c r="D275" s="67">
        <f>(F275*Settings!$C$2)+(G275*Settings!$C$3)+(H275*Settings!$C$4)+(I275*Settings!$C$5)+(J275*Settings!$C$6)+(M275*Settings!$C$9)+(N275*Settings!$C$10)+(O275*Settings!$C$11)+(P275*Settings!$C$12)+(Q275*Settings!$C$13)+(T275*Settings!$C$16)+(K275*Settings!$C$7)+(L275*Settings!$C$8)+(R275*Settings!$C$14)+(S275*Settings!$C$15)</f>
        <v>0.9416276137517956</v>
      </c>
      <c r="E275" s="67"/>
      <c r="F275" s="118">
        <f>(VLOOKUP($A275,Hitters!$A1:$R401,4,FALSE)-AVERAGE(Rankings!M2:M651))/STDEV(Rankings!M2:M651)</f>
        <v>0.71939951681776149</v>
      </c>
      <c r="G275" s="118">
        <f>(VLOOKUP($A275,Hitters!$A1:$R401,5,FALSE)-AVERAGE(Rankings!N2:N651))/STDEV(Rankings!N2:N651)</f>
        <v>0.17027901393131417</v>
      </c>
      <c r="H275" s="118">
        <f>(VLOOKUP($A275,Hitters!$A1:$R401,6,FALSE)-AVERAGE(Rankings!O2:O651))/STDEV(Rankings!O2:O651)</f>
        <v>0.30409038457667875</v>
      </c>
      <c r="I275" s="118">
        <f>(VLOOKUP($A275,Hitters!$A1:$R401,7,FALSE)-AVERAGE(Rankings!P2:P651))/STDEV(Rankings!P2:P651)</f>
        <v>0.5252829033296933</v>
      </c>
      <c r="J275" s="118">
        <f>(VLOOKUP($A275,Hitters!$A1:$R401,8,FALSE)-AVERAGE(Rankings!Q2:Q651))/STDEV(Rankings!Q2:Q651)</f>
        <v>1.5287383036668989E-2</v>
      </c>
      <c r="K275" s="157">
        <f>(VLOOKUP($A275,Hitters!$A$1:$R$401,14,FALSE)-AVERAGE(Rankings!R$2:R$651))/STDEV(Rankings!R$2:R$651)</f>
        <v>-7.3312071122559441E-2</v>
      </c>
      <c r="L275" s="157">
        <f>(VLOOKUP($A275,Hitters!$A$1:$R$401,15,FALSE)-AVERAGE(Rankings!S$2:S$651))/STDEV(Rankings!S$2:S$651)</f>
        <v>-0.74985582307028376</v>
      </c>
      <c r="M275" s="157">
        <f>(VLOOKUP($A275,Hitters!$A$1:$R$401,9,FALSE)-AVERAGE(Rankings!T$2:T$651))/STDEV(Rankings!T$2:T$651)</f>
        <v>0.57669025821171038</v>
      </c>
      <c r="N275" s="157">
        <f>(VLOOKUP($A275,Hitters!$A$1:$R$401,10,FALSE)-AVERAGE(Rankings!U$2:U$651))/STDEV(Rankings!U$2:U$651)</f>
        <v>1.682227867575832E-2</v>
      </c>
      <c r="O275" s="157">
        <f>(VLOOKUP($A275,Hitters!$A$1:$R$401,11,FALSE)-AVERAGE(Rankings!V$2:V$651))/STDEV(Rankings!V$2:V$651)</f>
        <v>-0.56262641369177036</v>
      </c>
      <c r="P275" s="157">
        <f>(VLOOKUP($A275,Hitters!$A$1:$R$401,12,FALSE)-AVERAGE(Rankings!W$2:W$651))/STDEV(Rankings!W$2:W$651)</f>
        <v>-0.22927998369877775</v>
      </c>
      <c r="Q275" s="157">
        <f>(VLOOKUP($A275,Hitters!$A$1:$R$401,13,FALSE)-AVERAGE(Rankings!X$2:X$651))/STDEV(Rankings!X$2:X$651)</f>
        <v>1.2191061072866662</v>
      </c>
      <c r="R275" s="118">
        <f>(VLOOKUP($A275,Hitters!$A1:$R401,16,FALSE)-AVERAGE(Rankings!Y2:Y651))/STDEV(Rankings!Y2:Y651)</f>
        <v>-0.3775989818513949</v>
      </c>
      <c r="S275" s="118">
        <f>(VLOOKUP($A275,Hitters!$A1:$R401,17,FALSE)-AVERAGE(Rankings!Z2:Z651))/STDEV(Rankings!Z2:Z651)</f>
        <v>-0.55830864966352167</v>
      </c>
      <c r="T275" s="118">
        <f>IFERROR((VLOOKUP($A275,Hitters!$A1:$R401,18,FALSE)-AVERAGE(Rankings!AA2:AA651))/STDEV(Rankings!AA2:AA651),0)</f>
        <v>0</v>
      </c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</row>
    <row r="276" spans="1:37" ht="18.600000000000001" customHeight="1">
      <c r="A276" s="26" t="s">
        <v>308</v>
      </c>
      <c r="B276" s="27" t="s">
        <v>97</v>
      </c>
      <c r="C276" s="123" t="s">
        <v>23</v>
      </c>
      <c r="D276" s="67">
        <f>(F276*Settings!$C$2)+(G276*Settings!$C$3)+(H276*Settings!$C$4)+(I276*Settings!$C$5)+(J276*Settings!$C$6)+(M276*Settings!$C$9)+(N276*Settings!$C$10)+(O276*Settings!$C$11)+(P276*Settings!$C$12)+(Q276*Settings!$C$13)+(T276*Settings!$C$16)+(K276*Settings!$C$7)+(L276*Settings!$C$8)+(R276*Settings!$C$14)+(S276*Settings!$C$15)</f>
        <v>0.52701108251640205</v>
      </c>
      <c r="E276" s="67"/>
      <c r="F276" s="118">
        <f>(VLOOKUP($A276,Hitters!$A1:$R401,4,FALSE)-AVERAGE(Rankings!M2:M651))/STDEV(Rankings!M2:M651)</f>
        <v>0.27434660875944467</v>
      </c>
      <c r="G276" s="118">
        <f>(VLOOKUP($A276,Hitters!$A1:$R401,5,FALSE)-AVERAGE(Rankings!N2:N651))/STDEV(Rankings!N2:N651)</f>
        <v>0.3980225507301432</v>
      </c>
      <c r="H276" s="118">
        <f>(VLOOKUP($A276,Hitters!$A1:$R401,6,FALSE)-AVERAGE(Rankings!O2:O651))/STDEV(Rankings!O2:O651)</f>
        <v>0.36552914665557529</v>
      </c>
      <c r="I276" s="118">
        <f>(VLOOKUP($A276,Hitters!$A1:$R401,7,FALSE)-AVERAGE(Rankings!P2:P651))/STDEV(Rankings!P2:P651)</f>
        <v>0.32802954599941325</v>
      </c>
      <c r="J276" s="118">
        <f>(VLOOKUP($A276,Hitters!$A1:$R401,8,FALSE)-AVERAGE(Rankings!Q2:Q651))/STDEV(Rankings!Q2:Q651)</f>
        <v>-0.87391127222243448</v>
      </c>
      <c r="K276" s="157">
        <f>(VLOOKUP($A276,Hitters!$A$1:$R$401,14,FALSE)-AVERAGE(Rankings!R$2:R$651))/STDEV(Rankings!R$2:R$651)</f>
        <v>0.30934111135370485</v>
      </c>
      <c r="L276" s="157">
        <f>(VLOOKUP($A276,Hitters!$A$1:$R$401,15,FALSE)-AVERAGE(Rankings!S$2:S$651))/STDEV(Rankings!S$2:S$651)</f>
        <v>1.7808427545285739</v>
      </c>
      <c r="M276" s="157">
        <f>(VLOOKUP($A276,Hitters!$A$1:$R$401,9,FALSE)-AVERAGE(Rankings!T$2:T$651))/STDEV(Rankings!T$2:T$651)</f>
        <v>0.27214145152061442</v>
      </c>
      <c r="N276" s="157">
        <f>(VLOOKUP($A276,Hitters!$A$1:$R$401,10,FALSE)-AVERAGE(Rankings!U$2:U$651))/STDEV(Rankings!U$2:U$651)</f>
        <v>0.20421858004284196</v>
      </c>
      <c r="O276" s="157">
        <f>(VLOOKUP($A276,Hitters!$A$1:$R$401,11,FALSE)-AVERAGE(Rankings!V$2:V$651))/STDEV(Rankings!V$2:V$651)</f>
        <v>-0.56358019746593702</v>
      </c>
      <c r="P276" s="157">
        <f>(VLOOKUP($A276,Hitters!$A$1:$R$401,12,FALSE)-AVERAGE(Rankings!W$2:W$651))/STDEV(Rankings!W$2:W$651)</f>
        <v>1.5708433172342329</v>
      </c>
      <c r="Q276" s="157">
        <f>(VLOOKUP($A276,Hitters!$A$1:$R$401,13,FALSE)-AVERAGE(Rankings!X$2:X$651))/STDEV(Rankings!X$2:X$651)</f>
        <v>-0.11147055788857829</v>
      </c>
      <c r="R276" s="118">
        <f>(VLOOKUP($A276,Hitters!$A1:$R401,16,FALSE)-AVERAGE(Rankings!Y2:Y651))/STDEV(Rankings!Y2:Y651)</f>
        <v>0.42910203328087776</v>
      </c>
      <c r="S276" s="118">
        <f>(VLOOKUP($A276,Hitters!$A1:$R401,17,FALSE)-AVERAGE(Rankings!Z2:Z651))/STDEV(Rankings!Z2:Z651)</f>
        <v>0.98406996459819507</v>
      </c>
      <c r="T276" s="118">
        <f>IFERROR((VLOOKUP($A276,Hitters!$A1:$R401,18,FALSE)-AVERAGE(Rankings!AA2:AA651))/STDEV(Rankings!AA2:AA651),0)</f>
        <v>0</v>
      </c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</row>
    <row r="277" spans="1:37" ht="18.600000000000001" customHeight="1">
      <c r="A277" s="26" t="s">
        <v>294</v>
      </c>
      <c r="B277" s="27" t="s">
        <v>158</v>
      </c>
      <c r="C277" s="123" t="s">
        <v>23</v>
      </c>
      <c r="D277" s="67">
        <f>(F277*Settings!$C$2)+(G277*Settings!$C$3)+(H277*Settings!$C$4)+(I277*Settings!$C$5)+(J277*Settings!$C$6)+(M277*Settings!$C$9)+(N277*Settings!$C$10)+(O277*Settings!$C$11)+(P277*Settings!$C$12)+(Q277*Settings!$C$13)+(T277*Settings!$C$16)+(K277*Settings!$C$7)+(L277*Settings!$C$8)+(R277*Settings!$C$14)+(S277*Settings!$C$15)</f>
        <v>1.3734609580910089</v>
      </c>
      <c r="E277" s="67"/>
      <c r="F277" s="118">
        <f>(VLOOKUP($A277,Hitters!$A1:$R401,4,FALSE)-AVERAGE(Rankings!M2:M651))/STDEV(Rankings!M2:M651)</f>
        <v>0.57910329397374882</v>
      </c>
      <c r="G277" s="118">
        <f>(VLOOKUP($A277,Hitters!$A1:$R401,5,FALSE)-AVERAGE(Rankings!N2:N651))/STDEV(Rankings!N2:N651)</f>
        <v>0.43215111903689224</v>
      </c>
      <c r="H277" s="118">
        <f>(VLOOKUP($A277,Hitters!$A1:$R401,6,FALSE)-AVERAGE(Rankings!O2:O651))/STDEV(Rankings!O2:O651)</f>
        <v>0.5325004762509431</v>
      </c>
      <c r="I277" s="118">
        <f>(VLOOKUP($A277,Hitters!$A1:$R401,7,FALSE)-AVERAGE(Rankings!P2:P651))/STDEV(Rankings!P2:P651)</f>
        <v>0.48244710973138855</v>
      </c>
      <c r="J277" s="118">
        <f>(VLOOKUP($A277,Hitters!$A1:$R401,8,FALSE)-AVERAGE(Rankings!Q2:Q651))/STDEV(Rankings!Q2:Q651)</f>
        <v>0.85871147267947734</v>
      </c>
      <c r="K277" s="157">
        <f>(VLOOKUP($A277,Hitters!$A$1:$R$401,14,FALSE)-AVERAGE(Rankings!R$2:R$651))/STDEV(Rankings!R$2:R$651)</f>
        <v>-0.93234921960769224</v>
      </c>
      <c r="L277" s="157">
        <f>(VLOOKUP($A277,Hitters!$A$1:$R$401,15,FALSE)-AVERAGE(Rankings!S$2:S$651))/STDEV(Rankings!S$2:S$651)</f>
        <v>-0.50579491254870679</v>
      </c>
      <c r="M277" s="157">
        <f>(VLOOKUP($A277,Hitters!$A$1:$R$401,9,FALSE)-AVERAGE(Rankings!T$2:T$651))/STDEV(Rankings!T$2:T$651)</f>
        <v>0.25039438417943871</v>
      </c>
      <c r="N277" s="157">
        <f>(VLOOKUP($A277,Hitters!$A$1:$R$401,10,FALSE)-AVERAGE(Rankings!U$2:U$651))/STDEV(Rankings!U$2:U$651)</f>
        <v>0.25262749830643999</v>
      </c>
      <c r="O277" s="157">
        <f>(VLOOKUP($A277,Hitters!$A$1:$R$401,11,FALSE)-AVERAGE(Rankings!V$2:V$651))/STDEV(Rankings!V$2:V$651)</f>
        <v>1.1560919473563691</v>
      </c>
      <c r="P277" s="157">
        <f>(VLOOKUP($A277,Hitters!$A$1:$R$401,12,FALSE)-AVERAGE(Rankings!W$2:W$651))/STDEV(Rankings!W$2:W$651)</f>
        <v>0.53898909108909387</v>
      </c>
      <c r="Q277" s="157">
        <f>(VLOOKUP($A277,Hitters!$A$1:$R$401,13,FALSE)-AVERAGE(Rankings!X$2:X$651))/STDEV(Rankings!X$2:X$651)</f>
        <v>0.97694722876157292</v>
      </c>
      <c r="R277" s="118">
        <f>(VLOOKUP($A277,Hitters!$A1:$R401,16,FALSE)-AVERAGE(Rankings!Y2:Y651))/STDEV(Rankings!Y2:Y651)</f>
        <v>-5.2802129055431642E-2</v>
      </c>
      <c r="S277" s="118">
        <f>(VLOOKUP($A277,Hitters!$A1:$R401,17,FALSE)-AVERAGE(Rankings!Z2:Z651))/STDEV(Rankings!Z2:Z651)</f>
        <v>-0.22898187776103887</v>
      </c>
      <c r="T277" s="118">
        <f>IFERROR((VLOOKUP($A277,Hitters!$A1:$R401,18,FALSE)-AVERAGE(Rankings!AA2:AA651))/STDEV(Rankings!AA2:AA651),0)</f>
        <v>0</v>
      </c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</row>
    <row r="278" spans="1:37" ht="18.600000000000001" customHeight="1">
      <c r="A278" s="26" t="s">
        <v>304</v>
      </c>
      <c r="B278" s="27" t="s">
        <v>137</v>
      </c>
      <c r="C278" s="123" t="s">
        <v>23</v>
      </c>
      <c r="D278" s="67">
        <f>(F278*Settings!$C$2)+(G278*Settings!$C$3)+(H278*Settings!$C$4)+(I278*Settings!$C$5)+(J278*Settings!$C$6)+(M278*Settings!$C$9)+(N278*Settings!$C$10)+(O278*Settings!$C$11)+(P278*Settings!$C$12)+(Q278*Settings!$C$13)+(T278*Settings!$C$16)+(K278*Settings!$C$7)+(L278*Settings!$C$8)+(R278*Settings!$C$14)+(S278*Settings!$C$15)</f>
        <v>0.49821466167337702</v>
      </c>
      <c r="E278" s="67"/>
      <c r="F278" s="118">
        <f>(VLOOKUP($A278,Hitters!$A1:$R401,4,FALSE)-AVERAGE(Rankings!M2:M651))/STDEV(Rankings!M2:M651)</f>
        <v>0.38967593377123461</v>
      </c>
      <c r="G278" s="118">
        <f>(VLOOKUP($A278,Hitters!$A1:$R401,5,FALSE)-AVERAGE(Rankings!N2:N651))/STDEV(Rankings!N2:N651)</f>
        <v>0.31298004099698024</v>
      </c>
      <c r="H278" s="118">
        <f>(VLOOKUP($A278,Hitters!$A1:$R401,6,FALSE)-AVERAGE(Rankings!O2:O651))/STDEV(Rankings!O2:O651)</f>
        <v>0.15272255011245939</v>
      </c>
      <c r="I278" s="118">
        <f>(VLOOKUP($A278,Hitters!$A1:$R401,7,FALSE)-AVERAGE(Rankings!P2:P651))/STDEV(Rankings!P2:P651)</f>
        <v>0.29402561240028391</v>
      </c>
      <c r="J278" s="118">
        <f>(VLOOKUP($A278,Hitters!$A1:$R401,8,FALSE)-AVERAGE(Rankings!Q2:Q651))/STDEV(Rankings!Q2:Q651)</f>
        <v>9.9233818249943762E-2</v>
      </c>
      <c r="K278" s="157">
        <f>(VLOOKUP($A278,Hitters!$A$1:$R$401,14,FALSE)-AVERAGE(Rankings!R$2:R$651))/STDEV(Rankings!R$2:R$651)</f>
        <v>-0.36074736008629016</v>
      </c>
      <c r="L278" s="157">
        <f>(VLOOKUP($A278,Hitters!$A$1:$R$401,15,FALSE)-AVERAGE(Rankings!S$2:S$651))/STDEV(Rankings!S$2:S$651)</f>
        <v>0.5958720953499671</v>
      </c>
      <c r="M278" s="157">
        <f>(VLOOKUP($A278,Hitters!$A$1:$R$401,9,FALSE)-AVERAGE(Rankings!T$2:T$651))/STDEV(Rankings!T$2:T$651)</f>
        <v>0.22496289633831124</v>
      </c>
      <c r="N278" s="157">
        <f>(VLOOKUP($A278,Hitters!$A$1:$R$401,10,FALSE)-AVERAGE(Rankings!U$2:U$651))/STDEV(Rankings!U$2:U$651)</f>
        <v>0.32362724509305052</v>
      </c>
      <c r="O278" s="157">
        <f>(VLOOKUP($A278,Hitters!$A$1:$R$401,11,FALSE)-AVERAGE(Rankings!V$2:V$651))/STDEV(Rankings!V$2:V$651)</f>
        <v>-0.56453398124010357</v>
      </c>
      <c r="P278" s="157">
        <f>(VLOOKUP($A278,Hitters!$A$1:$R$401,12,FALSE)-AVERAGE(Rankings!W$2:W$651))/STDEV(Rankings!W$2:W$651)</f>
        <v>1.020595706872844</v>
      </c>
      <c r="Q278" s="157">
        <f>(VLOOKUP($A278,Hitters!$A$1:$R$401,13,FALSE)-AVERAGE(Rankings!X$2:X$651))/STDEV(Rankings!X$2:X$651)</f>
        <v>0.3626755138407538</v>
      </c>
      <c r="R278" s="118">
        <f>(VLOOKUP($A278,Hitters!$A1:$R401,16,FALSE)-AVERAGE(Rankings!Y2:Y651))/STDEV(Rankings!Y2:Y651)</f>
        <v>-0.2329442289112657</v>
      </c>
      <c r="S278" s="118">
        <f>(VLOOKUP($A278,Hitters!$A1:$R401,17,FALSE)-AVERAGE(Rankings!Z2:Z651))/STDEV(Rankings!Z2:Z651)</f>
        <v>5.4005309465793773E-2</v>
      </c>
      <c r="T278" s="118">
        <f>IFERROR((VLOOKUP($A278,Hitters!$A1:$R401,18,FALSE)-AVERAGE(Rankings!AA2:AA651))/STDEV(Rankings!AA2:AA651),0)</f>
        <v>0</v>
      </c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</row>
    <row r="279" spans="1:37" ht="18.600000000000001" customHeight="1">
      <c r="A279" s="26" t="s">
        <v>311</v>
      </c>
      <c r="B279" s="27" t="s">
        <v>258</v>
      </c>
      <c r="C279" s="123" t="s">
        <v>23</v>
      </c>
      <c r="D279" s="67">
        <f>(F279*Settings!$C$2)+(G279*Settings!$C$3)+(H279*Settings!$C$4)+(I279*Settings!$C$5)+(J279*Settings!$C$6)+(M279*Settings!$C$9)+(N279*Settings!$C$10)+(O279*Settings!$C$11)+(P279*Settings!$C$12)+(Q279*Settings!$C$13)+(T279*Settings!$C$16)+(K279*Settings!$C$7)+(L279*Settings!$C$8)+(R279*Settings!$C$14)+(S279*Settings!$C$15)</f>
        <v>0.94626283194346028</v>
      </c>
      <c r="E279" s="67"/>
      <c r="F279" s="118">
        <f>(VLOOKUP($A279,Hitters!$A1:$R401,4,FALSE)-AVERAGE(Rankings!M2:M651))/STDEV(Rankings!M2:M651)</f>
        <v>0.46732256357770652</v>
      </c>
      <c r="G279" s="118">
        <f>(VLOOKUP($A279,Hitters!$A1:$R401,5,FALSE)-AVERAGE(Rankings!N2:N651))/STDEV(Rankings!N2:N651)</f>
        <v>0.35534916257244675</v>
      </c>
      <c r="H279" s="118">
        <f>(VLOOKUP($A279,Hitters!$A1:$R401,6,FALSE)-AVERAGE(Rankings!O2:O651))/STDEV(Rankings!O2:O651)</f>
        <v>0.38273478637608233</v>
      </c>
      <c r="I279" s="118">
        <f>(VLOOKUP($A279,Hitters!$A1:$R401,7,FALSE)-AVERAGE(Rankings!P2:P651))/STDEV(Rankings!P2:P651)</f>
        <v>0.53220585987083358</v>
      </c>
      <c r="J279" s="118">
        <f>(VLOOKUP($A279,Hitters!$A1:$R401,8,FALSE)-AVERAGE(Rankings!Q2:Q651))/STDEV(Rankings!Q2:Q651)</f>
        <v>-0.37482595645445538</v>
      </c>
      <c r="K279" s="157">
        <f>(VLOOKUP($A279,Hitters!$A$1:$R$401,14,FALSE)-AVERAGE(Rankings!R$2:R$651))/STDEV(Rankings!R$2:R$651)</f>
        <v>5.079897957855304E-2</v>
      </c>
      <c r="L279" s="157">
        <f>(VLOOKUP($A279,Hitters!$A$1:$R$401,15,FALSE)-AVERAGE(Rankings!S$2:S$651))/STDEV(Rankings!S$2:S$651)</f>
        <v>0.44762213551868579</v>
      </c>
      <c r="M279" s="157">
        <f>(VLOOKUP($A279,Hitters!$A$1:$R$401,9,FALSE)-AVERAGE(Rankings!T$2:T$651))/STDEV(Rankings!T$2:T$651)</f>
        <v>0.38572943961667405</v>
      </c>
      <c r="N279" s="157">
        <f>(VLOOKUP($A279,Hitters!$A$1:$R$401,10,FALSE)-AVERAGE(Rankings!U$2:U$651))/STDEV(Rankings!U$2:U$651)</f>
        <v>0.50808315290634543</v>
      </c>
      <c r="O279" s="157">
        <f>(VLOOKUP($A279,Hitters!$A$1:$R$401,11,FALSE)-AVERAGE(Rankings!V$2:V$651))/STDEV(Rankings!V$2:V$651)</f>
        <v>2.0040057225904397</v>
      </c>
      <c r="P279" s="157">
        <f>(VLOOKUP($A279,Hitters!$A$1:$R$401,12,FALSE)-AVERAGE(Rankings!W$2:W$651))/STDEV(Rankings!W$2:W$651)</f>
        <v>0.65561968903478707</v>
      </c>
      <c r="Q279" s="157">
        <f>(VLOOKUP($A279,Hitters!$A$1:$R$401,13,FALSE)-AVERAGE(Rankings!X$2:X$651))/STDEV(Rankings!X$2:X$651)</f>
        <v>2.7832491777738312E-2</v>
      </c>
      <c r="R279" s="118">
        <f>(VLOOKUP($A279,Hitters!$A1:$R401,16,FALSE)-AVERAGE(Rankings!Y2:Y651))/STDEV(Rankings!Y2:Y651)</f>
        <v>0.54021312108345321</v>
      </c>
      <c r="S279" s="118">
        <f>(VLOOKUP($A279,Hitters!$A1:$R401,17,FALSE)-AVERAGE(Rankings!Z2:Z651))/STDEV(Rankings!Z2:Z651)</f>
        <v>0.56345332836544304</v>
      </c>
      <c r="T279" s="118">
        <f>IFERROR((VLOOKUP($A279,Hitters!$A1:$R401,18,FALSE)-AVERAGE(Rankings!AA2:AA651))/STDEV(Rankings!AA2:AA651),0)</f>
        <v>0</v>
      </c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</row>
    <row r="280" spans="1:37" ht="18.600000000000001" customHeight="1">
      <c r="A280" s="26" t="s">
        <v>323</v>
      </c>
      <c r="B280" s="27" t="s">
        <v>134</v>
      </c>
      <c r="C280" s="123" t="s">
        <v>23</v>
      </c>
      <c r="D280" s="67">
        <f>(F280*Settings!$C$2)+(G280*Settings!$C$3)+(H280*Settings!$C$4)+(I280*Settings!$C$5)+(J280*Settings!$C$6)+(M280*Settings!$C$9)+(N280*Settings!$C$10)+(O280*Settings!$C$11)+(P280*Settings!$C$12)+(Q280*Settings!$C$13)+(T280*Settings!$C$16)+(K280*Settings!$C$7)+(L280*Settings!$C$8)+(R280*Settings!$C$14)+(S280*Settings!$C$15)</f>
        <v>0.52646246745101888</v>
      </c>
      <c r="E280" s="67"/>
      <c r="F280" s="118">
        <f>(VLOOKUP($A280,Hitters!$A1:$R401,4,FALSE)-AVERAGE(Rankings!M2:M651))/STDEV(Rankings!M2:M651)</f>
        <v>0.50572342674097326</v>
      </c>
      <c r="G280" s="118">
        <f>(VLOOKUP($A280,Hitters!$A1:$R401,5,FALSE)-AVERAGE(Rankings!N2:N651))/STDEV(Rankings!N2:N651)</f>
        <v>0.42134965536774316</v>
      </c>
      <c r="H280" s="118">
        <f>(VLOOKUP($A280,Hitters!$A1:$R401,6,FALSE)-AVERAGE(Rankings!O2:O651))/STDEV(Rankings!O2:O651)</f>
        <v>1.0952711778783837</v>
      </c>
      <c r="I280" s="118">
        <f>(VLOOKUP($A280,Hitters!$A1:$R401,7,FALSE)-AVERAGE(Rankings!P2:P651))/STDEV(Rankings!P2:P651)</f>
        <v>0.71892207011276033</v>
      </c>
      <c r="J280" s="118">
        <f>(VLOOKUP($A280,Hitters!$A1:$R401,8,FALSE)-AVERAGE(Rankings!Q2:Q651))/STDEV(Rankings!Q2:Q651)</f>
        <v>-0.7262922578473926</v>
      </c>
      <c r="K280" s="157">
        <f>(VLOOKUP($A280,Hitters!$A$1:$R$401,14,FALSE)-AVERAGE(Rankings!R$2:R$651))/STDEV(Rankings!R$2:R$651)</f>
        <v>-0.98278817806047536</v>
      </c>
      <c r="L280" s="157">
        <f>(VLOOKUP($A280,Hitters!$A$1:$R$401,15,FALSE)-AVERAGE(Rankings!S$2:S$651))/STDEV(Rankings!S$2:S$651)</f>
        <v>-3.6531213317090076E-2</v>
      </c>
      <c r="M280" s="157">
        <f>(VLOOKUP($A280,Hitters!$A$1:$R$401,9,FALSE)-AVERAGE(Rankings!T$2:T$651))/STDEV(Rankings!T$2:T$651)</f>
        <v>0.17904243596086983</v>
      </c>
      <c r="N280" s="157">
        <f>(VLOOKUP($A280,Hitters!$A$1:$R$401,10,FALSE)-AVERAGE(Rankings!U$2:U$651))/STDEV(Rankings!U$2:U$651)</f>
        <v>0.25764768242266528</v>
      </c>
      <c r="O280" s="157">
        <f>(VLOOKUP($A280,Hitters!$A$1:$R$401,11,FALSE)-AVERAGE(Rankings!V$2:V$651))/STDEV(Rankings!V$2:V$651)</f>
        <v>-0.56358019746593702</v>
      </c>
      <c r="P280" s="157">
        <f>(VLOOKUP($A280,Hitters!$A$1:$R$401,12,FALSE)-AVERAGE(Rankings!W$2:W$651))/STDEV(Rankings!W$2:W$651)</f>
        <v>0.96184498700100052</v>
      </c>
      <c r="Q280" s="157">
        <f>(VLOOKUP($A280,Hitters!$A$1:$R$401,13,FALSE)-AVERAGE(Rankings!X$2:X$651))/STDEV(Rankings!X$2:X$651)</f>
        <v>1.36264867742886</v>
      </c>
      <c r="R280" s="118">
        <f>(VLOOKUP($A280,Hitters!$A1:$R401,16,FALSE)-AVERAGE(Rankings!Y2:Y651))/STDEV(Rankings!Y2:Y651)</f>
        <v>0.5030384442821273</v>
      </c>
      <c r="S280" s="118">
        <f>(VLOOKUP($A280,Hitters!$A1:$R401,17,FALSE)-AVERAGE(Rankings!Z2:Z651))/STDEV(Rankings!Z2:Z651)</f>
        <v>0.35403058822584044</v>
      </c>
      <c r="T280" s="118">
        <f>IFERROR((VLOOKUP($A280,Hitters!$A1:$R401,18,FALSE)-AVERAGE(Rankings!AA2:AA651))/STDEV(Rankings!AA2:AA651),0)</f>
        <v>0</v>
      </c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</row>
    <row r="281" spans="1:37" ht="18.600000000000001" customHeight="1">
      <c r="A281" s="26" t="s">
        <v>297</v>
      </c>
      <c r="B281" s="27" t="s">
        <v>101</v>
      </c>
      <c r="C281" s="123" t="s">
        <v>23</v>
      </c>
      <c r="D281" s="67">
        <f>(F281*Settings!$C$2)+(G281*Settings!$C$3)+(H281*Settings!$C$4)+(I281*Settings!$C$5)+(J281*Settings!$C$6)+(M281*Settings!$C$9)+(N281*Settings!$C$10)+(O281*Settings!$C$11)+(P281*Settings!$C$12)+(Q281*Settings!$C$13)+(T281*Settings!$C$16)+(K281*Settings!$C$7)+(L281*Settings!$C$8)+(R281*Settings!$C$14)+(S281*Settings!$C$15)</f>
        <v>1.3232888423359752</v>
      </c>
      <c r="E281" s="67"/>
      <c r="F281" s="118">
        <f>(VLOOKUP($A281,Hitters!$A1:$R401,4,FALSE)-AVERAGE(Rankings!M2:M651))/STDEV(Rankings!M2:M651)</f>
        <v>0.55688233245133112</v>
      </c>
      <c r="G281" s="118">
        <f>(VLOOKUP($A281,Hitters!$A1:$R401,5,FALSE)-AVERAGE(Rankings!N2:N651))/STDEV(Rankings!N2:N651)</f>
        <v>0.18351461025830049</v>
      </c>
      <c r="H281" s="118">
        <f>(VLOOKUP($A281,Hitters!$A1:$R401,6,FALSE)-AVERAGE(Rankings!O2:O651))/STDEV(Rankings!O2:O651)</f>
        <v>-0.51126189448622439</v>
      </c>
      <c r="I281" s="118">
        <f>(VLOOKUP($A281,Hitters!$A1:$R401,7,FALSE)-AVERAGE(Rankings!P2:P651))/STDEV(Rankings!P2:P651)</f>
        <v>8.8016751209150118E-2</v>
      </c>
      <c r="J281" s="118">
        <f>(VLOOKUP($A281,Hitters!$A1:$R401,8,FALSE)-AVERAGE(Rankings!Q2:Q651))/STDEV(Rankings!Q2:Q651)</f>
        <v>1.202891857053904</v>
      </c>
      <c r="K281" s="157">
        <f>(VLOOKUP($A281,Hitters!$A$1:$R$401,14,FALSE)-AVERAGE(Rankings!R$2:R$651))/STDEV(Rankings!R$2:R$651)</f>
        <v>0.360127518300845</v>
      </c>
      <c r="L281" s="157">
        <f>(VLOOKUP($A281,Hitters!$A$1:$R$401,15,FALSE)-AVERAGE(Rankings!S$2:S$651))/STDEV(Rankings!S$2:S$651)</f>
        <v>-1.7076801240242218E-2</v>
      </c>
      <c r="M281" s="157">
        <f>(VLOOKUP($A281,Hitters!$A$1:$R$401,9,FALSE)-AVERAGE(Rankings!T$2:T$651))/STDEV(Rankings!T$2:T$651)</f>
        <v>0.53750959143174082</v>
      </c>
      <c r="N281" s="157">
        <f>(VLOOKUP($A281,Hitters!$A$1:$R$401,10,FALSE)-AVERAGE(Rankings!U$2:U$651))/STDEV(Rankings!U$2:U$651)</f>
        <v>0.41800670647808025</v>
      </c>
      <c r="O281" s="157">
        <f>(VLOOKUP($A281,Hitters!$A$1:$R$401,11,FALSE)-AVERAGE(Rankings!V$2:V$651))/STDEV(Rankings!V$2:V$651)</f>
        <v>0.7135362761430859</v>
      </c>
      <c r="P281" s="157">
        <f>(VLOOKUP($A281,Hitters!$A$1:$R$401,12,FALSE)-AVERAGE(Rankings!W$2:W$651))/STDEV(Rankings!W$2:W$651)</f>
        <v>5.7071460377488524E-2</v>
      </c>
      <c r="Q281" s="157">
        <f>(VLOOKUP($A281,Hitters!$A$1:$R$401,13,FALSE)-AVERAGE(Rankings!X$2:X$651))/STDEV(Rankings!X$2:X$651)</f>
        <v>-0.1856463471101725</v>
      </c>
      <c r="R281" s="118">
        <f>(VLOOKUP($A281,Hitters!$A1:$R401,16,FALSE)-AVERAGE(Rankings!Y2:Y651))/STDEV(Rankings!Y2:Y651)</f>
        <v>-0.70811602800442786</v>
      </c>
      <c r="S281" s="118">
        <f>(VLOOKUP($A281,Hitters!$A1:$R401,17,FALSE)-AVERAGE(Rankings!Z2:Z651))/STDEV(Rankings!Z2:Z651)</f>
        <v>-0.52411638170991948</v>
      </c>
      <c r="T281" s="118">
        <f>IFERROR((VLOOKUP($A281,Hitters!$A1:$R401,18,FALSE)-AVERAGE(Rankings!AA2:AA651))/STDEV(Rankings!AA2:AA651),0)</f>
        <v>0</v>
      </c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</row>
    <row r="282" spans="1:37" ht="18.600000000000001" customHeight="1">
      <c r="A282" s="26" t="s">
        <v>305</v>
      </c>
      <c r="B282" s="27" t="s">
        <v>306</v>
      </c>
      <c r="C282" s="123" t="s">
        <v>23</v>
      </c>
      <c r="D282" s="67">
        <f>(F282*Settings!$C$2)+(G282*Settings!$C$3)+(H282*Settings!$C$4)+(I282*Settings!$C$5)+(J282*Settings!$C$6)+(M282*Settings!$C$9)+(N282*Settings!$C$10)+(O282*Settings!$C$11)+(P282*Settings!$C$12)+(Q282*Settings!$C$13)+(T282*Settings!$C$16)+(K282*Settings!$C$7)+(L282*Settings!$C$8)+(R282*Settings!$C$14)+(S282*Settings!$C$15)</f>
        <v>1.1540789727905021</v>
      </c>
      <c r="E282" s="67"/>
      <c r="F282" s="118">
        <f>(VLOOKUP($A282,Hitters!$A1:$R401,4,FALSE)-AVERAGE(Rankings!M2:M651))/STDEV(Rankings!M2:M651)</f>
        <v>0.69536201281347287</v>
      </c>
      <c r="G282" s="118">
        <f>(VLOOKUP($A282,Hitters!$A1:$R401,5,FALSE)-AVERAGE(Rankings!N2:N651))/STDEV(Rankings!N2:N651)</f>
        <v>0.57753983424558575</v>
      </c>
      <c r="H282" s="118">
        <f>(VLOOKUP($A282,Hitters!$A1:$R401,6,FALSE)-AVERAGE(Rankings!O2:O651))/STDEV(Rankings!O2:O651)</f>
        <v>0.36880309429469998</v>
      </c>
      <c r="I282" s="118">
        <f>(VLOOKUP($A282,Hitters!$A1:$R401,7,FALSE)-AVERAGE(Rankings!P2:P651))/STDEV(Rankings!P2:P651)</f>
        <v>0.18575260826054041</v>
      </c>
      <c r="J282" s="118">
        <f>(VLOOKUP($A282,Hitters!$A1:$R401,8,FALSE)-AVERAGE(Rankings!Q2:Q651))/STDEV(Rankings!Q2:Q651)</f>
        <v>0.55650430591168809</v>
      </c>
      <c r="K282" s="157">
        <f>(VLOOKUP($A282,Hitters!$A$1:$R$401,14,FALSE)-AVERAGE(Rankings!R$2:R$651))/STDEV(Rankings!R$2:R$651)</f>
        <v>-0.53452086992201209</v>
      </c>
      <c r="L282" s="157">
        <f>(VLOOKUP($A282,Hitters!$A$1:$R$401,15,FALSE)-AVERAGE(Rankings!S$2:S$651))/STDEV(Rankings!S$2:S$651)</f>
        <v>-0.30296508072372569</v>
      </c>
      <c r="M282" s="157">
        <f>(VLOOKUP($A282,Hitters!$A$1:$R$401,9,FALSE)-AVERAGE(Rankings!T$2:T$651))/STDEV(Rankings!T$2:T$651)</f>
        <v>0.44252343366470392</v>
      </c>
      <c r="N282" s="157">
        <f>(VLOOKUP($A282,Hitters!$A$1:$R$401,10,FALSE)-AVERAGE(Rankings!U$2:U$651))/STDEV(Rankings!U$2:U$651)</f>
        <v>0.76382567517003574</v>
      </c>
      <c r="O282" s="157">
        <f>(VLOOKUP($A282,Hitters!$A$1:$R$401,11,FALSE)-AVERAGE(Rankings!V$2:V$651))/STDEV(Rankings!V$2:V$651)</f>
        <v>0.31151641533188096</v>
      </c>
      <c r="P282" s="157">
        <f>(VLOOKUP($A282,Hitters!$A$1:$R$401,12,FALSE)-AVERAGE(Rankings!W$2:W$651))/STDEV(Rankings!W$2:W$651)</f>
        <v>0.52838348204923202</v>
      </c>
      <c r="Q282" s="157">
        <f>(VLOOKUP($A282,Hitters!$A$1:$R$401,13,FALSE)-AVERAGE(Rankings!X$2:X$651))/STDEV(Rankings!X$2:X$651)</f>
        <v>1.0100724372559255</v>
      </c>
      <c r="R282" s="118">
        <f>(VLOOKUP($A282,Hitters!$A1:$R401,16,FALSE)-AVERAGE(Rankings!Y2:Y651))/STDEV(Rankings!Y2:Y651)</f>
        <v>-0.10204203618641297</v>
      </c>
      <c r="S282" s="118">
        <f>(VLOOKUP($A282,Hitters!$A1:$R401,17,FALSE)-AVERAGE(Rankings!Z2:Z651))/STDEV(Rankings!Z2:Z651)</f>
        <v>-0.18863197855821934</v>
      </c>
      <c r="T282" s="118">
        <f>IFERROR((VLOOKUP($A282,Hitters!$A1:$R401,18,FALSE)-AVERAGE(Rankings!AA2:AA651))/STDEV(Rankings!AA2:AA651),0)</f>
        <v>0</v>
      </c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</row>
    <row r="283" spans="1:37" ht="18.600000000000001" customHeight="1">
      <c r="A283" s="26" t="s">
        <v>315</v>
      </c>
      <c r="B283" s="27" t="s">
        <v>123</v>
      </c>
      <c r="C283" s="123" t="s">
        <v>23</v>
      </c>
      <c r="D283" s="67">
        <f>(F283*Settings!$C$2)+(G283*Settings!$C$3)+(H283*Settings!$C$4)+(I283*Settings!$C$5)+(J283*Settings!$C$6)+(M283*Settings!$C$9)+(N283*Settings!$C$10)+(O283*Settings!$C$11)+(P283*Settings!$C$12)+(Q283*Settings!$C$13)+(T283*Settings!$C$16)+(K283*Settings!$C$7)+(L283*Settings!$C$8)+(R283*Settings!$C$14)+(S283*Settings!$C$15)</f>
        <v>1.1237209613096202</v>
      </c>
      <c r="E283" s="67"/>
      <c r="F283" s="118">
        <f>(VLOOKUP($A283,Hitters!$A1:$R401,4,FALSE)-AVERAGE(Rankings!M2:M651))/STDEV(Rankings!M2:M651)</f>
        <v>0.28355605669078904</v>
      </c>
      <c r="G283" s="118">
        <f>(VLOOKUP($A283,Hitters!$A1:$R401,5,FALSE)-AVERAGE(Rankings!N2:N651))/STDEV(Rankings!N2:N651)</f>
        <v>0.5297699808355445</v>
      </c>
      <c r="H283" s="118">
        <f>(VLOOKUP($A283,Hitters!$A1:$R401,6,FALSE)-AVERAGE(Rankings!O2:O651))/STDEV(Rankings!O2:O651)</f>
        <v>0.51870810109037457</v>
      </c>
      <c r="I283" s="118">
        <f>(VLOOKUP($A283,Hitters!$A1:$R401,7,FALSE)-AVERAGE(Rankings!P2:P651))/STDEV(Rankings!P2:P651)</f>
        <v>0.33607239256926752</v>
      </c>
      <c r="J283" s="118">
        <f>(VLOOKUP($A283,Hitters!$A1:$R401,8,FALSE)-AVERAGE(Rankings!Q2:Q651))/STDEV(Rankings!Q2:Q651)</f>
        <v>-1.9162333300854234E-2</v>
      </c>
      <c r="K283" s="157">
        <f>(VLOOKUP($A283,Hitters!$A$1:$R$401,14,FALSE)-AVERAGE(Rankings!R$2:R$651))/STDEV(Rankings!R$2:R$651)</f>
        <v>-0.2416671798847124</v>
      </c>
      <c r="L283" s="157">
        <f>(VLOOKUP($A283,Hitters!$A$1:$R$401,15,FALSE)-AVERAGE(Rankings!S$2:S$651))/STDEV(Rankings!S$2:S$651)</f>
        <v>1.012920622551821</v>
      </c>
      <c r="M283" s="157">
        <f>(VLOOKUP($A283,Hitters!$A$1:$R$401,9,FALSE)-AVERAGE(Rankings!T$2:T$651))/STDEV(Rankings!T$2:T$651)</f>
        <v>0.16053046954647959</v>
      </c>
      <c r="N283" s="157">
        <f>(VLOOKUP($A283,Hitters!$A$1:$R$401,10,FALSE)-AVERAGE(Rankings!U$2:U$651))/STDEV(Rankings!U$2:U$651)</f>
        <v>-2.5412886296807082E-3</v>
      </c>
      <c r="O283" s="157">
        <f>(VLOOKUP($A283,Hitters!$A$1:$R$401,11,FALSE)-AVERAGE(Rankings!V$2:V$651))/STDEV(Rankings!V$2:V$651)</f>
        <v>1.0812199210842943</v>
      </c>
      <c r="P283" s="157">
        <f>(VLOOKUP($A283,Hitters!$A$1:$R$401,12,FALSE)-AVERAGE(Rankings!W$2:W$651))/STDEV(Rankings!W$2:W$651)</f>
        <v>1.2286957951007467</v>
      </c>
      <c r="Q283" s="157">
        <f>(VLOOKUP($A283,Hitters!$A$1:$R$401,13,FALSE)-AVERAGE(Rankings!X$2:X$651))/STDEV(Rankings!X$2:X$651)</f>
        <v>0.24597796701036412</v>
      </c>
      <c r="R283" s="118">
        <f>(VLOOKUP($A283,Hitters!$A1:$R401,16,FALSE)-AVERAGE(Rankings!Y2:Y651))/STDEV(Rankings!Y2:Y651)</f>
        <v>0.49746279621228001</v>
      </c>
      <c r="S283" s="118">
        <f>(VLOOKUP($A283,Hitters!$A1:$R401,17,FALSE)-AVERAGE(Rankings!Z2:Z651))/STDEV(Rankings!Z2:Z651)</f>
        <v>0.74498780010234888</v>
      </c>
      <c r="T283" s="118">
        <f>IFERROR((VLOOKUP($A283,Hitters!$A1:$R401,18,FALSE)-AVERAGE(Rankings!AA2:AA651))/STDEV(Rankings!AA2:AA651),0)</f>
        <v>0</v>
      </c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</row>
    <row r="284" spans="1:37" ht="18.600000000000001" customHeight="1">
      <c r="A284" s="26" t="s">
        <v>317</v>
      </c>
      <c r="B284" s="27" t="s">
        <v>134</v>
      </c>
      <c r="C284" s="123" t="s">
        <v>23</v>
      </c>
      <c r="D284" s="67">
        <f>(F284*Settings!$C$2)+(G284*Settings!$C$3)+(H284*Settings!$C$4)+(I284*Settings!$C$5)+(J284*Settings!$C$6)+(M284*Settings!$C$9)+(N284*Settings!$C$10)+(O284*Settings!$C$11)+(P284*Settings!$C$12)+(Q284*Settings!$C$13)+(T284*Settings!$C$16)+(K284*Settings!$C$7)+(L284*Settings!$C$8)+(R284*Settings!$C$14)+(S284*Settings!$C$15)</f>
        <v>0.27284880366360664</v>
      </c>
      <c r="E284" s="67"/>
      <c r="F284" s="118">
        <f>(VLOOKUP($A284,Hitters!$A1:$R401,4,FALSE)-AVERAGE(Rankings!M2:M651))/STDEV(Rankings!M2:M651)</f>
        <v>0.25275932484698183</v>
      </c>
      <c r="G284" s="118">
        <f>(VLOOKUP($A284,Hitters!$A1:$R401,5,FALSE)-AVERAGE(Rankings!N2:N651))/STDEV(Rankings!N2:N651)</f>
        <v>-6.94069862200241E-2</v>
      </c>
      <c r="H284" s="118">
        <f>(VLOOKUP($A284,Hitters!$A1:$R401,6,FALSE)-AVERAGE(Rankings!O2:O651))/STDEV(Rankings!O2:O651)</f>
        <v>-4.9913911211247317E-2</v>
      </c>
      <c r="I284" s="118">
        <f>(VLOOKUP($A284,Hitters!$A1:$R401,7,FALSE)-AVERAGE(Rankings!P2:P651))/STDEV(Rankings!P2:P651)</f>
        <v>7.8866740633635912E-2</v>
      </c>
      <c r="J284" s="118">
        <f>(VLOOKUP($A284,Hitters!$A1:$R401,8,FALSE)-AVERAGE(Rankings!Q2:Q651))/STDEV(Rankings!Q2:Q651)</f>
        <v>-0.26054793191411996</v>
      </c>
      <c r="K284" s="157">
        <f>(VLOOKUP($A284,Hitters!$A$1:$R$401,14,FALSE)-AVERAGE(Rankings!R$2:R$651))/STDEV(Rankings!R$2:R$651)</f>
        <v>0.57385089237536213</v>
      </c>
      <c r="L284" s="157">
        <f>(VLOOKUP($A284,Hitters!$A$1:$R$401,15,FALSE)-AVERAGE(Rankings!S$2:S$651))/STDEV(Rankings!S$2:S$651)</f>
        <v>-0.22405182840969595</v>
      </c>
      <c r="M284" s="157">
        <f>(VLOOKUP($A284,Hitters!$A$1:$R$401,9,FALSE)-AVERAGE(Rankings!T$2:T$651))/STDEV(Rankings!T$2:T$651)</f>
        <v>0.30977196577316568</v>
      </c>
      <c r="N284" s="157">
        <f>(VLOOKUP($A284,Hitters!$A$1:$R$401,10,FALSE)-AVERAGE(Rankings!U$2:U$651))/STDEV(Rankings!U$2:U$651)</f>
        <v>0.26392291256794648</v>
      </c>
      <c r="O284" s="157">
        <f>(VLOOKUP($A284,Hitters!$A$1:$R$401,11,FALSE)-AVERAGE(Rankings!V$2:V$651))/STDEV(Rankings!V$2:V$651)</f>
        <v>0.13554330899815092</v>
      </c>
      <c r="P284" s="157">
        <f>(VLOOKUP($A284,Hitters!$A$1:$R$401,12,FALSE)-AVERAGE(Rankings!W$2:W$651))/STDEV(Rankings!W$2:W$651)</f>
        <v>-0.44178093315583145</v>
      </c>
      <c r="Q284" s="157">
        <f>(VLOOKUP($A284,Hitters!$A$1:$R$401,13,FALSE)-AVERAGE(Rankings!X$2:X$651))/STDEV(Rankings!X$2:X$651)</f>
        <v>0.4066209910123445</v>
      </c>
      <c r="R284" s="118">
        <f>(VLOOKUP($A284,Hitters!$A1:$R401,16,FALSE)-AVERAGE(Rankings!Y2:Y651))/STDEV(Rankings!Y2:Y651)</f>
        <v>0.13703135856936782</v>
      </c>
      <c r="S284" s="118">
        <f>(VLOOKUP($A284,Hitters!$A1:$R401,17,FALSE)-AVERAGE(Rankings!Z2:Z651))/STDEV(Rankings!Z2:Z651)</f>
        <v>1.5858024984119163E-2</v>
      </c>
      <c r="T284" s="118">
        <f>IFERROR((VLOOKUP($A284,Hitters!$A1:$R401,18,FALSE)-AVERAGE(Rankings!AA2:AA651))/STDEV(Rankings!AA2:AA651),0)</f>
        <v>0</v>
      </c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</row>
    <row r="285" spans="1:37" ht="18.600000000000001" customHeight="1">
      <c r="A285" s="26" t="s">
        <v>303</v>
      </c>
      <c r="B285" s="27" t="s">
        <v>223</v>
      </c>
      <c r="C285" s="123" t="s">
        <v>23</v>
      </c>
      <c r="D285" s="67">
        <f>(F285*Settings!$C$2)+(G285*Settings!$C$3)+(H285*Settings!$C$4)+(I285*Settings!$C$5)+(J285*Settings!$C$6)+(M285*Settings!$C$9)+(N285*Settings!$C$10)+(O285*Settings!$C$11)+(P285*Settings!$C$12)+(Q285*Settings!$C$13)+(T285*Settings!$C$16)+(K285*Settings!$C$7)+(L285*Settings!$C$8)+(R285*Settings!$C$14)+(S285*Settings!$C$15)</f>
        <v>0.35490910707916246</v>
      </c>
      <c r="E285" s="67"/>
      <c r="F285" s="118">
        <f>(VLOOKUP($A285,Hitters!$A1:$R401,4,FALSE)-AVERAGE(Rankings!M2:M651))/STDEV(Rankings!M2:M651)</f>
        <v>6.2275835294541726E-2</v>
      </c>
      <c r="G285" s="118">
        <f>(VLOOKUP($A285,Hitters!$A1:$R401,5,FALSE)-AVERAGE(Rankings!N2:N651))/STDEV(Rankings!N2:N651)</f>
        <v>7.6032440085707489E-2</v>
      </c>
      <c r="H285" s="118">
        <f>(VLOOKUP($A285,Hitters!$A1:$R401,6,FALSE)-AVERAGE(Rankings!O2:O651))/STDEV(Rankings!O2:O651)</f>
        <v>-0.19327102272867211</v>
      </c>
      <c r="I285" s="118">
        <f>(VLOOKUP($A285,Hitters!$A1:$R401,7,FALSE)-AVERAGE(Rankings!P2:P651))/STDEV(Rankings!P2:P651)</f>
        <v>-0.17116143429978425</v>
      </c>
      <c r="J285" s="118">
        <f>(VLOOKUP($A285,Hitters!$A1:$R401,8,FALSE)-AVERAGE(Rankings!Q2:Q651))/STDEV(Rankings!Q2:Q651)</f>
        <v>0.64797424239407708</v>
      </c>
      <c r="K285" s="157">
        <f>(VLOOKUP($A285,Hitters!$A$1:$R$401,14,FALSE)-AVERAGE(Rankings!R$2:R$651))/STDEV(Rankings!R$2:R$651)</f>
        <v>-4.665118372165762E-3</v>
      </c>
      <c r="L285" s="157">
        <f>(VLOOKUP($A285,Hitters!$A$1:$R$401,15,FALSE)-AVERAGE(Rankings!S$2:S$651))/STDEV(Rankings!S$2:S$651)</f>
        <v>4.142114682483599E-2</v>
      </c>
      <c r="M285" s="157">
        <f>(VLOOKUP($A285,Hitters!$A$1:$R$401,9,FALSE)-AVERAGE(Rankings!T$2:T$651))/STDEV(Rankings!T$2:T$651)</f>
        <v>1.8365756597139855E-2</v>
      </c>
      <c r="N285" s="157">
        <f>(VLOOKUP($A285,Hitters!$A$1:$R$401,10,FALSE)-AVERAGE(Rankings!U$2:U$651))/STDEV(Rankings!U$2:U$651)</f>
        <v>-0.26739185921852182</v>
      </c>
      <c r="O285" s="157">
        <f>(VLOOKUP($A285,Hitters!$A$1:$R$401,11,FALSE)-AVERAGE(Rankings!V$2:V$651))/STDEV(Rankings!V$2:V$651)</f>
        <v>2.0769701813141817</v>
      </c>
      <c r="P285" s="157">
        <f>(VLOOKUP($A285,Hitters!$A$1:$R$401,12,FALSE)-AVERAGE(Rankings!W$2:W$651))/STDEV(Rankings!W$2:W$651)</f>
        <v>3.2812296004784074E-2</v>
      </c>
      <c r="Q285" s="157">
        <f>(VLOOKUP($A285,Hitters!$A$1:$R$401,13,FALSE)-AVERAGE(Rankings!X$2:X$651))/STDEV(Rankings!X$2:X$651)</f>
        <v>-0.32955275669619083</v>
      </c>
      <c r="R285" s="118">
        <f>(VLOOKUP($A285,Hitters!$A1:$R401,16,FALSE)-AVERAGE(Rankings!Y2:Y651))/STDEV(Rankings!Y2:Y651)</f>
        <v>-6.7742395912806466E-2</v>
      </c>
      <c r="S285" s="118">
        <f>(VLOOKUP($A285,Hitters!$A1:$R401,17,FALSE)-AVERAGE(Rankings!Z2:Z651))/STDEV(Rankings!Z2:Z651)</f>
        <v>-3.3922156900853283E-2</v>
      </c>
      <c r="T285" s="118">
        <f>IFERROR((VLOOKUP($A285,Hitters!$A1:$R401,18,FALSE)-AVERAGE(Rankings!AA2:AA651))/STDEV(Rankings!AA2:AA651),0)</f>
        <v>0</v>
      </c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</row>
    <row r="286" spans="1:37" ht="18.600000000000001" customHeight="1">
      <c r="A286" s="26" t="s">
        <v>357</v>
      </c>
      <c r="B286" s="27" t="s">
        <v>81</v>
      </c>
      <c r="C286" s="123" t="s">
        <v>23</v>
      </c>
      <c r="D286" s="67">
        <f>(F286*Settings!$C$2)+(G286*Settings!$C$3)+(H286*Settings!$C$4)+(I286*Settings!$C$5)+(J286*Settings!$C$6)+(M286*Settings!$C$9)+(N286*Settings!$C$10)+(O286*Settings!$C$11)+(P286*Settings!$C$12)+(Q286*Settings!$C$13)+(T286*Settings!$C$16)+(K286*Settings!$C$7)+(L286*Settings!$C$8)+(R286*Settings!$C$14)+(S286*Settings!$C$15)</f>
        <v>-1.9441037964954095</v>
      </c>
      <c r="E286" s="67"/>
      <c r="F286" s="118">
        <f>(VLOOKUP($A286,Hitters!$A1:$R401,4,FALSE)-AVERAGE(Rankings!M2:M651))/STDEV(Rankings!M2:M651)</f>
        <v>-0.45429815234068316</v>
      </c>
      <c r="G286" s="118">
        <f>(VLOOKUP($A286,Hitters!$A1:$R401,5,FALSE)-AVERAGE(Rankings!N2:N651))/STDEV(Rankings!N2:N651)</f>
        <v>-0.36441879324010579</v>
      </c>
      <c r="H286" s="118">
        <f>(VLOOKUP($A286,Hitters!$A1:$R401,6,FALSE)-AVERAGE(Rankings!O2:O651))/STDEV(Rankings!O2:O651)</f>
        <v>0.39569126001176813</v>
      </c>
      <c r="I286" s="118">
        <f>(VLOOKUP($A286,Hitters!$A1:$R401,7,FALSE)-AVERAGE(Rankings!P2:P651))/STDEV(Rankings!P2:P651)</f>
        <v>-4.0414273447442542E-2</v>
      </c>
      <c r="J286" s="118">
        <f>(VLOOKUP($A286,Hitters!$A1:$R401,8,FALSE)-AVERAGE(Rankings!Q2:Q651))/STDEV(Rankings!Q2:Q651)</f>
        <v>-0.32810105383574573</v>
      </c>
      <c r="K286" s="157">
        <f>(VLOOKUP($A286,Hitters!$A$1:$R$401,14,FALSE)-AVERAGE(Rankings!R$2:R$651))/STDEV(Rankings!R$2:R$651)</f>
        <v>-1.6068609359838837</v>
      </c>
      <c r="L286" s="157">
        <f>(VLOOKUP($A286,Hitters!$A$1:$R$401,15,FALSE)-AVERAGE(Rankings!S$2:S$651))/STDEV(Rankings!S$2:S$651)</f>
        <v>-0.86340948857269817</v>
      </c>
      <c r="M286" s="157">
        <f>(VLOOKUP($A286,Hitters!$A$1:$R$401,9,FALSE)-AVERAGE(Rankings!T$2:T$651))/STDEV(Rankings!T$2:T$651)</f>
        <v>-0.70213315629171036</v>
      </c>
      <c r="N286" s="157">
        <f>(VLOOKUP($A286,Hitters!$A$1:$R$401,10,FALSE)-AVERAGE(Rankings!U$2:U$651))/STDEV(Rankings!U$2:U$651)</f>
        <v>-0.64584202466593932</v>
      </c>
      <c r="O286" s="157">
        <f>(VLOOKUP($A286,Hitters!$A$1:$R$401,11,FALSE)-AVERAGE(Rankings!V$2:V$651))/STDEV(Rankings!V$2:V$651)</f>
        <v>-0.54975033274052176</v>
      </c>
      <c r="P286" s="157">
        <f>(VLOOKUP($A286,Hitters!$A$1:$R$401,12,FALSE)-AVERAGE(Rankings!W$2:W$651))/STDEV(Rankings!W$2:W$651)</f>
        <v>-0.12095348432681795</v>
      </c>
      <c r="Q286" s="157">
        <f>(VLOOKUP($A286,Hitters!$A$1:$R$401,13,FALSE)-AVERAGE(Rankings!X$2:X$651))/STDEV(Rankings!X$2:X$651)</f>
        <v>0.89120767286883651</v>
      </c>
      <c r="R286" s="118">
        <f>(VLOOKUP($A286,Hitters!$A1:$R401,16,FALSE)-AVERAGE(Rankings!Y2:Y651))/STDEV(Rankings!Y2:Y651)</f>
        <v>0.35247351952244671</v>
      </c>
      <c r="S286" s="118">
        <f>(VLOOKUP($A286,Hitters!$A1:$R401,17,FALSE)-AVERAGE(Rankings!Z2:Z651))/STDEV(Rankings!Z2:Z651)</f>
        <v>-6.72994415018843E-2</v>
      </c>
      <c r="T286" s="118">
        <f>IFERROR((VLOOKUP($A286,Hitters!$A1:$R401,18,FALSE)-AVERAGE(Rankings!AA2:AA651))/STDEV(Rankings!AA2:AA651),0)</f>
        <v>0</v>
      </c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</row>
    <row r="287" spans="1:37" ht="18.600000000000001" customHeight="1">
      <c r="A287" s="26" t="s">
        <v>355</v>
      </c>
      <c r="B287" s="27" t="s">
        <v>117</v>
      </c>
      <c r="C287" s="123" t="s">
        <v>23</v>
      </c>
      <c r="D287" s="67">
        <f>(F287*Settings!$C$2)+(G287*Settings!$C$3)+(H287*Settings!$C$4)+(I287*Settings!$C$5)+(J287*Settings!$C$6)+(M287*Settings!$C$9)+(N287*Settings!$C$10)+(O287*Settings!$C$11)+(P287*Settings!$C$12)+(Q287*Settings!$C$13)+(T287*Settings!$C$16)+(K287*Settings!$C$7)+(L287*Settings!$C$8)+(R287*Settings!$C$14)+(S287*Settings!$C$15)</f>
        <v>-1.6572871634797997</v>
      </c>
      <c r="E287" s="67"/>
      <c r="F287" s="118">
        <f>(VLOOKUP($A287,Hitters!$A1:$R401,4,FALSE)-AVERAGE(Rankings!M2:M651))/STDEV(Rankings!M2:M651)</f>
        <v>-0.25506991177086669</v>
      </c>
      <c r="G287" s="118">
        <f>(VLOOKUP($A287,Hitters!$A1:$R401,5,FALSE)-AVERAGE(Rankings!N2:N651))/STDEV(Rankings!N2:N651)</f>
        <v>-0.36971810288060392</v>
      </c>
      <c r="H287" s="118">
        <f>(VLOOKUP($A287,Hitters!$A1:$R401,6,FALSE)-AVERAGE(Rankings!O2:O651))/STDEV(Rankings!O2:O651)</f>
        <v>-0.54330478627340406</v>
      </c>
      <c r="I287" s="118">
        <f>(VLOOKUP($A287,Hitters!$A1:$R401,7,FALSE)-AVERAGE(Rankings!P2:P651))/STDEV(Rankings!P2:P651)</f>
        <v>-0.52247602671653948</v>
      </c>
      <c r="J287" s="118">
        <f>(VLOOKUP($A287,Hitters!$A1:$R401,8,FALSE)-AVERAGE(Rankings!Q2:Q651))/STDEV(Rankings!Q2:Q651)</f>
        <v>0.3638234786721618</v>
      </c>
      <c r="K287" s="157">
        <f>(VLOOKUP($A287,Hitters!$A$1:$R$401,14,FALSE)-AVERAGE(Rankings!R$2:R$651))/STDEV(Rankings!R$2:R$651)</f>
        <v>-0.58561172628141422</v>
      </c>
      <c r="L287" s="157">
        <f>(VLOOKUP($A287,Hitters!$A$1:$R$401,15,FALSE)-AVERAGE(Rankings!S$2:S$651))/STDEV(Rankings!S$2:S$651)</f>
        <v>-0.58699507009903984</v>
      </c>
      <c r="M287" s="157">
        <f>(VLOOKUP($A287,Hitters!$A$1:$R$401,9,FALSE)-AVERAGE(Rankings!T$2:T$651))/STDEV(Rankings!T$2:T$651)</f>
        <v>-0.36458931561121305</v>
      </c>
      <c r="N287" s="157">
        <f>(VLOOKUP($A287,Hitters!$A$1:$R$401,10,FALSE)-AVERAGE(Rankings!U$2:U$651))/STDEV(Rankings!U$2:U$651)</f>
        <v>-8.838643701712777E-2</v>
      </c>
      <c r="O287" s="157">
        <f>(VLOOKUP($A287,Hitters!$A$1:$R$401,11,FALSE)-AVERAGE(Rankings!V$2:V$651))/STDEV(Rankings!V$2:V$651)</f>
        <v>1.1856592443555325</v>
      </c>
      <c r="P287" s="157">
        <f>(VLOOKUP($A287,Hitters!$A$1:$R$401,12,FALSE)-AVERAGE(Rankings!W$2:W$651))/STDEV(Rankings!W$2:W$651)</f>
        <v>-0.3209982859232714</v>
      </c>
      <c r="Q287" s="157">
        <f>(VLOOKUP($A287,Hitters!$A$1:$R$401,13,FALSE)-AVERAGE(Rankings!X$2:X$651))/STDEV(Rankings!X$2:X$651)</f>
        <v>0.72146866277122423</v>
      </c>
      <c r="R287" s="118">
        <f>(VLOOKUP($A287,Hitters!$A1:$R401,16,FALSE)-AVERAGE(Rankings!Y2:Y651))/STDEV(Rankings!Y2:Y651)</f>
        <v>-0.48894628548246305</v>
      </c>
      <c r="S287" s="118">
        <f>(VLOOKUP($A287,Hitters!$A1:$R401,17,FALSE)-AVERAGE(Rankings!Z2:Z651))/STDEV(Rankings!Z2:Z651)</f>
        <v>-0.5784103269824995</v>
      </c>
      <c r="T287" s="118">
        <f>IFERROR((VLOOKUP($A287,Hitters!$A1:$R401,18,FALSE)-AVERAGE(Rankings!AA2:AA651))/STDEV(Rankings!AA2:AA651),0)</f>
        <v>0</v>
      </c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</row>
    <row r="288" spans="1:37" ht="18.600000000000001" customHeight="1">
      <c r="A288" s="26" t="s">
        <v>321</v>
      </c>
      <c r="B288" s="27" t="s">
        <v>76</v>
      </c>
      <c r="C288" s="123" t="s">
        <v>23</v>
      </c>
      <c r="D288" s="67">
        <f>(F288*Settings!$C$2)+(G288*Settings!$C$3)+(H288*Settings!$C$4)+(I288*Settings!$C$5)+(J288*Settings!$C$6)+(M288*Settings!$C$9)+(N288*Settings!$C$10)+(O288*Settings!$C$11)+(P288*Settings!$C$12)+(Q288*Settings!$C$13)+(T288*Settings!$C$16)+(K288*Settings!$C$7)+(L288*Settings!$C$8)+(R288*Settings!$C$14)+(S288*Settings!$C$15)</f>
        <v>0.41892172195859234</v>
      </c>
      <c r="E288" s="67"/>
      <c r="F288" s="118">
        <f>(VLOOKUP($A288,Hitters!$A1:$R401,4,FALSE)-AVERAGE(Rankings!M2:M651))/STDEV(Rankings!M2:M651)</f>
        <v>0.35951287953738165</v>
      </c>
      <c r="G288" s="118">
        <f>(VLOOKUP($A288,Hitters!$A1:$R401,5,FALSE)-AVERAGE(Rankings!N2:N651))/STDEV(Rankings!N2:N651)</f>
        <v>0.16870696992312834</v>
      </c>
      <c r="H288" s="118">
        <f>(VLOOKUP($A288,Hitters!$A1:$R401,6,FALSE)-AVERAGE(Rankings!O2:O651))/STDEV(Rankings!O2:O651)</f>
        <v>-1.4750563526762572</v>
      </c>
      <c r="I288" s="118">
        <f>(VLOOKUP($A288,Hitters!$A1:$R401,7,FALSE)-AVERAGE(Rankings!P2:P651))/STDEV(Rankings!P2:P651)</f>
        <v>-0.66760359361941135</v>
      </c>
      <c r="J288" s="118">
        <f>(VLOOKUP($A288,Hitters!$A1:$R401,8,FALSE)-AVERAGE(Rankings!Q2:Q651))/STDEV(Rankings!Q2:Q651)</f>
        <v>2.1519617434651162</v>
      </c>
      <c r="K288" s="157">
        <f>(VLOOKUP($A288,Hitters!$A$1:$R$401,14,FALSE)-AVERAGE(Rankings!R$2:R$651))/STDEV(Rankings!R$2:R$651)</f>
        <v>0.24091295486601647</v>
      </c>
      <c r="L288" s="157">
        <f>(VLOOKUP($A288,Hitters!$A$1:$R$401,15,FALSE)-AVERAGE(Rankings!S$2:S$651))/STDEV(Rankings!S$2:S$651)</f>
        <v>0.50656642126596463</v>
      </c>
      <c r="M288" s="157">
        <f>(VLOOKUP($A288,Hitters!$A$1:$R$401,9,FALSE)-AVERAGE(Rankings!T$2:T$651))/STDEV(Rankings!T$2:T$651)</f>
        <v>0.33327886810923724</v>
      </c>
      <c r="N288" s="157">
        <f>(VLOOKUP($A288,Hitters!$A$1:$R$401,10,FALSE)-AVERAGE(Rankings!U$2:U$651))/STDEV(Rankings!U$2:U$651)</f>
        <v>0.1139269828667387</v>
      </c>
      <c r="O288" s="157">
        <f>(VLOOKUP($A288,Hitters!$A$1:$R$401,11,FALSE)-AVERAGE(Rankings!V$2:V$651))/STDEV(Rankings!V$2:V$651)</f>
        <v>0.30340925325146528</v>
      </c>
      <c r="P288" s="157">
        <f>(VLOOKUP($A288,Hitters!$A$1:$R$401,12,FALSE)-AVERAGE(Rankings!W$2:W$651))/STDEV(Rankings!W$2:W$651)</f>
        <v>0.49280337430259913</v>
      </c>
      <c r="Q288" s="157">
        <f>(VLOOKUP($A288,Hitters!$A$1:$R$401,13,FALSE)-AVERAGE(Rankings!X$2:X$651))/STDEV(Rankings!X$2:X$651)</f>
        <v>-0.41674767036422833</v>
      </c>
      <c r="R288" s="118">
        <f>(VLOOKUP($A288,Hitters!$A1:$R401,16,FALSE)-AVERAGE(Rankings!Y2:Y651))/STDEV(Rankings!Y2:Y651)</f>
        <v>-2.0094454003341116</v>
      </c>
      <c r="S288" s="118">
        <f>(VLOOKUP($A288,Hitters!$A1:$R401,17,FALSE)-AVERAGE(Rankings!Z2:Z651))/STDEV(Rankings!Z2:Z651)</f>
        <v>-1.2784036283879663</v>
      </c>
      <c r="T288" s="118">
        <f>IFERROR((VLOOKUP($A288,Hitters!$A1:$R401,18,FALSE)-AVERAGE(Rankings!AA2:AA651))/STDEV(Rankings!AA2:AA651),0)</f>
        <v>0</v>
      </c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</row>
    <row r="289" spans="1:37" ht="18.600000000000001" customHeight="1">
      <c r="A289" s="26" t="s">
        <v>327</v>
      </c>
      <c r="B289" s="27" t="s">
        <v>258</v>
      </c>
      <c r="C289" s="123" t="s">
        <v>23</v>
      </c>
      <c r="D289" s="67">
        <f>(F289*Settings!$C$2)+(G289*Settings!$C$3)+(H289*Settings!$C$4)+(I289*Settings!$C$5)+(J289*Settings!$C$6)+(M289*Settings!$C$9)+(N289*Settings!$C$10)+(O289*Settings!$C$11)+(P289*Settings!$C$12)+(Q289*Settings!$C$13)+(T289*Settings!$C$16)+(K289*Settings!$C$7)+(L289*Settings!$C$8)+(R289*Settings!$C$14)+(S289*Settings!$C$15)</f>
        <v>-0.76459387167359183</v>
      </c>
      <c r="E289" s="67"/>
      <c r="F289" s="118">
        <f>(VLOOKUP($A289,Hitters!$A1:$R401,4,FALSE)-AVERAGE(Rankings!M2:M651))/STDEV(Rankings!M2:M651)</f>
        <v>-0.17716981092041217</v>
      </c>
      <c r="G289" s="118">
        <f>(VLOOKUP($A289,Hitters!$A1:$R401,5,FALSE)-AVERAGE(Rankings!N2:N651))/STDEV(Rankings!N2:N651)</f>
        <v>-0.19869492811906966</v>
      </c>
      <c r="H289" s="118">
        <f>(VLOOKUP($A289,Hitters!$A1:$R401,6,FALSE)-AVERAGE(Rankings!O2:O651))/STDEV(Rankings!O2:O651)</f>
        <v>-0.61561026817577869</v>
      </c>
      <c r="I289" s="118">
        <f>(VLOOKUP($A289,Hitters!$A1:$R401,7,FALSE)-AVERAGE(Rankings!P2:P651))/STDEV(Rankings!P2:P651)</f>
        <v>-0.67083600347501726</v>
      </c>
      <c r="J289" s="118">
        <f>(VLOOKUP($A289,Hitters!$A1:$R401,8,FALSE)-AVERAGE(Rankings!Q2:Q651))/STDEV(Rankings!Q2:Q651)</f>
        <v>1.5296493963840663</v>
      </c>
      <c r="K289" s="157">
        <f>(VLOOKUP($A289,Hitters!$A$1:$R$401,14,FALSE)-AVERAGE(Rankings!R$2:R$651))/STDEV(Rankings!R$2:R$651)</f>
        <v>-0.80910206828779252</v>
      </c>
      <c r="L289" s="157">
        <f>(VLOOKUP($A289,Hitters!$A$1:$R$401,15,FALSE)-AVERAGE(Rankings!S$2:S$651))/STDEV(Rankings!S$2:S$651)</f>
        <v>-8.4847285730852179E-2</v>
      </c>
      <c r="M289" s="157">
        <f>(VLOOKUP($A289,Hitters!$A$1:$R$401,9,FALSE)-AVERAGE(Rankings!T$2:T$651))/STDEV(Rankings!T$2:T$651)</f>
        <v>-0.3410899019346943</v>
      </c>
      <c r="N289" s="157">
        <f>(VLOOKUP($A289,Hitters!$A$1:$R$401,10,FALSE)-AVERAGE(Rankings!U$2:U$651))/STDEV(Rankings!U$2:U$651)</f>
        <v>-0.54343026869494948</v>
      </c>
      <c r="O289" s="157">
        <f>(VLOOKUP($A289,Hitters!$A$1:$R$401,11,FALSE)-AVERAGE(Rankings!V$2:V$651))/STDEV(Rankings!V$2:V$651)</f>
        <v>2.1141677485066781</v>
      </c>
      <c r="P289" s="157">
        <f>(VLOOKUP($A289,Hitters!$A$1:$R$401,12,FALSE)-AVERAGE(Rankings!W$2:W$651))/STDEV(Rankings!W$2:W$651)</f>
        <v>0.22903161398861888</v>
      </c>
      <c r="Q289" s="157">
        <f>(VLOOKUP($A289,Hitters!$A$1:$R$401,13,FALSE)-AVERAGE(Rankings!X$2:X$651))/STDEV(Rankings!X$2:X$651)</f>
        <v>0.2760026306790746</v>
      </c>
      <c r="R289" s="118">
        <f>(VLOOKUP($A289,Hitters!$A1:$R401,16,FALSE)-AVERAGE(Rankings!Y2:Y651))/STDEV(Rankings!Y2:Y651)</f>
        <v>-0.88787396698590582</v>
      </c>
      <c r="S289" s="118">
        <f>(VLOOKUP($A289,Hitters!$A1:$R401,17,FALSE)-AVERAGE(Rankings!Z2:Z651))/STDEV(Rankings!Z2:Z651)</f>
        <v>-0.68104675430797856</v>
      </c>
      <c r="T289" s="118">
        <f>IFERROR((VLOOKUP($A289,Hitters!$A1:$R401,18,FALSE)-AVERAGE(Rankings!AA2:AA651))/STDEV(Rankings!AA2:AA651),0)</f>
        <v>0</v>
      </c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</row>
    <row r="290" spans="1:37" ht="18.600000000000001" customHeight="1">
      <c r="A290" s="26" t="s">
        <v>363</v>
      </c>
      <c r="B290" s="27" t="s">
        <v>73</v>
      </c>
      <c r="C290" s="123" t="s">
        <v>23</v>
      </c>
      <c r="D290" s="67">
        <f>(F290*Settings!$C$2)+(G290*Settings!$C$3)+(H290*Settings!$C$4)+(I290*Settings!$C$5)+(J290*Settings!$C$6)+(M290*Settings!$C$9)+(N290*Settings!$C$10)+(O290*Settings!$C$11)+(P290*Settings!$C$12)+(Q290*Settings!$C$13)+(T290*Settings!$C$16)+(K290*Settings!$C$7)+(L290*Settings!$C$8)+(R290*Settings!$C$14)+(S290*Settings!$C$15)</f>
        <v>-0.288739207634094</v>
      </c>
      <c r="E290" s="67"/>
      <c r="F290" s="118">
        <f>(VLOOKUP($A290,Hitters!$A1:$R401,4,FALSE)-AVERAGE(Rankings!M2:M651))/STDEV(Rankings!M2:M651)</f>
        <v>-8.7208712893816306E-2</v>
      </c>
      <c r="G290" s="118">
        <f>(VLOOKUP($A290,Hitters!$A1:$R401,5,FALSE)-AVERAGE(Rankings!N2:N651))/STDEV(Rankings!N2:N651)</f>
        <v>-0.14075749975285745</v>
      </c>
      <c r="H290" s="118">
        <f>(VLOOKUP($A290,Hitters!$A1:$R401,6,FALSE)-AVERAGE(Rankings!O2:O651))/STDEV(Rankings!O2:O651)</f>
        <v>0.45152251602790816</v>
      </c>
      <c r="I290" s="118">
        <f>(VLOOKUP($A290,Hitters!$A1:$R401,7,FALSE)-AVERAGE(Rankings!P2:P651))/STDEV(Rankings!P2:P651)</f>
        <v>0.19229378411007339</v>
      </c>
      <c r="J290" s="118">
        <f>(VLOOKUP($A290,Hitters!$A1:$R401,8,FALSE)-AVERAGE(Rankings!Q2:Q651))/STDEV(Rankings!Q2:Q651)</f>
        <v>-0.66265927606072639</v>
      </c>
      <c r="K290" s="157">
        <f>(VLOOKUP($A290,Hitters!$A$1:$R$401,14,FALSE)-AVERAGE(Rankings!R$2:R$651))/STDEV(Rankings!R$2:R$651)</f>
        <v>-0.12913873195849171</v>
      </c>
      <c r="L290" s="157">
        <f>(VLOOKUP($A290,Hitters!$A$1:$R$401,15,FALSE)-AVERAGE(Rankings!S$2:S$651))/STDEV(Rankings!S$2:S$651)</f>
        <v>-0.15635876526110329</v>
      </c>
      <c r="M290" s="157">
        <f>(VLOOKUP($A290,Hitters!$A$1:$R$401,9,FALSE)-AVERAGE(Rankings!T$2:T$651))/STDEV(Rankings!T$2:T$651)</f>
        <v>-0.13644730233678956</v>
      </c>
      <c r="N290" s="157">
        <f>(VLOOKUP($A290,Hitters!$A$1:$R$401,10,FALSE)-AVERAGE(Rankings!U$2:U$651))/STDEV(Rankings!U$2:U$651)</f>
        <v>-0.44833363815045923</v>
      </c>
      <c r="O290" s="157">
        <f>(VLOOKUP($A290,Hitters!$A$1:$R$401,11,FALSE)-AVERAGE(Rankings!V$2:V$651))/STDEV(Rankings!V$2:V$651)</f>
        <v>-0.55833438670802082</v>
      </c>
      <c r="P290" s="157">
        <f>(VLOOKUP($A290,Hitters!$A$1:$R$401,12,FALSE)-AVERAGE(Rankings!W$2:W$651))/STDEV(Rankings!W$2:W$651)</f>
        <v>-0.1503443950091326</v>
      </c>
      <c r="Q290" s="157">
        <f>(VLOOKUP($A290,Hitters!$A$1:$R$401,13,FALSE)-AVERAGE(Rankings!X$2:X$651))/STDEV(Rankings!X$2:X$651)</f>
        <v>6.2365600728631752E-2</v>
      </c>
      <c r="R290" s="118">
        <f>(VLOOKUP($A290,Hitters!$A1:$R401,16,FALSE)-AVERAGE(Rankings!Y2:Y651))/STDEV(Rankings!Y2:Y651)</f>
        <v>0.56356777610591546</v>
      </c>
      <c r="S290" s="118">
        <f>(VLOOKUP($A290,Hitters!$A1:$R401,17,FALSE)-AVERAGE(Rankings!Z2:Z651))/STDEV(Rankings!Z2:Z651)</f>
        <v>0.35317797028559478</v>
      </c>
      <c r="T290" s="118">
        <f>IFERROR((VLOOKUP($A290,Hitters!$A1:$R401,18,FALSE)-AVERAGE(Rankings!AA2:AA651))/STDEV(Rankings!AA2:AA651),0)</f>
        <v>0</v>
      </c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</row>
    <row r="291" spans="1:37" ht="18.600000000000001" customHeight="1">
      <c r="A291" s="26" t="s">
        <v>380</v>
      </c>
      <c r="B291" s="27" t="s">
        <v>103</v>
      </c>
      <c r="C291" s="123" t="s">
        <v>23</v>
      </c>
      <c r="D291" s="67">
        <f>(F291*Settings!$C$2)+(G291*Settings!$C$3)+(H291*Settings!$C$4)+(I291*Settings!$C$5)+(J291*Settings!$C$6)+(M291*Settings!$C$9)+(N291*Settings!$C$10)+(O291*Settings!$C$11)+(P291*Settings!$C$12)+(Q291*Settings!$C$13)+(T291*Settings!$C$16)+(K291*Settings!$C$7)+(L291*Settings!$C$8)+(R291*Settings!$C$14)+(S291*Settings!$C$15)</f>
        <v>-0.26649004894215134</v>
      </c>
      <c r="E291" s="67"/>
      <c r="F291" s="118">
        <f>(VLOOKUP($A291,Hitters!$A1:$R401,4,FALSE)-AVERAGE(Rankings!M2:M651))/STDEV(Rankings!M2:M651)</f>
        <v>0.68716644905805624</v>
      </c>
      <c r="G291" s="118">
        <f>(VLOOKUP($A291,Hitters!$A1:$R401,5,FALSE)-AVERAGE(Rankings!N2:N651))/STDEV(Rankings!N2:N651)</f>
        <v>0.47583872913535408</v>
      </c>
      <c r="H291" s="118">
        <f>(VLOOKUP($A291,Hitters!$A1:$R401,6,FALSE)-AVERAGE(Rankings!O2:O651))/STDEV(Rankings!O2:O651)</f>
        <v>0.11650015070086513</v>
      </c>
      <c r="I291" s="118">
        <f>(VLOOKUP($A291,Hitters!$A1:$R401,7,FALSE)-AVERAGE(Rankings!P2:P651))/STDEV(Rankings!P2:P651)</f>
        <v>0.33454526980283966</v>
      </c>
      <c r="J291" s="118">
        <f>(VLOOKUP($A291,Hitters!$A1:$R401,8,FALSE)-AVERAGE(Rankings!Q2:Q651))/STDEV(Rankings!Q2:Q651)</f>
        <v>-0.68669488274679136</v>
      </c>
      <c r="K291" s="157">
        <f>(VLOOKUP($A291,Hitters!$A$1:$R$401,14,FALSE)-AVERAGE(Rankings!R$2:R$651))/STDEV(Rankings!R$2:R$651)</f>
        <v>-0.50667931583441894</v>
      </c>
      <c r="L291" s="157">
        <f>(VLOOKUP($A291,Hitters!$A$1:$R$401,15,FALSE)-AVERAGE(Rankings!S$2:S$651))/STDEV(Rankings!S$2:S$651)</f>
        <v>-0.31670781427877503</v>
      </c>
      <c r="M291" s="157">
        <f>(VLOOKUP($A291,Hitters!$A$1:$R$401,9,FALSE)-AVERAGE(Rankings!T$2:T$651))/STDEV(Rankings!T$2:T$651)</f>
        <v>0.44246352438828135</v>
      </c>
      <c r="N291" s="157">
        <f>(VLOOKUP($A291,Hitters!$A$1:$R$401,10,FALSE)-AVERAGE(Rankings!U$2:U$651))/STDEV(Rankings!U$2:U$651)</f>
        <v>1.0746467888803077</v>
      </c>
      <c r="O291" s="157">
        <f>(VLOOKUP($A291,Hitters!$A$1:$R$401,11,FALSE)-AVERAGE(Rankings!V$2:V$651))/STDEV(Rankings!V$2:V$651)</f>
        <v>0.23282925396313991</v>
      </c>
      <c r="P291" s="157">
        <f>(VLOOKUP($A291,Hitters!$A$1:$R$401,12,FALSE)-AVERAGE(Rankings!W$2:W$651))/STDEV(Rankings!W$2:W$651)</f>
        <v>0.48851136829819797</v>
      </c>
      <c r="Q291" s="157">
        <f>(VLOOKUP($A291,Hitters!$A$1:$R$401,13,FALSE)-AVERAGE(Rankings!X$2:X$651))/STDEV(Rankings!X$2:X$651)</f>
        <v>0.27022865689663084</v>
      </c>
      <c r="R291" s="118">
        <f>(VLOOKUP($A291,Hitters!$A1:$R401,16,FALSE)-AVERAGE(Rankings!Y2:Y651))/STDEV(Rankings!Y2:Y651)</f>
        <v>-0.26766628577640483</v>
      </c>
      <c r="S291" s="118">
        <f>(VLOOKUP($A291,Hitters!$A1:$R401,17,FALSE)-AVERAGE(Rankings!Z2:Z651))/STDEV(Rankings!Z2:Z651)</f>
        <v>-0.31489220124228851</v>
      </c>
      <c r="T291" s="118">
        <f>IFERROR((VLOOKUP($A291,Hitters!$A1:$R401,18,FALSE)-AVERAGE(Rankings!AA2:AA651))/STDEV(Rankings!AA2:AA651),0)</f>
        <v>0</v>
      </c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</row>
    <row r="292" spans="1:37" ht="18.600000000000001" customHeight="1">
      <c r="A292" s="26" t="s">
        <v>344</v>
      </c>
      <c r="B292" s="27" t="s">
        <v>97</v>
      </c>
      <c r="C292" s="123" t="s">
        <v>23</v>
      </c>
      <c r="D292" s="67">
        <f>(F292*Settings!$C$2)+(G292*Settings!$C$3)+(H292*Settings!$C$4)+(I292*Settings!$C$5)+(J292*Settings!$C$6)+(M292*Settings!$C$9)+(N292*Settings!$C$10)+(O292*Settings!$C$11)+(P292*Settings!$C$12)+(Q292*Settings!$C$13)+(T292*Settings!$C$16)+(K292*Settings!$C$7)+(L292*Settings!$C$8)+(R292*Settings!$C$14)+(S292*Settings!$C$15)</f>
        <v>-0.15693013950578194</v>
      </c>
      <c r="E292" s="67"/>
      <c r="F292" s="118">
        <f>(VLOOKUP($A292,Hitters!$A1:$R401,4,FALSE)-AVERAGE(Rankings!M2:M651))/STDEV(Rankings!M2:M651)</f>
        <v>-8.4425859764235139E-3</v>
      </c>
      <c r="G292" s="118">
        <f>(VLOOKUP($A292,Hitters!$A1:$R401,5,FALSE)-AVERAGE(Rankings!N2:N651))/STDEV(Rankings!N2:N651)</f>
        <v>-0.17179269114027262</v>
      </c>
      <c r="H292" s="118">
        <f>(VLOOKUP($A292,Hitters!$A1:$R401,6,FALSE)-AVERAGE(Rankings!O2:O651))/STDEV(Rankings!O2:O651)</f>
        <v>-0.57287480271613811</v>
      </c>
      <c r="I292" s="118">
        <f>(VLOOKUP($A292,Hitters!$A1:$R401,7,FALSE)-AVERAGE(Rankings!P2:P651))/STDEV(Rankings!P2:P651)</f>
        <v>-0.38083539013034512</v>
      </c>
      <c r="J292" s="118">
        <f>(VLOOKUP($A292,Hitters!$A1:$R401,8,FALSE)-AVERAGE(Rankings!Q2:Q651))/STDEV(Rankings!Q2:Q651)</f>
        <v>1.4445942346679745</v>
      </c>
      <c r="K292" s="157">
        <f>(VLOOKUP($A292,Hitters!$A$1:$R$401,14,FALSE)-AVERAGE(Rankings!R$2:R$651))/STDEV(Rankings!R$2:R$651)</f>
        <v>-0.47602149018700068</v>
      </c>
      <c r="L292" s="157">
        <f>(VLOOKUP($A292,Hitters!$A$1:$R$401,15,FALSE)-AVERAGE(Rankings!S$2:S$651))/STDEV(Rankings!S$2:S$651)</f>
        <v>-0.34242214277984434</v>
      </c>
      <c r="M292" s="157">
        <f>(VLOOKUP($A292,Hitters!$A$1:$R$401,9,FALSE)-AVERAGE(Rankings!T$2:T$651))/STDEV(Rankings!T$2:T$651)</f>
        <v>-0.13673936005934639</v>
      </c>
      <c r="N292" s="157">
        <f>(VLOOKUP($A292,Hitters!$A$1:$R$401,10,FALSE)-AVERAGE(Rankings!U$2:U$651))/STDEV(Rankings!U$2:U$651)</f>
        <v>-0.1376559582720788</v>
      </c>
      <c r="O292" s="157">
        <f>(VLOOKUP($A292,Hitters!$A$1:$R$401,11,FALSE)-AVERAGE(Rankings!V$2:V$651))/STDEV(Rankings!V$2:V$651)</f>
        <v>0.30293236136438212</v>
      </c>
      <c r="P292" s="157">
        <f>(VLOOKUP($A292,Hitters!$A$1:$R$401,12,FALSE)-AVERAGE(Rankings!W$2:W$651))/STDEV(Rankings!W$2:W$651)</f>
        <v>-3.6606235892492379E-2</v>
      </c>
      <c r="Q292" s="157">
        <f>(VLOOKUP($A292,Hitters!$A$1:$R$401,13,FALSE)-AVERAGE(Rankings!X$2:X$651))/STDEV(Rankings!X$2:X$651)</f>
        <v>1.0660167065206227</v>
      </c>
      <c r="R292" s="118">
        <f>(VLOOKUP($A292,Hitters!$A1:$R401,16,FALSE)-AVERAGE(Rankings!Y2:Y651))/STDEV(Rankings!Y2:Y651)</f>
        <v>-0.92967938398064753</v>
      </c>
      <c r="S292" s="118">
        <f>(VLOOKUP($A292,Hitters!$A1:$R401,17,FALSE)-AVERAGE(Rankings!Z2:Z651))/STDEV(Rankings!Z2:Z651)</f>
        <v>-0.80856657415800259</v>
      </c>
      <c r="T292" s="118">
        <f>IFERROR((VLOOKUP($A292,Hitters!$A1:$R401,18,FALSE)-AVERAGE(Rankings!AA2:AA651))/STDEV(Rankings!AA2:AA651),0)</f>
        <v>0</v>
      </c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</row>
    <row r="293" spans="1:37" ht="18.600000000000001" customHeight="1">
      <c r="A293" s="26" t="s">
        <v>342</v>
      </c>
      <c r="B293" s="27" t="s">
        <v>101</v>
      </c>
      <c r="C293" s="123" t="s">
        <v>23</v>
      </c>
      <c r="D293" s="67">
        <f>(F293*Settings!$C$2)+(G293*Settings!$C$3)+(H293*Settings!$C$4)+(I293*Settings!$C$5)+(J293*Settings!$C$6)+(M293*Settings!$C$9)+(N293*Settings!$C$10)+(O293*Settings!$C$11)+(P293*Settings!$C$12)+(Q293*Settings!$C$13)+(T293*Settings!$C$16)+(K293*Settings!$C$7)+(L293*Settings!$C$8)+(R293*Settings!$C$14)+(S293*Settings!$C$15)</f>
        <v>0.45305649877027121</v>
      </c>
      <c r="E293" s="67"/>
      <c r="F293" s="118">
        <f>(VLOOKUP($A293,Hitters!$A1:$R401,4,FALSE)-AVERAGE(Rankings!M2:M651))/STDEV(Rankings!M2:M651)</f>
        <v>0.21824501769143842</v>
      </c>
      <c r="G293" s="118">
        <f>(VLOOKUP($A293,Hitters!$A1:$R401,5,FALSE)-AVERAGE(Rankings!N2:N651))/STDEV(Rankings!N2:N651)</f>
        <v>7.2812285423777198E-2</v>
      </c>
      <c r="H293" s="118">
        <f>(VLOOKUP($A293,Hitters!$A1:$R401,6,FALSE)-AVERAGE(Rankings!O2:O651))/STDEV(Rankings!O2:O651)</f>
        <v>-1.7799150700710308E-3</v>
      </c>
      <c r="I293" s="118">
        <f>(VLOOKUP($A293,Hitters!$A1:$R401,7,FALSE)-AVERAGE(Rankings!P2:P651))/STDEV(Rankings!P2:P651)</f>
        <v>-0.1028226905021324</v>
      </c>
      <c r="J293" s="118">
        <f>(VLOOKUP($A293,Hitters!$A1:$R401,8,FALSE)-AVERAGE(Rankings!Q2:Q651))/STDEV(Rankings!Q2:Q651)</f>
        <v>1.6625381872216844</v>
      </c>
      <c r="K293" s="157">
        <f>(VLOOKUP($A293,Hitters!$A$1:$R$401,14,FALSE)-AVERAGE(Rankings!R$2:R$651))/STDEV(Rankings!R$2:R$651)</f>
        <v>-1.177691368302987</v>
      </c>
      <c r="L293" s="157">
        <f>(VLOOKUP($A293,Hitters!$A$1:$R$401,15,FALSE)-AVERAGE(Rankings!S$2:S$651))/STDEV(Rankings!S$2:S$651)</f>
        <v>-1.7121661699601689</v>
      </c>
      <c r="M293" s="157">
        <f>(VLOOKUP($A293,Hitters!$A$1:$R$401,9,FALSE)-AVERAGE(Rankings!T$2:T$651))/STDEV(Rankings!T$2:T$651)</f>
        <v>-9.5072458307864746E-2</v>
      </c>
      <c r="N293" s="157">
        <f>(VLOOKUP($A293,Hitters!$A$1:$R$401,10,FALSE)-AVERAGE(Rankings!U$2:U$651))/STDEV(Rankings!U$2:U$651)</f>
        <v>-9.4769242536328416E-2</v>
      </c>
      <c r="O293" s="157">
        <f>(VLOOKUP($A293,Hitters!$A$1:$R$401,11,FALSE)-AVERAGE(Rankings!V$2:V$651))/STDEV(Rankings!V$2:V$651)</f>
        <v>1.1618146500013682</v>
      </c>
      <c r="P293" s="157">
        <f>(VLOOKUP($A293,Hitters!$A$1:$R$401,12,FALSE)-AVERAGE(Rankings!W$2:W$651))/STDEV(Rankings!W$2:W$651)</f>
        <v>-0.55995105499440823</v>
      </c>
      <c r="Q293" s="157">
        <f>(VLOOKUP($A293,Hitters!$A$1:$R$401,13,FALSE)-AVERAGE(Rankings!X$2:X$651))/STDEV(Rankings!X$2:X$651)</f>
        <v>1.5521615703430629</v>
      </c>
      <c r="R293" s="118">
        <f>(VLOOKUP($A293,Hitters!$A1:$R401,16,FALSE)-AVERAGE(Rankings!Y2:Y651))/STDEV(Rankings!Y2:Y651)</f>
        <v>-0.56004168730497361</v>
      </c>
      <c r="S293" s="118">
        <f>(VLOOKUP($A293,Hitters!$A1:$R401,17,FALSE)-AVERAGE(Rankings!Z2:Z651))/STDEV(Rankings!Z2:Z651)</f>
        <v>-1.0539235882854781</v>
      </c>
      <c r="T293" s="118">
        <f>IFERROR((VLOOKUP($A293,Hitters!$A1:$R401,18,FALSE)-AVERAGE(Rankings!AA2:AA651))/STDEV(Rankings!AA2:AA651),0)</f>
        <v>0</v>
      </c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</row>
    <row r="294" spans="1:37" ht="18.600000000000001" customHeight="1">
      <c r="A294" s="26" t="s">
        <v>370</v>
      </c>
      <c r="B294" s="27" t="s">
        <v>156</v>
      </c>
      <c r="C294" s="123" t="s">
        <v>23</v>
      </c>
      <c r="D294" s="67">
        <f>(F294*Settings!$C$2)+(G294*Settings!$C$3)+(H294*Settings!$C$4)+(I294*Settings!$C$5)+(J294*Settings!$C$6)+(M294*Settings!$C$9)+(N294*Settings!$C$10)+(O294*Settings!$C$11)+(P294*Settings!$C$12)+(Q294*Settings!$C$13)+(T294*Settings!$C$16)+(K294*Settings!$C$7)+(L294*Settings!$C$8)+(R294*Settings!$C$14)+(S294*Settings!$C$15)</f>
        <v>0.2611793587465383</v>
      </c>
      <c r="E294" s="67"/>
      <c r="F294" s="118">
        <f>(VLOOKUP($A294,Hitters!$A1:$R401,4,FALSE)-AVERAGE(Rankings!M2:M651))/STDEV(Rankings!M2:M651)</f>
        <v>0.40234948597033249</v>
      </c>
      <c r="G294" s="118">
        <f>(VLOOKUP($A294,Hitters!$A1:$R401,5,FALSE)-AVERAGE(Rankings!N2:N651))/STDEV(Rankings!N2:N651)</f>
        <v>0.3645532266848911</v>
      </c>
      <c r="H294" s="118">
        <f>(VLOOKUP($A294,Hitters!$A1:$R401,6,FALSE)-AVERAGE(Rankings!O2:O651))/STDEV(Rankings!O2:O651)</f>
        <v>0.27950094805303899</v>
      </c>
      <c r="I294" s="118">
        <f>(VLOOKUP($A294,Hitters!$A1:$R401,7,FALSE)-AVERAGE(Rankings!P2:P651))/STDEV(Rankings!P2:P651)</f>
        <v>0.30911867574181356</v>
      </c>
      <c r="J294" s="118">
        <f>(VLOOKUP($A294,Hitters!$A1:$R401,8,FALSE)-AVERAGE(Rankings!Q2:Q651))/STDEV(Rankings!Q2:Q651)</f>
        <v>-0.14959608688223489</v>
      </c>
      <c r="K294" s="157">
        <f>(VLOOKUP($A294,Hitters!$A$1:$R$401,14,FALSE)-AVERAGE(Rankings!R$2:R$651))/STDEV(Rankings!R$2:R$651)</f>
        <v>-0.54239740485097043</v>
      </c>
      <c r="L294" s="157">
        <f>(VLOOKUP($A294,Hitters!$A$1:$R$401,15,FALSE)-AVERAGE(Rankings!S$2:S$651))/STDEV(Rankings!S$2:S$651)</f>
        <v>0.30435061648779049</v>
      </c>
      <c r="M294" s="157">
        <f>(VLOOKUP($A294,Hitters!$A$1:$R$401,9,FALSE)-AVERAGE(Rankings!T$2:T$651))/STDEV(Rankings!T$2:T$651)</f>
        <v>0.19476862102163744</v>
      </c>
      <c r="N294" s="157">
        <f>(VLOOKUP($A294,Hitters!$A$1:$R$401,10,FALSE)-AVERAGE(Rankings!U$2:U$651))/STDEV(Rankings!U$2:U$651)</f>
        <v>0.40423705861643472</v>
      </c>
      <c r="O294" s="157">
        <f>(VLOOKUP($A294,Hitters!$A$1:$R$401,11,FALSE)-AVERAGE(Rankings!V$2:V$651))/STDEV(Rankings!V$2:V$651)</f>
        <v>0.30340925325146528</v>
      </c>
      <c r="P294" s="157">
        <f>(VLOOKUP($A294,Hitters!$A$1:$R$401,12,FALSE)-AVERAGE(Rankings!W$2:W$651))/STDEV(Rankings!W$2:W$651)</f>
        <v>0.88412235652998994</v>
      </c>
      <c r="Q294" s="157">
        <f>(VLOOKUP($A294,Hitters!$A$1:$R$401,13,FALSE)-AVERAGE(Rankings!X$2:X$651))/STDEV(Rankings!X$2:X$651)</f>
        <v>-0.22732969208754475</v>
      </c>
      <c r="R294" s="118">
        <f>(VLOOKUP($A294,Hitters!$A1:$R401,16,FALSE)-AVERAGE(Rankings!Y2:Y651))/STDEV(Rankings!Y2:Y651)</f>
        <v>-2.5603005607550047E-2</v>
      </c>
      <c r="S294" s="118">
        <f>(VLOOKUP($A294,Hitters!$A1:$R401,17,FALSE)-AVERAGE(Rankings!Z2:Z651))/STDEV(Rankings!Z2:Z651)</f>
        <v>9.5857407032721914E-2</v>
      </c>
      <c r="T294" s="118">
        <f>IFERROR((VLOOKUP($A294,Hitters!$A1:$R401,18,FALSE)-AVERAGE(Rankings!AA2:AA651))/STDEV(Rankings!AA2:AA651),0)</f>
        <v>0</v>
      </c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</row>
    <row r="295" spans="1:37" ht="18.600000000000001" customHeight="1">
      <c r="A295" s="26" t="s">
        <v>372</v>
      </c>
      <c r="B295" s="27" t="s">
        <v>78</v>
      </c>
      <c r="C295" s="123" t="s">
        <v>23</v>
      </c>
      <c r="D295" s="67">
        <f>(F295*Settings!$C$2)+(G295*Settings!$C$3)+(H295*Settings!$C$4)+(I295*Settings!$C$5)+(J295*Settings!$C$6)+(M295*Settings!$C$9)+(N295*Settings!$C$10)+(O295*Settings!$C$11)+(P295*Settings!$C$12)+(Q295*Settings!$C$13)+(T295*Settings!$C$16)+(K295*Settings!$C$7)+(L295*Settings!$C$8)+(R295*Settings!$C$14)+(S295*Settings!$C$15)</f>
        <v>-1.050660582645925</v>
      </c>
      <c r="E295" s="67"/>
      <c r="F295" s="118">
        <f>(VLOOKUP($A295,Hitters!$A1:$R401,4,FALSE)-AVERAGE(Rankings!M2:M651))/STDEV(Rankings!M2:M651)</f>
        <v>-7.8400594115443575E-2</v>
      </c>
      <c r="G295" s="118">
        <f>(VLOOKUP($A295,Hitters!$A1:$R401,5,FALSE)-AVERAGE(Rankings!N2:N651))/STDEV(Rankings!N2:N651)</f>
        <v>-6.9229497380390567E-2</v>
      </c>
      <c r="H295" s="118">
        <f>(VLOOKUP($A295,Hitters!$A1:$R401,6,FALSE)-AVERAGE(Rankings!O2:O651))/STDEV(Rankings!O2:O651)</f>
        <v>-8.6484602924875753E-2</v>
      </c>
      <c r="I295" s="118">
        <f>(VLOOKUP($A295,Hitters!$A1:$R401,7,FALSE)-AVERAGE(Rankings!P2:P651))/STDEV(Rankings!P2:P651)</f>
        <v>-9.3914474364635639E-2</v>
      </c>
      <c r="J295" s="118">
        <f>(VLOOKUP($A295,Hitters!$A1:$R401,8,FALSE)-AVERAGE(Rankings!Q2:Q651))/STDEV(Rankings!Q2:Q651)</f>
        <v>-0.11712623929974192</v>
      </c>
      <c r="K295" s="157">
        <f>(VLOOKUP($A295,Hitters!$A$1:$R$401,14,FALSE)-AVERAGE(Rankings!R$2:R$651))/STDEV(Rankings!R$2:R$651)</f>
        <v>-0.68390576867628106</v>
      </c>
      <c r="L295" s="157">
        <f>(VLOOKUP($A295,Hitters!$A$1:$R$401,15,FALSE)-AVERAGE(Rankings!S$2:S$651))/STDEV(Rankings!S$2:S$651)</f>
        <v>1.7307151454159606E-3</v>
      </c>
      <c r="M295" s="157">
        <f>(VLOOKUP($A295,Hitters!$A$1:$R$401,9,FALSE)-AVERAGE(Rankings!T$2:T$651))/STDEV(Rankings!T$2:T$651)</f>
        <v>-0.23585925789949988</v>
      </c>
      <c r="N295" s="157">
        <f>(VLOOKUP($A295,Hitters!$A$1:$R$401,10,FALSE)-AVERAGE(Rankings!U$2:U$651))/STDEV(Rankings!U$2:U$651)</f>
        <v>-0.63824003157565601</v>
      </c>
      <c r="O295" s="157">
        <f>(VLOOKUP($A295,Hitters!$A$1:$R$401,11,FALSE)-AVERAGE(Rankings!V$2:V$651))/STDEV(Rankings!V$2:V$651)</f>
        <v>0.29196384796146668</v>
      </c>
      <c r="P295" s="157">
        <f>(VLOOKUP($A295,Hitters!$A$1:$R$401,12,FALSE)-AVERAGE(Rankings!W$2:W$651))/STDEV(Rankings!W$2:W$651)</f>
        <v>0.3050125608636402</v>
      </c>
      <c r="Q295" s="157">
        <f>(VLOOKUP($A295,Hitters!$A$1:$R$401,13,FALSE)-AVERAGE(Rankings!X$2:X$651))/STDEV(Rankings!X$2:X$651)</f>
        <v>0.55726633986225715</v>
      </c>
      <c r="R295" s="118">
        <f>(VLOOKUP($A295,Hitters!$A1:$R401,16,FALSE)-AVERAGE(Rankings!Y2:Y651))/STDEV(Rankings!Y2:Y651)</f>
        <v>-0.46631165126948837</v>
      </c>
      <c r="S295" s="118">
        <f>(VLOOKUP($A295,Hitters!$A1:$R401,17,FALSE)-AVERAGE(Rankings!Z2:Z651))/STDEV(Rankings!Z2:Z651)</f>
        <v>-0.34025470589193313</v>
      </c>
      <c r="T295" s="118">
        <f>IFERROR((VLOOKUP($A295,Hitters!$A1:$R401,18,FALSE)-AVERAGE(Rankings!AA2:AA651))/STDEV(Rankings!AA2:AA651),0)</f>
        <v>0</v>
      </c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</row>
    <row r="296" spans="1:37" ht="18.600000000000001" customHeight="1">
      <c r="A296" s="26" t="s">
        <v>373</v>
      </c>
      <c r="B296" s="27" t="s">
        <v>258</v>
      </c>
      <c r="C296" s="123" t="s">
        <v>23</v>
      </c>
      <c r="D296" s="67">
        <f>(F296*Settings!$C$2)+(G296*Settings!$C$3)+(H296*Settings!$C$4)+(I296*Settings!$C$5)+(J296*Settings!$C$6)+(M296*Settings!$C$9)+(N296*Settings!$C$10)+(O296*Settings!$C$11)+(P296*Settings!$C$12)+(Q296*Settings!$C$13)+(T296*Settings!$C$16)+(K296*Settings!$C$7)+(L296*Settings!$C$8)+(R296*Settings!$C$14)+(S296*Settings!$C$15)</f>
        <v>-1.0578507477709376</v>
      </c>
      <c r="E296" s="67"/>
      <c r="F296" s="118">
        <f>(VLOOKUP($A296,Hitters!$A1:$R401,4,FALSE)-AVERAGE(Rankings!M2:M651))/STDEV(Rankings!M2:M651)</f>
        <v>-0.17839492096632442</v>
      </c>
      <c r="G296" s="118">
        <f>(VLOOKUP($A296,Hitters!$A1:$R401,5,FALSE)-AVERAGE(Rankings!N2:N651))/STDEV(Rankings!N2:N651)</f>
        <v>-0.36492590421048843</v>
      </c>
      <c r="H296" s="118">
        <f>(VLOOKUP($A296,Hitters!$A1:$R401,6,FALSE)-AVERAGE(Rankings!O2:O651))/STDEV(Rankings!O2:O651)</f>
        <v>5.3528902493016742E-2</v>
      </c>
      <c r="I296" s="118">
        <f>(VLOOKUP($A296,Hitters!$A1:$R401,7,FALSE)-AVERAGE(Rankings!P2:P651))/STDEV(Rankings!P2:P651)</f>
        <v>-0.14122982807779585</v>
      </c>
      <c r="J296" s="118">
        <f>(VLOOKUP($A296,Hitters!$A1:$R401,8,FALSE)-AVERAGE(Rankings!Q2:Q651))/STDEV(Rankings!Q2:Q651)</f>
        <v>-0.39620853900878</v>
      </c>
      <c r="K296" s="157">
        <f>(VLOOKUP($A296,Hitters!$A$1:$R$401,14,FALSE)-AVERAGE(Rankings!R$2:R$651))/STDEV(Rankings!R$2:R$651)</f>
        <v>-0.20901537896689004</v>
      </c>
      <c r="L296" s="157">
        <f>(VLOOKUP($A296,Hitters!$A$1:$R$401,15,FALSE)-AVERAGE(Rankings!S$2:S$651))/STDEV(Rankings!S$2:S$651)</f>
        <v>-0.80504668893148812</v>
      </c>
      <c r="M296" s="157">
        <f>(VLOOKUP($A296,Hitters!$A$1:$R$401,9,FALSE)-AVERAGE(Rankings!T$2:T$651))/STDEV(Rankings!T$2:T$651)</f>
        <v>-0.23037755910688903</v>
      </c>
      <c r="N296" s="157">
        <f>(VLOOKUP($A296,Hitters!$A$1:$R$401,10,FALSE)-AVERAGE(Rankings!U$2:U$651))/STDEV(Rankings!U$2:U$651)</f>
        <v>-0.23834650826036283</v>
      </c>
      <c r="O296" s="157">
        <f>(VLOOKUP($A296,Hitters!$A$1:$R$401,11,FALSE)-AVERAGE(Rankings!V$2:V$651))/STDEV(Rankings!V$2:V$651)</f>
        <v>0.304363037025632</v>
      </c>
      <c r="P296" s="157">
        <f>(VLOOKUP($A296,Hitters!$A$1:$R$401,12,FALSE)-AVERAGE(Rankings!W$2:W$651))/STDEV(Rankings!W$2:W$651)</f>
        <v>-0.63870003472734016</v>
      </c>
      <c r="Q296" s="157">
        <f>(VLOOKUP($A296,Hitters!$A$1:$R$401,13,FALSE)-AVERAGE(Rankings!X$2:X$651))/STDEV(Rankings!X$2:X$651)</f>
        <v>-4.1581746461620918E-2</v>
      </c>
      <c r="R296" s="118">
        <f>(VLOOKUP($A296,Hitters!$A1:$R401,16,FALSE)-AVERAGE(Rankings!Y2:Y651))/STDEV(Rankings!Y2:Y651)</f>
        <v>0.29385135970550513</v>
      </c>
      <c r="S296" s="118">
        <f>(VLOOKUP($A296,Hitters!$A1:$R401,17,FALSE)-AVERAGE(Rankings!Z2:Z651))/STDEV(Rankings!Z2:Z651)</f>
        <v>-8.8188994817546801E-2</v>
      </c>
      <c r="T296" s="118">
        <f>IFERROR((VLOOKUP($A296,Hitters!$A1:$R401,18,FALSE)-AVERAGE(Rankings!AA2:AA651))/STDEV(Rankings!AA2:AA651),0)</f>
        <v>0</v>
      </c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</row>
    <row r="297" spans="1:37" ht="18.600000000000001" customHeight="1">
      <c r="A297" s="26" t="s">
        <v>368</v>
      </c>
      <c r="B297" s="27" t="s">
        <v>117</v>
      </c>
      <c r="C297" s="123" t="s">
        <v>23</v>
      </c>
      <c r="D297" s="67">
        <f>(F297*Settings!$C$2)+(G297*Settings!$C$3)+(H297*Settings!$C$4)+(I297*Settings!$C$5)+(J297*Settings!$C$6)+(M297*Settings!$C$9)+(N297*Settings!$C$10)+(O297*Settings!$C$11)+(P297*Settings!$C$12)+(Q297*Settings!$C$13)+(T297*Settings!$C$16)+(K297*Settings!$C$7)+(L297*Settings!$C$8)+(R297*Settings!$C$14)+(S297*Settings!$C$15)</f>
        <v>-0.82262374210961042</v>
      </c>
      <c r="E297" s="67"/>
      <c r="F297" s="118">
        <f>(VLOOKUP($A297,Hitters!$A1:$R401,4,FALSE)-AVERAGE(Rankings!M2:M651))/STDEV(Rankings!M2:M651)</f>
        <v>-0.38091828510790726</v>
      </c>
      <c r="G297" s="118">
        <f>(VLOOKUP($A297,Hitters!$A1:$R401,5,FALSE)-AVERAGE(Rankings!N2:N651))/STDEV(Rankings!N2:N651)</f>
        <v>-0.44076434983120738</v>
      </c>
      <c r="H297" s="118">
        <f>(VLOOKUP($A297,Hitters!$A1:$R401,6,FALSE)-AVERAGE(Rankings!O2:O651))/STDEV(Rankings!O2:O651)</f>
        <v>-0.5491560969475846</v>
      </c>
      <c r="I297" s="118">
        <f>(VLOOKUP($A297,Hitters!$A1:$R401,7,FALSE)-AVERAGE(Rankings!P2:P651))/STDEV(Rankings!P2:P651)</f>
        <v>-0.53438758429467759</v>
      </c>
      <c r="J297" s="118">
        <f>(VLOOKUP($A297,Hitters!$A1:$R401,8,FALSE)-AVERAGE(Rankings!Q2:Q651))/STDEV(Rankings!Q2:Q651)</f>
        <v>0.15847149140044337</v>
      </c>
      <c r="K297" s="157">
        <f>(VLOOKUP($A297,Hitters!$A$1:$R$401,14,FALSE)-AVERAGE(Rankings!R$2:R$651))/STDEV(Rankings!R$2:R$651)</f>
        <v>0.54321279756341567</v>
      </c>
      <c r="L297" s="157">
        <f>(VLOOKUP($A297,Hitters!$A$1:$R$401,15,FALSE)-AVERAGE(Rankings!S$2:S$651))/STDEV(Rankings!S$2:S$651)</f>
        <v>-0.22780679554256419</v>
      </c>
      <c r="M297" s="157">
        <f>(VLOOKUP($A297,Hitters!$A$1:$R$401,9,FALSE)-AVERAGE(Rankings!T$2:T$651))/STDEV(Rankings!T$2:T$651)</f>
        <v>-0.27517472055141906</v>
      </c>
      <c r="N297" s="157">
        <f>(VLOOKUP($A297,Hitters!$A$1:$R$401,10,FALSE)-AVERAGE(Rankings!U$2:U$651))/STDEV(Rankings!U$2:U$651)</f>
        <v>-0.42165494541852094</v>
      </c>
      <c r="O297" s="157">
        <f>(VLOOKUP($A297,Hitters!$A$1:$R$401,11,FALSE)-AVERAGE(Rankings!V$2:V$651))/STDEV(Rankings!V$2:V$651)</f>
        <v>-0.15774520155806609</v>
      </c>
      <c r="P297" s="157">
        <f>(VLOOKUP($A297,Hitters!$A$1:$R$401,12,FALSE)-AVERAGE(Rankings!W$2:W$651))/STDEV(Rankings!W$2:W$651)</f>
        <v>-0.74637340275080455</v>
      </c>
      <c r="Q297" s="157">
        <f>(VLOOKUP($A297,Hitters!$A$1:$R$401,13,FALSE)-AVERAGE(Rankings!X$2:X$651))/STDEV(Rankings!X$2:X$651)</f>
        <v>-0.67991432199366686</v>
      </c>
      <c r="R297" s="118">
        <f>(VLOOKUP($A297,Hitters!$A1:$R401,16,FALSE)-AVERAGE(Rankings!Y2:Y651))/STDEV(Rankings!Y2:Y651)</f>
        <v>-0.21904026420140871</v>
      </c>
      <c r="S297" s="118">
        <f>(VLOOKUP($A297,Hitters!$A1:$R401,17,FALSE)-AVERAGE(Rankings!Z2:Z651))/STDEV(Rankings!Z2:Z651)</f>
        <v>-0.24587789283863132</v>
      </c>
      <c r="T297" s="118">
        <f>IFERROR((VLOOKUP($A297,Hitters!$A1:$R401,18,FALSE)-AVERAGE(Rankings!AA2:AA651))/STDEV(Rankings!AA2:AA651),0)</f>
        <v>0</v>
      </c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</row>
    <row r="298" spans="1:37" ht="18.600000000000001" customHeight="1">
      <c r="A298" s="26" t="s">
        <v>379</v>
      </c>
      <c r="B298" s="27" t="s">
        <v>91</v>
      </c>
      <c r="C298" s="123" t="s">
        <v>23</v>
      </c>
      <c r="D298" s="67">
        <f>(F298*Settings!$C$2)+(G298*Settings!$C$3)+(H298*Settings!$C$4)+(I298*Settings!$C$5)+(J298*Settings!$C$6)+(M298*Settings!$C$9)+(N298*Settings!$C$10)+(O298*Settings!$C$11)+(P298*Settings!$C$12)+(Q298*Settings!$C$13)+(T298*Settings!$C$16)+(K298*Settings!$C$7)+(L298*Settings!$C$8)+(R298*Settings!$C$14)+(S298*Settings!$C$15)</f>
        <v>-2.2733835748145526E-2</v>
      </c>
      <c r="E298" s="67"/>
      <c r="F298" s="118">
        <f>(VLOOKUP($A298,Hitters!$A1:$R401,4,FALSE)-AVERAGE(Rankings!M2:M651))/STDEV(Rankings!M2:M651)</f>
        <v>0.46005639365022405</v>
      </c>
      <c r="G298" s="118">
        <f>(VLOOKUP($A298,Hitters!$A1:$R401,5,FALSE)-AVERAGE(Rankings!N2:N651))/STDEV(Rankings!N2:N651)</f>
        <v>0.12474044879095644</v>
      </c>
      <c r="H298" s="118">
        <f>(VLOOKUP($A298,Hitters!$A1:$R401,6,FALSE)-AVERAGE(Rankings!O2:O651))/STDEV(Rankings!O2:O651)</f>
        <v>-0.40983917613376092</v>
      </c>
      <c r="I298" s="118">
        <f>(VLOOKUP($A298,Hitters!$A1:$R401,7,FALSE)-AVERAGE(Rankings!P2:P651))/STDEV(Rankings!P2:P651)</f>
        <v>-7.2534755634643913E-2</v>
      </c>
      <c r="J298" s="118">
        <f>(VLOOKUP($A298,Hitters!$A1:$R401,8,FALSE)-AVERAGE(Rankings!Q2:Q651))/STDEV(Rankings!Q2:Q651)</f>
        <v>0.84508997564487032</v>
      </c>
      <c r="K298" s="157">
        <f>(VLOOKUP($A298,Hitters!$A$1:$R$401,14,FALSE)-AVERAGE(Rankings!R$2:R$651))/STDEV(Rankings!R$2:R$651)</f>
        <v>-0.51019032841556744</v>
      </c>
      <c r="L298" s="157">
        <f>(VLOOKUP($A298,Hitters!$A$1:$R$401,15,FALSE)-AVERAGE(Rankings!S$2:S$651))/STDEV(Rankings!S$2:S$651)</f>
        <v>-0.61386978401598413</v>
      </c>
      <c r="M298" s="157">
        <f>(VLOOKUP($A298,Hitters!$A$1:$R$401,9,FALSE)-AVERAGE(Rankings!T$2:T$651))/STDEV(Rankings!T$2:T$651)</f>
        <v>0.25057411200870444</v>
      </c>
      <c r="N298" s="157">
        <f>(VLOOKUP($A298,Hitters!$A$1:$R$401,10,FALSE)-AVERAGE(Rankings!U$2:U$651))/STDEV(Rankings!U$2:U$651)</f>
        <v>0.17302172160630142</v>
      </c>
      <c r="O298" s="157">
        <f>(VLOOKUP($A298,Hitters!$A$1:$R$401,11,FALSE)-AVERAGE(Rankings!V$2:V$651))/STDEV(Rankings!V$2:V$651)</f>
        <v>1.551912213635491</v>
      </c>
      <c r="P298" s="157">
        <f>(VLOOKUP($A298,Hitters!$A$1:$R$401,12,FALSE)-AVERAGE(Rankings!W$2:W$651))/STDEV(Rankings!W$2:W$651)</f>
        <v>6.2763033557238362E-2</v>
      </c>
      <c r="Q298" s="157">
        <f>(VLOOKUP($A298,Hitters!$A$1:$R$401,13,FALSE)-AVERAGE(Rankings!X$2:X$651))/STDEV(Rankings!X$2:X$651)</f>
        <v>1.7138011980389993</v>
      </c>
      <c r="R298" s="118">
        <f>(VLOOKUP($A298,Hitters!$A1:$R401,16,FALSE)-AVERAGE(Rankings!Y2:Y651))/STDEV(Rankings!Y2:Y651)</f>
        <v>-0.88329144114918112</v>
      </c>
      <c r="S298" s="118">
        <f>(VLOOKUP($A298,Hitters!$A1:$R401,17,FALSE)-AVERAGE(Rankings!Z2:Z651))/STDEV(Rankings!Z2:Z651)</f>
        <v>-0.8768305754604675</v>
      </c>
      <c r="T298" s="118">
        <f>IFERROR((VLOOKUP($A298,Hitters!$A1:$R401,18,FALSE)-AVERAGE(Rankings!AA2:AA651))/STDEV(Rankings!AA2:AA651),0)</f>
        <v>0</v>
      </c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</row>
    <row r="299" spans="1:37" ht="18.600000000000001" customHeight="1">
      <c r="A299" s="26" t="s">
        <v>369</v>
      </c>
      <c r="B299" s="27" t="s">
        <v>117</v>
      </c>
      <c r="C299" s="123" t="s">
        <v>23</v>
      </c>
      <c r="D299" s="67">
        <f>(F299*Settings!$C$2)+(G299*Settings!$C$3)+(H299*Settings!$C$4)+(I299*Settings!$C$5)+(J299*Settings!$C$6)+(M299*Settings!$C$9)+(N299*Settings!$C$10)+(O299*Settings!$C$11)+(P299*Settings!$C$12)+(Q299*Settings!$C$13)+(T299*Settings!$C$16)+(K299*Settings!$C$7)+(L299*Settings!$C$8)+(R299*Settings!$C$14)+(S299*Settings!$C$15)</f>
        <v>-0.40813954057641222</v>
      </c>
      <c r="E299" s="67"/>
      <c r="F299" s="118">
        <f>(VLOOKUP($A299,Hitters!$A1:$R401,4,FALSE)-AVERAGE(Rankings!M2:M651))/STDEV(Rankings!M2:M651)</f>
        <v>0.14820251920442515</v>
      </c>
      <c r="G299" s="118">
        <f>(VLOOKUP($A299,Hitters!$A1:$R401,5,FALSE)-AVERAGE(Rankings!N2:N651))/STDEV(Rankings!N2:N651)</f>
        <v>-0.12501170412247758</v>
      </c>
      <c r="H299" s="118">
        <f>(VLOOKUP($A299,Hitters!$A1:$R401,6,FALSE)-AVERAGE(Rankings!O2:O651))/STDEV(Rankings!O2:O651)</f>
        <v>-0.5802934287494742</v>
      </c>
      <c r="I299" s="118">
        <f>(VLOOKUP($A299,Hitters!$A1:$R401,7,FALSE)-AVERAGE(Rankings!P2:P651))/STDEV(Rankings!P2:P651)</f>
        <v>-0.29381484449005757</v>
      </c>
      <c r="J299" s="118">
        <f>(VLOOKUP($A299,Hitters!$A1:$R401,8,FALSE)-AVERAGE(Rankings!Q2:Q651))/STDEV(Rankings!Q2:Q651)</f>
        <v>1.143020625901795</v>
      </c>
      <c r="K299" s="157">
        <f>(VLOOKUP($A299,Hitters!$A$1:$R$401,14,FALSE)-AVERAGE(Rankings!R$2:R$651))/STDEV(Rankings!R$2:R$651)</f>
        <v>-0.5520401891161979</v>
      </c>
      <c r="L299" s="157">
        <f>(VLOOKUP($A299,Hitters!$A$1:$R$401,15,FALSE)-AVERAGE(Rankings!S$2:S$651))/STDEV(Rankings!S$2:S$651)</f>
        <v>-0.95206555701651641</v>
      </c>
      <c r="M299" s="157">
        <f>(VLOOKUP($A299,Hitters!$A$1:$R$401,9,FALSE)-AVERAGE(Rankings!T$2:T$651))/STDEV(Rankings!T$2:T$651)</f>
        <v>-2.045545452429853E-2</v>
      </c>
      <c r="N299" s="157">
        <f>(VLOOKUP($A299,Hitters!$A$1:$R$401,10,FALSE)-AVERAGE(Rankings!U$2:U$651))/STDEV(Rankings!U$2:U$651)</f>
        <v>-3.2232091831354677E-2</v>
      </c>
      <c r="O299" s="157">
        <f>(VLOOKUP($A299,Hitters!$A$1:$R$401,11,FALSE)-AVERAGE(Rankings!V$2:V$651))/STDEV(Rankings!V$2:V$651)</f>
        <v>2.0106822090096061</v>
      </c>
      <c r="P299" s="157">
        <f>(VLOOKUP($A299,Hitters!$A$1:$R$401,12,FALSE)-AVERAGE(Rankings!W$2:W$651))/STDEV(Rankings!W$2:W$651)</f>
        <v>-0.37754079980734329</v>
      </c>
      <c r="Q299" s="157">
        <f>(VLOOKUP($A299,Hitters!$A$1:$R$401,13,FALSE)-AVERAGE(Rankings!X$2:X$651))/STDEV(Rankings!X$2:X$651)</f>
        <v>0.4134390258075053</v>
      </c>
      <c r="R299" s="118">
        <f>(VLOOKUP($A299,Hitters!$A1:$R401,16,FALSE)-AVERAGE(Rankings!Y2:Y651))/STDEV(Rankings!Y2:Y651)</f>
        <v>-0.85232003014042523</v>
      </c>
      <c r="S299" s="118">
        <f>(VLOOKUP($A299,Hitters!$A1:$R401,17,FALSE)-AVERAGE(Rankings!Z2:Z651))/STDEV(Rankings!Z2:Z651)</f>
        <v>-0.98149079965838371</v>
      </c>
      <c r="T299" s="118">
        <f>IFERROR((VLOOKUP($A299,Hitters!$A1:$R401,18,FALSE)-AVERAGE(Rankings!AA2:AA651))/STDEV(Rankings!AA2:AA651),0)</f>
        <v>0</v>
      </c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</row>
    <row r="300" spans="1:37" ht="18.600000000000001" customHeight="1">
      <c r="A300" s="26" t="s">
        <v>392</v>
      </c>
      <c r="B300" s="27" t="s">
        <v>73</v>
      </c>
      <c r="C300" s="123" t="s">
        <v>23</v>
      </c>
      <c r="D300" s="67">
        <f>(F300*Settings!$C$2)+(G300*Settings!$C$3)+(H300*Settings!$C$4)+(I300*Settings!$C$5)+(J300*Settings!$C$6)+(M300*Settings!$C$9)+(N300*Settings!$C$10)+(O300*Settings!$C$11)+(P300*Settings!$C$12)+(Q300*Settings!$C$13)+(T300*Settings!$C$16)+(K300*Settings!$C$7)+(L300*Settings!$C$8)+(R300*Settings!$C$14)+(S300*Settings!$C$15)</f>
        <v>-1.0272360186619305</v>
      </c>
      <c r="E300" s="67"/>
      <c r="F300" s="118">
        <f>(VLOOKUP($A300,Hitters!$A1:$R401,4,FALSE)-AVERAGE(Rankings!M2:M651))/STDEV(Rankings!M2:M651)</f>
        <v>-4.0633408562131976E-2</v>
      </c>
      <c r="G300" s="118">
        <f>(VLOOKUP($A300,Hitters!$A1:$R401,5,FALSE)-AVERAGE(Rankings!N2:N651))/STDEV(Rankings!N2:N651)</f>
        <v>-0.32978311396297366</v>
      </c>
      <c r="H300" s="118">
        <f>(VLOOKUP($A300,Hitters!$A1:$R401,6,FALSE)-AVERAGE(Rankings!O2:O651))/STDEV(Rankings!O2:O651)</f>
        <v>-0.21584036390051106</v>
      </c>
      <c r="I300" s="118">
        <f>(VLOOKUP($A300,Hitters!$A1:$R401,7,FALSE)-AVERAGE(Rankings!P2:P651))/STDEV(Rankings!P2:P651)</f>
        <v>-9.4983460301135539E-2</v>
      </c>
      <c r="J300" s="118">
        <f>(VLOOKUP($A300,Hitters!$A1:$R401,8,FALSE)-AVERAGE(Rankings!Q2:Q651))/STDEV(Rankings!Q2:Q651)</f>
        <v>-5.3453660137974777E-2</v>
      </c>
      <c r="K300" s="157">
        <f>(VLOOKUP($A300,Hitters!$A$1:$R$401,14,FALSE)-AVERAGE(Rankings!R$2:R$651))/STDEV(Rankings!R$2:R$651)</f>
        <v>-0.33317542035933534</v>
      </c>
      <c r="L300" s="157">
        <f>(VLOOKUP($A300,Hitters!$A$1:$R$401,15,FALSE)-AVERAGE(Rankings!S$2:S$651))/STDEV(Rankings!S$2:S$651)</f>
        <v>-0.97984660121719447</v>
      </c>
      <c r="M300" s="157">
        <f>(VLOOKUP($A300,Hitters!$A$1:$R$401,9,FALSE)-AVERAGE(Rankings!T$2:T$651))/STDEV(Rankings!T$2:T$651)</f>
        <v>-0.13596053946586084</v>
      </c>
      <c r="N300" s="157">
        <f>(VLOOKUP($A300,Hitters!$A$1:$R$401,10,FALSE)-AVERAGE(Rankings!U$2:U$651))/STDEV(Rankings!U$2:U$651)</f>
        <v>-0.26086561986742951</v>
      </c>
      <c r="O300" s="157">
        <f>(VLOOKUP($A300,Hitters!$A$1:$R$401,11,FALSE)-AVERAGE(Rankings!V$2:V$651))/STDEV(Rankings!V$2:V$651)</f>
        <v>-0.15631452589681624</v>
      </c>
      <c r="P300" s="157">
        <f>(VLOOKUP($A300,Hitters!$A$1:$R$401,12,FALSE)-AVERAGE(Rankings!W$2:W$651))/STDEV(Rankings!W$2:W$651)</f>
        <v>-0.62703697493277077</v>
      </c>
      <c r="Q300" s="157">
        <f>(VLOOKUP($A300,Hitters!$A$1:$R$401,13,FALSE)-AVERAGE(Rankings!X$2:X$651))/STDEV(Rankings!X$2:X$651)</f>
        <v>-0.29033719229432842</v>
      </c>
      <c r="R300" s="118">
        <f>(VLOOKUP($A300,Hitters!$A1:$R401,16,FALSE)-AVERAGE(Rankings!Y2:Y651))/STDEV(Rankings!Y2:Y651)</f>
        <v>-0.43187787233148911</v>
      </c>
      <c r="S300" s="118">
        <f>(VLOOKUP($A300,Hitters!$A1:$R401,17,FALSE)-AVERAGE(Rankings!Z2:Z651))/STDEV(Rankings!Z2:Z651)</f>
        <v>-0.68456460424222465</v>
      </c>
      <c r="T300" s="118">
        <f>IFERROR((VLOOKUP($A300,Hitters!$A1:$R401,18,FALSE)-AVERAGE(Rankings!AA2:AA651))/STDEV(Rankings!AA2:AA651),0)</f>
        <v>0</v>
      </c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</row>
    <row r="301" spans="1:37" ht="18.600000000000001" customHeight="1">
      <c r="A301" s="26" t="s">
        <v>396</v>
      </c>
      <c r="B301" s="27"/>
      <c r="C301" s="123" t="s">
        <v>23</v>
      </c>
      <c r="D301" s="67">
        <f>(F301*Settings!$C$2)+(G301*Settings!$C$3)+(H301*Settings!$C$4)+(I301*Settings!$C$5)+(J301*Settings!$C$6)+(M301*Settings!$C$9)+(N301*Settings!$C$10)+(O301*Settings!$C$11)+(P301*Settings!$C$12)+(Q301*Settings!$C$13)+(T301*Settings!$C$16)+(K301*Settings!$C$7)+(L301*Settings!$C$8)+(R301*Settings!$C$14)+(S301*Settings!$C$15)</f>
        <v>-1.1330190841829846</v>
      </c>
      <c r="E301" s="67"/>
      <c r="F301" s="118">
        <f>(VLOOKUP($A301,Hitters!$A1:$R401,4,FALSE)-AVERAGE(Rankings!M2:M651))/STDEV(Rankings!M2:M651)</f>
        <v>-9.6059076846186267E-2</v>
      </c>
      <c r="G301" s="118">
        <f>(VLOOKUP($A301,Hitters!$A1:$R401,5,FALSE)-AVERAGE(Rankings!N2:N651))/STDEV(Rankings!N2:N651)</f>
        <v>4.9608375865848589E-3</v>
      </c>
      <c r="H301" s="118">
        <f>(VLOOKUP($A301,Hitters!$A1:$R401,6,FALSE)-AVERAGE(Rankings!O2:O651))/STDEV(Rankings!O2:O651)</f>
        <v>-0.50178834387088467</v>
      </c>
      <c r="I301" s="118">
        <f>(VLOOKUP($A301,Hitters!$A1:$R401,7,FALSE)-AVERAGE(Rankings!P2:P651))/STDEV(Rankings!P2:P651)</f>
        <v>-0.40616017600694232</v>
      </c>
      <c r="J301" s="118">
        <f>(VLOOKUP($A301,Hitters!$A1:$R401,8,FALSE)-AVERAGE(Rankings!Q2:Q651))/STDEV(Rankings!Q2:Q651)</f>
        <v>-7.7370474698738173E-2</v>
      </c>
      <c r="K301" s="157">
        <f>(VLOOKUP($A301,Hitters!$A$1:$R$401,14,FALSE)-AVERAGE(Rankings!R$2:R$651))/STDEV(Rankings!R$2:R$651)</f>
        <v>-0.15266092719300436</v>
      </c>
      <c r="L301" s="157">
        <f>(VLOOKUP($A301,Hitters!$A$1:$R$401,15,FALSE)-AVERAGE(Rankings!S$2:S$651))/STDEV(Rankings!S$2:S$651)</f>
        <v>0.57852910316090544</v>
      </c>
      <c r="M301" s="157">
        <f>(VLOOKUP($A301,Hitters!$A$1:$R$401,9,FALSE)-AVERAGE(Rankings!T$2:T$651))/STDEV(Rankings!T$2:T$651)</f>
        <v>-0.14863135142910833</v>
      </c>
      <c r="N301" s="157">
        <f>(VLOOKUP($A301,Hitters!$A$1:$R$401,10,FALSE)-AVERAGE(Rankings!U$2:U$651))/STDEV(Rankings!U$2:U$651)</f>
        <v>5.7270619269342356E-2</v>
      </c>
      <c r="O301" s="157">
        <f>(VLOOKUP($A301,Hitters!$A$1:$R$401,11,FALSE)-AVERAGE(Rankings!V$2:V$651))/STDEV(Rankings!V$2:V$651)</f>
        <v>0.12600547125648537</v>
      </c>
      <c r="P301" s="157">
        <f>(VLOOKUP($A301,Hitters!$A$1:$R$401,12,FALSE)-AVERAGE(Rankings!W$2:W$651))/STDEV(Rankings!W$2:W$651)</f>
        <v>0.43389714696682774</v>
      </c>
      <c r="Q301" s="157">
        <f>(VLOOKUP($A301,Hitters!$A$1:$R$401,13,FALSE)-AVERAGE(Rankings!X$2:X$651))/STDEV(Rankings!X$2:X$651)</f>
        <v>-0.80244911903151483</v>
      </c>
      <c r="R301" s="118">
        <f>(VLOOKUP($A301,Hitters!$A1:$R401,16,FALSE)-AVERAGE(Rankings!Y2:Y651))/STDEV(Rankings!Y2:Y651)</f>
        <v>-0.5162903394930255</v>
      </c>
      <c r="S301" s="118">
        <f>(VLOOKUP($A301,Hitters!$A1:$R401,17,FALSE)-AVERAGE(Rankings!Z2:Z651))/STDEV(Rankings!Z2:Z651)</f>
        <v>-0.15967607992118399</v>
      </c>
      <c r="T301" s="118">
        <f>IFERROR((VLOOKUP($A301,Hitters!$A1:$R401,18,FALSE)-AVERAGE(Rankings!AA2:AA651))/STDEV(Rankings!AA2:AA651),0)</f>
        <v>0</v>
      </c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</row>
    <row r="302" spans="1:37" ht="18.600000000000001" customHeight="1">
      <c r="A302" s="26" t="s">
        <v>398</v>
      </c>
      <c r="B302" s="27" t="s">
        <v>176</v>
      </c>
      <c r="C302" s="123" t="s">
        <v>23</v>
      </c>
      <c r="D302" s="67">
        <f>(F302*Settings!$C$2)+(G302*Settings!$C$3)+(H302*Settings!$C$4)+(I302*Settings!$C$5)+(J302*Settings!$C$6)+(M302*Settings!$C$9)+(N302*Settings!$C$10)+(O302*Settings!$C$11)+(P302*Settings!$C$12)+(Q302*Settings!$C$13)+(T302*Settings!$C$16)+(K302*Settings!$C$7)+(L302*Settings!$C$8)+(R302*Settings!$C$14)+(S302*Settings!$C$15)</f>
        <v>-0.31775304895772916</v>
      </c>
      <c r="E302" s="67"/>
      <c r="F302" s="118">
        <f>(VLOOKUP($A302,Hitters!$A1:$R401,4,FALSE)-AVERAGE(Rankings!M2:M651))/STDEV(Rankings!M2:M651)</f>
        <v>5.3911290843137449E-2</v>
      </c>
      <c r="G302" s="118">
        <f>(VLOOKUP($A302,Hitters!$A1:$R401,5,FALSE)-AVERAGE(Rankings!N2:N651))/STDEV(Rankings!N2:N651)</f>
        <v>-0.10165924393635838</v>
      </c>
      <c r="H302" s="118">
        <f>(VLOOKUP($A302,Hitters!$A1:$R401,6,FALSE)-AVERAGE(Rankings!O2:O651))/STDEV(Rankings!O2:O651)</f>
        <v>-1.2451834333334482</v>
      </c>
      <c r="I302" s="118">
        <f>(VLOOKUP($A302,Hitters!$A1:$R401,7,FALSE)-AVERAGE(Rankings!P2:P651))/STDEV(Rankings!P2:P651)</f>
        <v>-0.56121404089159577</v>
      </c>
      <c r="J302" s="118">
        <f>(VLOOKUP($A302,Hitters!$A1:$R401,8,FALSE)-AVERAGE(Rankings!Q2:Q651))/STDEV(Rankings!Q2:Q651)</f>
        <v>-0.40396962452849788</v>
      </c>
      <c r="K302" s="157">
        <f>(VLOOKUP($A302,Hitters!$A$1:$R$401,14,FALSE)-AVERAGE(Rankings!R$2:R$651))/STDEV(Rankings!R$2:R$651)</f>
        <v>1.9942732937321712</v>
      </c>
      <c r="L302" s="157">
        <f>(VLOOKUP($A302,Hitters!$A$1:$R$401,15,FALSE)-AVERAGE(Rankings!S$2:S$651))/STDEV(Rankings!S$2:S$651)</f>
        <v>0.83780600586428533</v>
      </c>
      <c r="M302" s="157">
        <f>(VLOOKUP($A302,Hitters!$A$1:$R$401,9,FALSE)-AVERAGE(Rankings!T$2:T$651))/STDEV(Rankings!T$2:T$651)</f>
        <v>0.41472552940490864</v>
      </c>
      <c r="N302" s="157">
        <f>(VLOOKUP($A302,Hitters!$A$1:$R$401,10,FALSE)-AVERAGE(Rankings!U$2:U$651))/STDEV(Rankings!U$2:U$651)</f>
        <v>0.16828840515386043</v>
      </c>
      <c r="O302" s="157">
        <f>(VLOOKUP($A302,Hitters!$A$1:$R$401,11,FALSE)-AVERAGE(Rankings!V$2:V$651))/STDEV(Rankings!V$2:V$651)</f>
        <v>1.1389238394213712</v>
      </c>
      <c r="P302" s="157">
        <f>(VLOOKUP($A302,Hitters!$A$1:$R$401,12,FALSE)-AVERAGE(Rankings!W$2:W$651))/STDEV(Rankings!W$2:W$651)</f>
        <v>-0.57581281631502224</v>
      </c>
      <c r="Q302" s="157">
        <f>(VLOOKUP($A302,Hitters!$A$1:$R$401,13,FALSE)-AVERAGE(Rankings!X$2:X$651))/STDEV(Rankings!X$2:X$651)</f>
        <v>-0.6901651028457878</v>
      </c>
      <c r="R302" s="118">
        <f>(VLOOKUP($A302,Hitters!$A1:$R401,16,FALSE)-AVERAGE(Rankings!Y2:Y651))/STDEV(Rankings!Y2:Y651)</f>
        <v>-0.592768866633827</v>
      </c>
      <c r="S302" s="118">
        <f>(VLOOKUP($A302,Hitters!$A1:$R401,17,FALSE)-AVERAGE(Rankings!Z2:Z651))/STDEV(Rankings!Z2:Z651)</f>
        <v>-0.11799247566823366</v>
      </c>
      <c r="T302" s="118">
        <f>IFERROR((VLOOKUP($A302,Hitters!$A1:$R401,18,FALSE)-AVERAGE(Rankings!AA2:AA651))/STDEV(Rankings!AA2:AA651),0)</f>
        <v>0</v>
      </c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</row>
    <row r="303" spans="1:37" ht="18.600000000000001" customHeight="1">
      <c r="A303" s="26" t="s">
        <v>397</v>
      </c>
      <c r="B303" s="27" t="s">
        <v>114</v>
      </c>
      <c r="C303" s="123" t="s">
        <v>23</v>
      </c>
      <c r="D303" s="67">
        <f>(F303*Settings!$C$2)+(G303*Settings!$C$3)+(H303*Settings!$C$4)+(I303*Settings!$C$5)+(J303*Settings!$C$6)+(M303*Settings!$C$9)+(N303*Settings!$C$10)+(O303*Settings!$C$11)+(P303*Settings!$C$12)+(Q303*Settings!$C$13)+(T303*Settings!$C$16)+(K303*Settings!$C$7)+(L303*Settings!$C$8)+(R303*Settings!$C$14)+(S303*Settings!$C$15)</f>
        <v>-0.50185137725087348</v>
      </c>
      <c r="E303" s="67"/>
      <c r="F303" s="118">
        <f>(VLOOKUP($A303,Hitters!$A1:$R401,4,FALSE)-AVERAGE(Rankings!M2:M651))/STDEV(Rankings!M2:M651)</f>
        <v>0.17215553286071977</v>
      </c>
      <c r="G303" s="118">
        <f>(VLOOKUP($A303,Hitters!$A1:$R401,5,FALSE)-AVERAGE(Rankings!N2:N651))/STDEV(Rankings!N2:N651)</f>
        <v>-0.10348484342973539</v>
      </c>
      <c r="H303" s="118">
        <f>(VLOOKUP($A303,Hitters!$A1:$R401,6,FALSE)-AVERAGE(Rankings!O2:O651))/STDEV(Rankings!O2:O651)</f>
        <v>0.1732717959324985</v>
      </c>
      <c r="I303" s="118">
        <f>(VLOOKUP($A303,Hitters!$A1:$R401,7,FALSE)-AVERAGE(Rankings!P2:P651))/STDEV(Rankings!P2:P651)</f>
        <v>0.11784654924670965</v>
      </c>
      <c r="J303" s="118">
        <f>(VLOOKUP($A303,Hitters!$A1:$R401,8,FALSE)-AVERAGE(Rankings!Q2:Q651))/STDEV(Rankings!Q2:Q651)</f>
        <v>-0.54232285312999895</v>
      </c>
      <c r="K303" s="157">
        <f>(VLOOKUP($A303,Hitters!$A$1:$R$401,14,FALSE)-AVERAGE(Rankings!R$2:R$651))/STDEV(Rankings!R$2:R$651)</f>
        <v>-0.1471620258703473</v>
      </c>
      <c r="L303" s="157">
        <f>(VLOOKUP($A303,Hitters!$A$1:$R$401,15,FALSE)-AVERAGE(Rankings!S$2:S$651))/STDEV(Rankings!S$2:S$651)</f>
        <v>-0.9682424130019639</v>
      </c>
      <c r="M303" s="157">
        <f>(VLOOKUP($A303,Hitters!$A$1:$R$401,9,FALSE)-AVERAGE(Rankings!T$2:T$651))/STDEV(Rankings!T$2:T$651)</f>
        <v>8.4640393638946987E-2</v>
      </c>
      <c r="N303" s="157">
        <f>(VLOOKUP($A303,Hitters!$A$1:$R$401,10,FALSE)-AVERAGE(Rankings!U$2:U$651))/STDEV(Rankings!U$2:U$651)</f>
        <v>-0.26803731146203635</v>
      </c>
      <c r="O303" s="157">
        <f>(VLOOKUP($A303,Hitters!$A$1:$R$401,11,FALSE)-AVERAGE(Rankings!V$2:V$651))/STDEV(Rankings!V$2:V$651)</f>
        <v>2.6811958743162962E-2</v>
      </c>
      <c r="P303" s="157">
        <f>(VLOOKUP($A303,Hitters!$A$1:$R$401,12,FALSE)-AVERAGE(Rankings!W$2:W$651))/STDEV(Rankings!W$2:W$651)</f>
        <v>-0.6294628913700413</v>
      </c>
      <c r="Q303" s="157">
        <f>(VLOOKUP($A303,Hitters!$A$1:$R$401,13,FALSE)-AVERAGE(Rankings!X$2:X$651))/STDEV(Rankings!X$2:X$651)</f>
        <v>0.50333900664485232</v>
      </c>
      <c r="R303" s="118">
        <f>(VLOOKUP($A303,Hitters!$A1:$R401,16,FALSE)-AVERAGE(Rankings!Y2:Y651))/STDEV(Rankings!Y2:Y651)</f>
        <v>-3.4145373870559013E-2</v>
      </c>
      <c r="S303" s="118">
        <f>(VLOOKUP($A303,Hitters!$A1:$R401,17,FALSE)-AVERAGE(Rankings!Z2:Z651))/STDEV(Rankings!Z2:Z651)</f>
        <v>-0.38941599864506032</v>
      </c>
      <c r="T303" s="118">
        <f>IFERROR((VLOOKUP($A303,Hitters!$A1:$R401,18,FALSE)-AVERAGE(Rankings!AA2:AA651))/STDEV(Rankings!AA2:AA651),0)</f>
        <v>0</v>
      </c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</row>
    <row r="304" spans="1:37" ht="18.600000000000001" customHeight="1">
      <c r="A304" s="26" t="s">
        <v>401</v>
      </c>
      <c r="B304" s="27" t="s">
        <v>97</v>
      </c>
      <c r="C304" s="123" t="s">
        <v>23</v>
      </c>
      <c r="D304" s="67">
        <f>(F304*Settings!$C$2)+(G304*Settings!$C$3)+(H304*Settings!$C$4)+(I304*Settings!$C$5)+(J304*Settings!$C$6)+(M304*Settings!$C$9)+(N304*Settings!$C$10)+(O304*Settings!$C$11)+(P304*Settings!$C$12)+(Q304*Settings!$C$13)+(T304*Settings!$C$16)+(K304*Settings!$C$7)+(L304*Settings!$C$8)+(R304*Settings!$C$14)+(S304*Settings!$C$15)</f>
        <v>-0.95346955487048102</v>
      </c>
      <c r="E304" s="67"/>
      <c r="F304" s="118">
        <f>(VLOOKUP($A304,Hitters!$A1:$R401,4,FALSE)-AVERAGE(Rankings!M2:M651))/STDEV(Rankings!M2:M651)</f>
        <v>-9.1074146314541068E-2</v>
      </c>
      <c r="G304" s="118">
        <f>(VLOOKUP($A304,Hitters!$A1:$R401,5,FALSE)-AVERAGE(Rankings!N2:N651))/STDEV(Rankings!N2:N651)</f>
        <v>-0.23736213961074371</v>
      </c>
      <c r="H304" s="118">
        <f>(VLOOKUP($A304,Hitters!$A1:$R401,6,FALSE)-AVERAGE(Rankings!O2:O651))/STDEV(Rankings!O2:O651)</f>
        <v>0.21423097065176241</v>
      </c>
      <c r="I304" s="118">
        <f>(VLOOKUP($A304,Hitters!$A1:$R401,7,FALSE)-AVERAGE(Rankings!P2:P651))/STDEV(Rankings!P2:P651)</f>
        <v>5.2212452226471197E-3</v>
      </c>
      <c r="J304" s="118">
        <f>(VLOOKUP($A304,Hitters!$A1:$R401,8,FALSE)-AVERAGE(Rankings!Q2:Q651))/STDEV(Rankings!Q2:Q651)</f>
        <v>-0.24391703437186732</v>
      </c>
      <c r="K304" s="157">
        <f>(VLOOKUP($A304,Hitters!$A$1:$R$401,14,FALSE)-AVERAGE(Rankings!R$2:R$651))/STDEV(Rankings!R$2:R$651)</f>
        <v>-0.69164259676227946</v>
      </c>
      <c r="L304" s="157">
        <f>(VLOOKUP($A304,Hitters!$A$1:$R$401,15,FALSE)-AVERAGE(Rankings!S$2:S$651))/STDEV(Rankings!S$2:S$651)</f>
        <v>-1.1892979590179718</v>
      </c>
      <c r="M304" s="157">
        <f>(VLOOKUP($A304,Hitters!$A$1:$R$401,9,FALSE)-AVERAGE(Rankings!T$2:T$651))/STDEV(Rankings!T$2:T$651)</f>
        <v>-0.24785609050300003</v>
      </c>
      <c r="N304" s="157">
        <f>(VLOOKUP($A304,Hitters!$A$1:$R$401,10,FALSE)-AVERAGE(Rankings!U$2:U$651))/STDEV(Rankings!U$2:U$651)</f>
        <v>-0.1729406809175458</v>
      </c>
      <c r="O304" s="157">
        <f>(VLOOKUP($A304,Hitters!$A$1:$R$401,11,FALSE)-AVERAGE(Rankings!V$2:V$651))/STDEV(Rankings!V$2:V$651)</f>
        <v>0.36874344178187468</v>
      </c>
      <c r="P304" s="157">
        <f>(VLOOKUP($A304,Hitters!$A$1:$R$401,12,FALSE)-AVERAGE(Rankings!W$2:W$651))/STDEV(Rankings!W$2:W$651)</f>
        <v>-0.60119163442800527</v>
      </c>
      <c r="Q304" s="157">
        <f>(VLOOKUP($A304,Hitters!$A$1:$R$401,13,FALSE)-AVERAGE(Rankings!X$2:X$651))/STDEV(Rankings!X$2:X$651)</f>
        <v>0.11841269418397572</v>
      </c>
      <c r="R304" s="118">
        <f>(VLOOKUP($A304,Hitters!$A1:$R401,16,FALSE)-AVERAGE(Rankings!Y2:Y651))/STDEV(Rankings!Y2:Y651)</f>
        <v>0.23250559073392416</v>
      </c>
      <c r="S304" s="118">
        <f>(VLOOKUP($A304,Hitters!$A1:$R401,17,FALSE)-AVERAGE(Rankings!Z2:Z651))/STDEV(Rankings!Z2:Z651)</f>
        <v>-0.27767808522075466</v>
      </c>
      <c r="T304" s="118">
        <f>IFERROR((VLOOKUP($A304,Hitters!$A1:$R401,18,FALSE)-AVERAGE(Rankings!AA2:AA651))/STDEV(Rankings!AA2:AA651),0)</f>
        <v>0</v>
      </c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</row>
    <row r="305" spans="1:37" ht="18.600000000000001" customHeight="1">
      <c r="A305" s="26" t="s">
        <v>395</v>
      </c>
      <c r="B305" s="27" t="s">
        <v>71</v>
      </c>
      <c r="C305" s="123" t="s">
        <v>23</v>
      </c>
      <c r="D305" s="67">
        <f>(F305*Settings!$C$2)+(G305*Settings!$C$3)+(H305*Settings!$C$4)+(I305*Settings!$C$5)+(J305*Settings!$C$6)+(M305*Settings!$C$9)+(N305*Settings!$C$10)+(O305*Settings!$C$11)+(P305*Settings!$C$12)+(Q305*Settings!$C$13)+(T305*Settings!$C$16)+(K305*Settings!$C$7)+(L305*Settings!$C$8)+(R305*Settings!$C$14)+(S305*Settings!$C$15)</f>
        <v>-0.11289413666963166</v>
      </c>
      <c r="E305" s="67"/>
      <c r="F305" s="118">
        <f>(VLOOKUP($A305,Hitters!$A1:$R401,4,FALSE)-AVERAGE(Rankings!M2:M651))/STDEV(Rankings!M2:M651)</f>
        <v>0.27326935682252151</v>
      </c>
      <c r="G305" s="118">
        <f>(VLOOKUP($A305,Hitters!$A1:$R401,5,FALSE)-AVERAGE(Rankings!N2:N651))/STDEV(Rankings!N2:N651)</f>
        <v>4.0712160998558532E-2</v>
      </c>
      <c r="H305" s="118">
        <f>(VLOOKUP($A305,Hitters!$A1:$R401,6,FALSE)-AVERAGE(Rankings!O2:O651))/STDEV(Rankings!O2:O651)</f>
        <v>0.49028744924435413</v>
      </c>
      <c r="I305" s="118">
        <f>(VLOOKUP($A305,Hitters!$A1:$R401,7,FALSE)-AVERAGE(Rankings!P2:P651))/STDEV(Rankings!P2:P651)</f>
        <v>0.14477481402805639</v>
      </c>
      <c r="J305" s="118">
        <f>(VLOOKUP($A305,Hitters!$A1:$R401,8,FALSE)-AVERAGE(Rankings!Q2:Q651))/STDEV(Rankings!Q2:Q651)</f>
        <v>0.56933385544428261</v>
      </c>
      <c r="K305" s="157">
        <f>(VLOOKUP($A305,Hitters!$A$1:$R$401,14,FALSE)-AVERAGE(Rankings!R$2:R$651))/STDEV(Rankings!R$2:R$651)</f>
        <v>-1.3580024163848832</v>
      </c>
      <c r="L305" s="157">
        <f>(VLOOKUP($A305,Hitters!$A$1:$R$401,15,FALSE)-AVERAGE(Rankings!S$2:S$651))/STDEV(Rankings!S$2:S$651)</f>
        <v>-1.1376018605423237</v>
      </c>
      <c r="M305" s="157">
        <f>(VLOOKUP($A305,Hitters!$A$1:$R$401,9,FALSE)-AVERAGE(Rankings!T$2:T$651))/STDEV(Rankings!T$2:T$651)</f>
        <v>-9.0384557427845583E-2</v>
      </c>
      <c r="N305" s="157">
        <f>(VLOOKUP($A305,Hitters!$A$1:$R$401,10,FALSE)-AVERAGE(Rankings!U$2:U$651))/STDEV(Rankings!U$2:U$651)</f>
        <v>0.19439336255823028</v>
      </c>
      <c r="O305" s="157">
        <f>(VLOOKUP($A305,Hitters!$A$1:$R$401,11,FALSE)-AVERAGE(Rankings!V$2:V$651))/STDEV(Rankings!V$2:V$651)</f>
        <v>-0.45604107692865742</v>
      </c>
      <c r="P305" s="157">
        <f>(VLOOKUP($A305,Hitters!$A$1:$R$401,12,FALSE)-AVERAGE(Rankings!W$2:W$651))/STDEV(Rankings!W$2:W$651)</f>
        <v>5.1706452871987128E-2</v>
      </c>
      <c r="Q305" s="157">
        <f>(VLOOKUP($A305,Hitters!$A$1:$R$401,13,FALSE)-AVERAGE(Rankings!X$2:X$651))/STDEV(Rankings!X$2:X$651)</f>
        <v>0.665542849130489</v>
      </c>
      <c r="R305" s="118">
        <f>(VLOOKUP($A305,Hitters!$A1:$R401,16,FALSE)-AVERAGE(Rankings!Y2:Y651))/STDEV(Rankings!Y2:Y651)</f>
        <v>-0.13718367546219595</v>
      </c>
      <c r="S305" s="118">
        <f>(VLOOKUP($A305,Hitters!$A1:$R401,17,FALSE)-AVERAGE(Rankings!Z2:Z651))/STDEV(Rankings!Z2:Z651)</f>
        <v>-0.528496974114816</v>
      </c>
      <c r="T305" s="118">
        <f>IFERROR((VLOOKUP($A305,Hitters!$A1:$R401,18,FALSE)-AVERAGE(Rankings!AA2:AA651))/STDEV(Rankings!AA2:AA651),0)</f>
        <v>0</v>
      </c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</row>
    <row r="306" spans="1:37" ht="18.600000000000001" customHeight="1">
      <c r="A306" s="26" t="s">
        <v>387</v>
      </c>
      <c r="B306" s="27" t="s">
        <v>86</v>
      </c>
      <c r="C306" s="123" t="s">
        <v>23</v>
      </c>
      <c r="D306" s="67">
        <f>(F306*Settings!$C$2)+(G306*Settings!$C$3)+(H306*Settings!$C$4)+(I306*Settings!$C$5)+(J306*Settings!$C$6)+(M306*Settings!$C$9)+(N306*Settings!$C$10)+(O306*Settings!$C$11)+(P306*Settings!$C$12)+(Q306*Settings!$C$13)+(T306*Settings!$C$16)+(K306*Settings!$C$7)+(L306*Settings!$C$8)+(R306*Settings!$C$14)+(S306*Settings!$C$15)</f>
        <v>-0.11918965543488003</v>
      </c>
      <c r="E306" s="67"/>
      <c r="F306" s="118">
        <f>(VLOOKUP($A306,Hitters!$A1:$R401,4,FALSE)-AVERAGE(Rankings!M2:M651))/STDEV(Rankings!M2:M651)</f>
        <v>0.22272300613511972</v>
      </c>
      <c r="G306" s="118">
        <f>(VLOOKUP($A306,Hitters!$A1:$R401,5,FALSE)-AVERAGE(Rankings!N2:N651))/STDEV(Rankings!N2:N651)</f>
        <v>-9.9149044632964159E-2</v>
      </c>
      <c r="H306" s="118">
        <f>(VLOOKUP($A306,Hitters!$A1:$R401,6,FALSE)-AVERAGE(Rankings!O2:O651))/STDEV(Rankings!O2:O651)</f>
        <v>-0.51585935287308093</v>
      </c>
      <c r="I306" s="118">
        <f>(VLOOKUP($A306,Hitters!$A1:$R401,7,FALSE)-AVERAGE(Rankings!P2:P651))/STDEV(Rankings!P2:P651)</f>
        <v>-0.3796900480555242</v>
      </c>
      <c r="J306" s="118">
        <f>(VLOOKUP($A306,Hitters!$A1:$R401,8,FALSE)-AVERAGE(Rankings!Q2:Q651))/STDEV(Rankings!Q2:Q651)</f>
        <v>1.4347740856430253</v>
      </c>
      <c r="K306" s="157">
        <f>(VLOOKUP($A306,Hitters!$A$1:$R$401,14,FALSE)-AVERAGE(Rankings!R$2:R$651))/STDEV(Rankings!R$2:R$651)</f>
        <v>-0.55926529551633608</v>
      </c>
      <c r="L306" s="157">
        <f>(VLOOKUP($A306,Hitters!$A$1:$R$401,15,FALSE)-AVERAGE(Rankings!S$2:S$651))/STDEV(Rankings!S$2:S$651)</f>
        <v>-0.83062006127679111</v>
      </c>
      <c r="M306" s="157">
        <f>(VLOOKUP($A306,Hitters!$A$1:$R$401,9,FALSE)-AVERAGE(Rankings!T$2:T$651))/STDEV(Rankings!T$2:T$651)</f>
        <v>4.047227959684746E-2</v>
      </c>
      <c r="N306" s="157">
        <f>(VLOOKUP($A306,Hitters!$A$1:$R$401,10,FALSE)-AVERAGE(Rankings!U$2:U$651))/STDEV(Rankings!U$2:U$651)</f>
        <v>2.9085871302536342E-2</v>
      </c>
      <c r="O306" s="157">
        <f>(VLOOKUP($A306,Hitters!$A$1:$R$401,11,FALSE)-AVERAGE(Rankings!V$2:V$651))/STDEV(Rankings!V$2:V$651)</f>
        <v>1.15036924471137</v>
      </c>
      <c r="P306" s="157">
        <f>(VLOOKUP($A306,Hitters!$A$1:$R$401,12,FALSE)-AVERAGE(Rankings!W$2:W$651))/STDEV(Rankings!W$2:W$651)</f>
        <v>-0.23301216283303974</v>
      </c>
      <c r="Q306" s="157">
        <f>(VLOOKUP($A306,Hitters!$A$1:$R$401,13,FALSE)-AVERAGE(Rankings!X$2:X$651))/STDEV(Rankings!X$2:X$651)</f>
        <v>0.56777022641443009</v>
      </c>
      <c r="R306" s="118">
        <f>(VLOOKUP($A306,Hitters!$A1:$R401,16,FALSE)-AVERAGE(Rankings!Y2:Y651))/STDEV(Rankings!Y2:Y651)</f>
        <v>-0.92943565613498735</v>
      </c>
      <c r="S306" s="118">
        <f>(VLOOKUP($A306,Hitters!$A1:$R401,17,FALSE)-AVERAGE(Rankings!Z2:Z651))/STDEV(Rankings!Z2:Z651)</f>
        <v>-0.99215532746711788</v>
      </c>
      <c r="T306" s="118">
        <f>IFERROR((VLOOKUP($A306,Hitters!$A1:$R401,18,FALSE)-AVERAGE(Rankings!AA2:AA651))/STDEV(Rankings!AA2:AA651),0)</f>
        <v>0</v>
      </c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</row>
    <row r="307" spans="1:37" ht="18.600000000000001" customHeight="1">
      <c r="A307" s="26" t="s">
        <v>413</v>
      </c>
      <c r="B307" s="27"/>
      <c r="C307" s="123" t="s">
        <v>23</v>
      </c>
      <c r="D307" s="67">
        <f>(F307*Settings!$C$2)+(G307*Settings!$C$3)+(H307*Settings!$C$4)+(I307*Settings!$C$5)+(J307*Settings!$C$6)+(M307*Settings!$C$9)+(N307*Settings!$C$10)+(O307*Settings!$C$11)+(P307*Settings!$C$12)+(Q307*Settings!$C$13)+(T307*Settings!$C$16)+(K307*Settings!$C$7)+(L307*Settings!$C$8)+(R307*Settings!$C$14)+(S307*Settings!$C$15)</f>
        <v>-1.1297561992828697</v>
      </c>
      <c r="E307" s="67"/>
      <c r="F307" s="118">
        <f>(VLOOKUP($A307,Hitters!$A1:$R401,4,FALSE)-AVERAGE(Rankings!M2:M651))/STDEV(Rankings!M2:M651)</f>
        <v>-2.7706385319052333E-2</v>
      </c>
      <c r="G307" s="118">
        <f>(VLOOKUP($A307,Hitters!$A1:$R401,5,FALSE)-AVERAGE(Rankings!N2:N651))/STDEV(Rankings!N2:N651)</f>
        <v>-0.28728721464491142</v>
      </c>
      <c r="H307" s="118">
        <f>(VLOOKUP($A307,Hitters!$A1:$R401,6,FALSE)-AVERAGE(Rankings!O2:O651))/STDEV(Rankings!O2:O651)</f>
        <v>-0.36205347229461926</v>
      </c>
      <c r="I307" s="118">
        <f>(VLOOKUP($A307,Hitters!$A1:$R401,7,FALSE)-AVERAGE(Rankings!P2:P651))/STDEV(Rankings!P2:P651)</f>
        <v>-6.1437663531934188E-2</v>
      </c>
      <c r="J307" s="118">
        <f>(VLOOKUP($A307,Hitters!$A1:$R401,8,FALSE)-AVERAGE(Rankings!Q2:Q651))/STDEV(Rankings!Q2:Q651)</f>
        <v>-0.68225997673552408</v>
      </c>
      <c r="K307" s="157">
        <f>(VLOOKUP($A307,Hitters!$A$1:$R$401,14,FALSE)-AVERAGE(Rankings!R$2:R$651))/STDEV(Rankings!R$2:R$651)</f>
        <v>0.26328212792411909</v>
      </c>
      <c r="L307" s="157">
        <f>(VLOOKUP($A307,Hitters!$A$1:$R$401,15,FALSE)-AVERAGE(Rankings!S$2:S$651))/STDEV(Rankings!S$2:S$651)</f>
        <v>6.969143324663038E-2</v>
      </c>
      <c r="M307" s="157">
        <f>(VLOOKUP($A307,Hitters!$A$1:$R$401,9,FALSE)-AVERAGE(Rankings!T$2:T$651))/STDEV(Rankings!T$2:T$651)</f>
        <v>-7.7846425610510316E-3</v>
      </c>
      <c r="N307" s="157">
        <f>(VLOOKUP($A307,Hitters!$A$1:$R$401,10,FALSE)-AVERAGE(Rankings!U$2:U$651))/STDEV(Rankings!U$2:U$651)</f>
        <v>0.23885785044479446</v>
      </c>
      <c r="O307" s="157">
        <f>(VLOOKUP($A307,Hitters!$A$1:$R$401,11,FALSE)-AVERAGE(Rankings!V$2:V$651))/STDEV(Rankings!V$2:V$651)</f>
        <v>0.61625033117809658</v>
      </c>
      <c r="P307" s="157">
        <f>(VLOOKUP($A307,Hitters!$A$1:$R$401,12,FALSE)-AVERAGE(Rankings!W$2:W$651))/STDEV(Rankings!W$2:W$651)</f>
        <v>-0.16835215933194761</v>
      </c>
      <c r="Q307" s="157">
        <f>(VLOOKUP($A307,Hitters!$A$1:$R$401,13,FALSE)-AVERAGE(Rankings!X$2:X$651))/STDEV(Rankings!X$2:X$651)</f>
        <v>-8.9545276621542921E-2</v>
      </c>
      <c r="R307" s="118">
        <f>(VLOOKUP($A307,Hitters!$A1:$R401,16,FALSE)-AVERAGE(Rankings!Y2:Y651))/STDEV(Rankings!Y2:Y651)</f>
        <v>-4.8906124967129587E-2</v>
      </c>
      <c r="S307" s="118">
        <f>(VLOOKUP($A307,Hitters!$A1:$R401,17,FALSE)-AVERAGE(Rankings!Z2:Z651))/STDEV(Rankings!Z2:Z651)</f>
        <v>-9.509566664522625E-3</v>
      </c>
      <c r="T307" s="118">
        <f>IFERROR((VLOOKUP($A307,Hitters!$A1:$R401,18,FALSE)-AVERAGE(Rankings!AA2:AA651))/STDEV(Rankings!AA2:AA651),0)</f>
        <v>0</v>
      </c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</row>
    <row r="308" spans="1:37" ht="18.600000000000001" customHeight="1">
      <c r="A308" s="26" t="s">
        <v>412</v>
      </c>
      <c r="B308" s="27" t="s">
        <v>123</v>
      </c>
      <c r="C308" s="123" t="s">
        <v>23</v>
      </c>
      <c r="D308" s="67">
        <f>(F308*Settings!$C$2)+(G308*Settings!$C$3)+(H308*Settings!$C$4)+(I308*Settings!$C$5)+(J308*Settings!$C$6)+(M308*Settings!$C$9)+(N308*Settings!$C$10)+(O308*Settings!$C$11)+(P308*Settings!$C$12)+(Q308*Settings!$C$13)+(T308*Settings!$C$16)+(K308*Settings!$C$7)+(L308*Settings!$C$8)+(R308*Settings!$C$14)+(S308*Settings!$C$15)</f>
        <v>-2.0063619713447509</v>
      </c>
      <c r="E308" s="67"/>
      <c r="F308" s="118">
        <f>(VLOOKUP($A308,Hitters!$A1:$R401,4,FALSE)-AVERAGE(Rankings!M2:M651))/STDEV(Rankings!M2:M651)</f>
        <v>-0.77747373341767645</v>
      </c>
      <c r="G308" s="118">
        <f>(VLOOKUP($A308,Hitters!$A1:$R401,5,FALSE)-AVERAGE(Rankings!N2:N651))/STDEV(Rankings!N2:N651)</f>
        <v>-0.69589187903069649</v>
      </c>
      <c r="H308" s="118">
        <f>(VLOOKUP($A308,Hitters!$A1:$R401,6,FALSE)-AVERAGE(Rankings!O2:O651))/STDEV(Rankings!O2:O651)</f>
        <v>-5.667078187071771E-2</v>
      </c>
      <c r="I308" s="118">
        <f>(VLOOKUP($A308,Hitters!$A1:$R401,7,FALSE)-AVERAGE(Rankings!P2:P651))/STDEV(Rankings!P2:P651)</f>
        <v>-0.40496392983990698</v>
      </c>
      <c r="J308" s="118">
        <f>(VLOOKUP($A308,Hitters!$A1:$R401,8,FALSE)-AVERAGE(Rankings!Q2:Q651))/STDEV(Rankings!Q2:Q651)</f>
        <v>-0.8262360326013104</v>
      </c>
      <c r="K308" s="157">
        <f>(VLOOKUP($A308,Hitters!$A$1:$R$401,14,FALSE)-AVERAGE(Rankings!R$2:R$651))/STDEV(Rankings!R$2:R$651)</f>
        <v>-2.2599348002119209E-2</v>
      </c>
      <c r="L308" s="157">
        <f>(VLOOKUP($A308,Hitters!$A$1:$R$401,15,FALSE)-AVERAGE(Rankings!S$2:S$651))/STDEV(Rankings!S$2:S$651)</f>
        <v>-0.41854905134416764</v>
      </c>
      <c r="M308" s="157">
        <f>(VLOOKUP($A308,Hitters!$A$1:$R$401,9,FALSE)-AVERAGE(Rankings!T$2:T$651))/STDEV(Rankings!T$2:T$651)</f>
        <v>-0.71941698253944941</v>
      </c>
      <c r="N308" s="157">
        <f>(VLOOKUP($A308,Hitters!$A$1:$R$401,10,FALSE)-AVERAGE(Rankings!U$2:U$651))/STDEV(Rankings!U$2:U$651)</f>
        <v>-0.6676439671135449</v>
      </c>
      <c r="O308" s="157">
        <f>(VLOOKUP($A308,Hitters!$A$1:$R$401,11,FALSE)-AVERAGE(Rankings!V$2:V$651))/STDEV(Rankings!V$2:V$651)</f>
        <v>-0.96607695016422479</v>
      </c>
      <c r="P308" s="157">
        <f>(VLOOKUP($A308,Hitters!$A$1:$R$401,12,FALSE)-AVERAGE(Rankings!W$2:W$651))/STDEV(Rankings!W$2:W$651)</f>
        <v>-0.80711461816092156</v>
      </c>
      <c r="Q308" s="157">
        <f>(VLOOKUP($A308,Hitters!$A$1:$R$401,13,FALSE)-AVERAGE(Rankings!X$2:X$651))/STDEV(Rankings!X$2:X$651)</f>
        <v>-0.73072529127917818</v>
      </c>
      <c r="R308" s="118">
        <f>(VLOOKUP($A308,Hitters!$A1:$R401,16,FALSE)-AVERAGE(Rankings!Y2:Y651))/STDEV(Rankings!Y2:Y651)</f>
        <v>0.79795482168190579</v>
      </c>
      <c r="S308" s="118">
        <f>(VLOOKUP($A308,Hitters!$A1:$R401,17,FALSE)-AVERAGE(Rankings!Z2:Z651))/STDEV(Rankings!Z2:Z651)</f>
        <v>0.42584397203891422</v>
      </c>
      <c r="T308" s="118">
        <f>IFERROR((VLOOKUP($A308,Hitters!$A1:$R401,18,FALSE)-AVERAGE(Rankings!AA2:AA651))/STDEV(Rankings!AA2:AA651),0)</f>
        <v>0</v>
      </c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</row>
    <row r="309" spans="1:37" ht="18.600000000000001" customHeight="1">
      <c r="A309" s="26" t="s">
        <v>419</v>
      </c>
      <c r="B309" s="27" t="s">
        <v>103</v>
      </c>
      <c r="C309" s="123" t="s">
        <v>23</v>
      </c>
      <c r="D309" s="67">
        <f>(F309*Settings!$C$2)+(G309*Settings!$C$3)+(H309*Settings!$C$4)+(I309*Settings!$C$5)+(J309*Settings!$C$6)+(M309*Settings!$C$9)+(N309*Settings!$C$10)+(O309*Settings!$C$11)+(P309*Settings!$C$12)+(Q309*Settings!$C$13)+(T309*Settings!$C$16)+(K309*Settings!$C$7)+(L309*Settings!$C$8)+(R309*Settings!$C$14)+(S309*Settings!$C$15)</f>
        <v>-1.1429347174257929</v>
      </c>
      <c r="E309" s="67"/>
      <c r="F309" s="118">
        <f>(VLOOKUP($A309,Hitters!$A1:$R401,4,FALSE)-AVERAGE(Rankings!M2:M651))/STDEV(Rankings!M2:M651)</f>
        <v>-1.190669024417707E-2</v>
      </c>
      <c r="G309" s="118">
        <f>(VLOOKUP($A309,Hitters!$A1:$R401,5,FALSE)-AVERAGE(Rankings!N2:N651))/STDEV(Rankings!N2:N651)</f>
        <v>-0.14169565504806517</v>
      </c>
      <c r="H309" s="118">
        <f>(VLOOKUP($A309,Hitters!$A1:$R401,6,FALSE)-AVERAGE(Rankings!O2:O651))/STDEV(Rankings!O2:O651)</f>
        <v>0.86707006158534083</v>
      </c>
      <c r="I309" s="118">
        <f>(VLOOKUP($A309,Hitters!$A1:$R401,7,FALSE)-AVERAGE(Rankings!P2:P651))/STDEV(Rankings!P2:P651)</f>
        <v>0.35948827498782954</v>
      </c>
      <c r="J309" s="118">
        <f>(VLOOKUP($A309,Hitters!$A1:$R401,8,FALSE)-AVERAGE(Rankings!Q2:Q651))/STDEV(Rankings!Q2:Q651)</f>
        <v>-0.68368548223914571</v>
      </c>
      <c r="K309" s="157">
        <f>(VLOOKUP($A309,Hitters!$A$1:$R$401,14,FALSE)-AVERAGE(Rankings!R$2:R$651))/STDEV(Rankings!R$2:R$651)</f>
        <v>-1.5441119167117525</v>
      </c>
      <c r="L309" s="157">
        <f>(VLOOKUP($A309,Hitters!$A$1:$R$401,15,FALSE)-AVERAGE(Rankings!S$2:S$651))/STDEV(Rankings!S$2:S$651)</f>
        <v>-1.7256409845259277</v>
      </c>
      <c r="M309" s="157">
        <f>(VLOOKUP($A309,Hitters!$A$1:$R$401,9,FALSE)-AVERAGE(Rankings!T$2:T$651))/STDEV(Rankings!T$2:T$651)</f>
        <v>-0.350585522247577</v>
      </c>
      <c r="N309" s="157">
        <f>(VLOOKUP($A309,Hitters!$A$1:$R$401,10,FALSE)-AVERAGE(Rankings!U$2:U$651))/STDEV(Rankings!U$2:U$651)</f>
        <v>-0.34004109507189156</v>
      </c>
      <c r="O309" s="157">
        <f>(VLOOKUP($A309,Hitters!$A$1:$R$401,11,FALSE)-AVERAGE(Rankings!V$2:V$651))/STDEV(Rankings!V$2:V$651)</f>
        <v>-0.26409209237763731</v>
      </c>
      <c r="P309" s="157">
        <f>(VLOOKUP($A309,Hitters!$A$1:$R$401,12,FALSE)-AVERAGE(Rankings!W$2:W$651))/STDEV(Rankings!W$2:W$651)</f>
        <v>-0.46860597068334081</v>
      </c>
      <c r="Q309" s="157">
        <f>(VLOOKUP($A309,Hitters!$A$1:$R$401,13,FALSE)-AVERAGE(Rankings!X$2:X$651))/STDEV(Rankings!X$2:X$651)</f>
        <v>0.95707843130746262</v>
      </c>
      <c r="R309" s="118">
        <f>(VLOOKUP($A309,Hitters!$A1:$R401,16,FALSE)-AVERAGE(Rankings!Y2:Y651))/STDEV(Rankings!Y2:Y651)</f>
        <v>0.51733683021410859</v>
      </c>
      <c r="S309" s="118">
        <f>(VLOOKUP($A309,Hitters!$A1:$R401,17,FALSE)-AVERAGE(Rankings!Z2:Z651))/STDEV(Rankings!Z2:Z651)</f>
        <v>-0.27132882672809916</v>
      </c>
      <c r="T309" s="118">
        <f>IFERROR((VLOOKUP($A309,Hitters!$A1:$R401,18,FALSE)-AVERAGE(Rankings!AA2:AA651))/STDEV(Rankings!AA2:AA651),0)</f>
        <v>0</v>
      </c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</row>
    <row r="310" spans="1:37" ht="18.600000000000001" customHeight="1">
      <c r="A310" s="26" t="s">
        <v>428</v>
      </c>
      <c r="B310" s="27" t="s">
        <v>156</v>
      </c>
      <c r="C310" s="123" t="s">
        <v>23</v>
      </c>
      <c r="D310" s="67">
        <f>(F310*Settings!$C$2)+(G310*Settings!$C$3)+(H310*Settings!$C$4)+(I310*Settings!$C$5)+(J310*Settings!$C$6)+(M310*Settings!$C$9)+(N310*Settings!$C$10)+(O310*Settings!$C$11)+(P310*Settings!$C$12)+(Q310*Settings!$C$13)+(T310*Settings!$C$16)+(K310*Settings!$C$7)+(L310*Settings!$C$8)+(R310*Settings!$C$14)+(S310*Settings!$C$15)</f>
        <v>-1.2777639516633408</v>
      </c>
      <c r="E310" s="67"/>
      <c r="F310" s="118">
        <f>(VLOOKUP($A310,Hitters!$A1:$R401,4,FALSE)-AVERAGE(Rankings!M2:M651))/STDEV(Rankings!M2:M651)</f>
        <v>0.15783441887573935</v>
      </c>
      <c r="G310" s="118">
        <f>(VLOOKUP($A310,Hitters!$A1:$R401,5,FALSE)-AVERAGE(Rankings!N2:N651))/STDEV(Rankings!N2:N651)</f>
        <v>0.35086123048456053</v>
      </c>
      <c r="H310" s="118">
        <f>(VLOOKUP($A310,Hitters!$A1:$R401,6,FALSE)-AVERAGE(Rankings!O2:O651))/STDEV(Rankings!O2:O651)</f>
        <v>1.219402554323501</v>
      </c>
      <c r="I310" s="118">
        <f>(VLOOKUP($A310,Hitters!$A1:$R401,7,FALSE)-AVERAGE(Rankings!P2:P651))/STDEV(Rankings!P2:P651)</f>
        <v>0.4286923883531239</v>
      </c>
      <c r="J310" s="118">
        <f>(VLOOKUP($A310,Hitters!$A1:$R401,8,FALSE)-AVERAGE(Rankings!Q2:Q651))/STDEV(Rankings!Q2:Q651)</f>
        <v>-0.39810921301360891</v>
      </c>
      <c r="K310" s="157">
        <f>(VLOOKUP($A310,Hitters!$A$1:$R$401,14,FALSE)-AVERAGE(Rankings!R$2:R$651))/STDEV(Rankings!R$2:R$651)</f>
        <v>-2.8786109118109171</v>
      </c>
      <c r="L310" s="157">
        <f>(VLOOKUP($A310,Hitters!$A$1:$R$401,15,FALSE)-AVERAGE(Rankings!S$2:S$651))/STDEV(Rankings!S$2:S$651)</f>
        <v>5.3508104349899409E-3</v>
      </c>
      <c r="M310" s="157">
        <f>(VLOOKUP($A310,Hitters!$A$1:$R$401,9,FALSE)-AVERAGE(Rankings!T$2:T$651))/STDEV(Rankings!T$2:T$651)</f>
        <v>-0.49865129892448123</v>
      </c>
      <c r="N310" s="157">
        <f>(VLOOKUP($A310,Hitters!$A$1:$R$401,10,FALSE)-AVERAGE(Rankings!U$2:U$651))/STDEV(Rankings!U$2:U$651)</f>
        <v>-0.73190232380122466</v>
      </c>
      <c r="O310" s="157">
        <f>(VLOOKUP($A310,Hitters!$A$1:$R$401,11,FALSE)-AVERAGE(Rankings!V$2:V$651))/STDEV(Rankings!V$2:V$651)</f>
        <v>-0.52685952216052445</v>
      </c>
      <c r="P310" s="157">
        <f>(VLOOKUP($A310,Hitters!$A$1:$R$401,12,FALSE)-AVERAGE(Rankings!W$2:W$651))/STDEV(Rankings!W$2:W$651)</f>
        <v>1.9045934363156296</v>
      </c>
      <c r="Q310" s="157">
        <f>(VLOOKUP($A310,Hitters!$A$1:$R$401,13,FALSE)-AVERAGE(Rankings!X$2:X$651))/STDEV(Rankings!X$2:X$651)</f>
        <v>2.2492146682872551</v>
      </c>
      <c r="R310" s="118">
        <f>(VLOOKUP($A310,Hitters!$A1:$R401,16,FALSE)-AVERAGE(Rankings!Y2:Y651))/STDEV(Rankings!Y2:Y651)</f>
        <v>-7.5684133483272104E-2</v>
      </c>
      <c r="S310" s="118">
        <f>(VLOOKUP($A310,Hitters!$A1:$R401,17,FALSE)-AVERAGE(Rankings!Z2:Z651))/STDEV(Rankings!Z2:Z651)</f>
        <v>-5.3305885783415656E-2</v>
      </c>
      <c r="T310" s="118">
        <f>IFERROR((VLOOKUP($A310,Hitters!$A1:$R401,18,FALSE)-AVERAGE(Rankings!AA2:AA651))/STDEV(Rankings!AA2:AA651),0)</f>
        <v>0</v>
      </c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</row>
    <row r="311" spans="1:37" ht="18.600000000000001" customHeight="1">
      <c r="A311" s="26" t="s">
        <v>420</v>
      </c>
      <c r="B311" s="27" t="s">
        <v>137</v>
      </c>
      <c r="C311" s="123" t="s">
        <v>23</v>
      </c>
      <c r="D311" s="67">
        <f>(F311*Settings!$C$2)+(G311*Settings!$C$3)+(H311*Settings!$C$4)+(I311*Settings!$C$5)+(J311*Settings!$C$6)+(M311*Settings!$C$9)+(N311*Settings!$C$10)+(O311*Settings!$C$11)+(P311*Settings!$C$12)+(Q311*Settings!$C$13)+(T311*Settings!$C$16)+(K311*Settings!$C$7)+(L311*Settings!$C$8)+(R311*Settings!$C$14)+(S311*Settings!$C$15)</f>
        <v>-1.7191550837920109</v>
      </c>
      <c r="E311" s="67"/>
      <c r="F311" s="118">
        <f>(VLOOKUP($A311,Hitters!$A1:$R401,4,FALSE)-AVERAGE(Rankings!M2:M651))/STDEV(Rankings!M2:M651)</f>
        <v>-0.27813577677322437</v>
      </c>
      <c r="G311" s="118">
        <f>(VLOOKUP($A311,Hitters!$A1:$R401,5,FALSE)-AVERAGE(Rankings!N2:N651))/STDEV(Rankings!N2:N651)</f>
        <v>-0.26228664380504874</v>
      </c>
      <c r="H311" s="118">
        <f>(VLOOKUP($A311,Hitters!$A1:$R401,6,FALSE)-AVERAGE(Rankings!O2:O651))/STDEV(Rankings!O2:O651)</f>
        <v>0.20635956462578148</v>
      </c>
      <c r="I311" s="118">
        <f>(VLOOKUP($A311,Hitters!$A1:$R401,7,FALSE)-AVERAGE(Rankings!P2:P651))/STDEV(Rankings!P2:P651)</f>
        <v>-0.19531542605545332</v>
      </c>
      <c r="J311" s="118">
        <f>(VLOOKUP($A311,Hitters!$A1:$R401,8,FALSE)-AVERAGE(Rankings!Q2:Q651))/STDEV(Rankings!Q2:Q651)</f>
        <v>-0.29024596323957091</v>
      </c>
      <c r="K311" s="157">
        <f>(VLOOKUP($A311,Hitters!$A$1:$R$401,14,FALSE)-AVERAGE(Rankings!R$2:R$651))/STDEV(Rankings!R$2:R$651)</f>
        <v>-1.1776666153177193</v>
      </c>
      <c r="L311" s="157">
        <f>(VLOOKUP($A311,Hitters!$A$1:$R$401,15,FALSE)-AVERAGE(Rankings!S$2:S$651))/STDEV(Rankings!S$2:S$651)</f>
        <v>-0.3052816793284886</v>
      </c>
      <c r="M311" s="157">
        <f>(VLOOKUP($A311,Hitters!$A$1:$R$401,9,FALSE)-AVERAGE(Rankings!T$2:T$651))/STDEV(Rankings!T$2:T$651)</f>
        <v>-0.49008427239613961</v>
      </c>
      <c r="N311" s="157">
        <f>(VLOOKUP($A311,Hitters!$A$1:$R$401,10,FALSE)-AVERAGE(Rankings!U$2:U$651))/STDEV(Rankings!U$2:U$651)</f>
        <v>-0.39956613530713125</v>
      </c>
      <c r="O311" s="157">
        <f>(VLOOKUP($A311,Hitters!$A$1:$R$401,11,FALSE)-AVERAGE(Rankings!V$2:V$651))/STDEV(Rankings!V$2:V$651)</f>
        <v>-0.56262641369177036</v>
      </c>
      <c r="P311" s="157">
        <f>(VLOOKUP($A311,Hitters!$A$1:$R$401,12,FALSE)-AVERAGE(Rankings!W$2:W$651))/STDEV(Rankings!W$2:W$651)</f>
        <v>0.18570723453839225</v>
      </c>
      <c r="Q311" s="157">
        <f>(VLOOKUP($A311,Hitters!$A$1:$R$401,13,FALSE)-AVERAGE(Rankings!X$2:X$651))/STDEV(Rankings!X$2:X$651)</f>
        <v>0.67646330548066458</v>
      </c>
      <c r="R311" s="118">
        <f>(VLOOKUP($A311,Hitters!$A1:$R401,16,FALSE)-AVERAGE(Rankings!Y2:Y651))/STDEV(Rankings!Y2:Y651)</f>
        <v>4.46682814889134E-2</v>
      </c>
      <c r="S311" s="118">
        <f>(VLOOKUP($A311,Hitters!$A1:$R401,17,FALSE)-AVERAGE(Rankings!Z2:Z651))/STDEV(Rankings!Z2:Z651)</f>
        <v>-8.2244689292845868E-2</v>
      </c>
      <c r="T311" s="118">
        <f>IFERROR((VLOOKUP($A311,Hitters!$A1:$R401,18,FALSE)-AVERAGE(Rankings!AA2:AA651))/STDEV(Rankings!AA2:AA651),0)</f>
        <v>0</v>
      </c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</row>
    <row r="312" spans="1:37" ht="18.600000000000001" customHeight="1">
      <c r="A312" s="26" t="s">
        <v>424</v>
      </c>
      <c r="B312" s="27" t="s">
        <v>114</v>
      </c>
      <c r="C312" s="123" t="s">
        <v>23</v>
      </c>
      <c r="D312" s="67">
        <f>(F312*Settings!$C$2)+(G312*Settings!$C$3)+(H312*Settings!$C$4)+(I312*Settings!$C$5)+(J312*Settings!$C$6)+(M312*Settings!$C$9)+(N312*Settings!$C$10)+(O312*Settings!$C$11)+(P312*Settings!$C$12)+(Q312*Settings!$C$13)+(T312*Settings!$C$16)+(K312*Settings!$C$7)+(L312*Settings!$C$8)+(R312*Settings!$C$14)+(S312*Settings!$C$15)</f>
        <v>-2.2970432031506736</v>
      </c>
      <c r="E312" s="67"/>
      <c r="F312" s="118">
        <f>(VLOOKUP($A312,Hitters!$A1:$R401,4,FALSE)-AVERAGE(Rankings!M2:M651))/STDEV(Rankings!M2:M651)</f>
        <v>-0.70903655154254841</v>
      </c>
      <c r="G312" s="118">
        <f>(VLOOKUP($A312,Hitters!$A1:$R401,5,FALSE)-AVERAGE(Rankings!N2:N651))/STDEV(Rankings!N2:N651)</f>
        <v>-0.76032032781780678</v>
      </c>
      <c r="H312" s="118">
        <f>(VLOOKUP($A312,Hitters!$A1:$R401,6,FALSE)-AVERAGE(Rankings!O2:O651))/STDEV(Rankings!O2:O651)</f>
        <v>-0.14026093435901191</v>
      </c>
      <c r="I312" s="118">
        <f>(VLOOKUP($A312,Hitters!$A1:$R401,7,FALSE)-AVERAGE(Rankings!P2:P651))/STDEV(Rankings!P2:P651)</f>
        <v>-0.43288482441943166</v>
      </c>
      <c r="J312" s="118">
        <f>(VLOOKUP($A312,Hitters!$A1:$R401,8,FALSE)-AVERAGE(Rankings!Q2:Q651))/STDEV(Rankings!Q2:Q651)</f>
        <v>-0.87565355672686096</v>
      </c>
      <c r="K312" s="157">
        <f>(VLOOKUP($A312,Hitters!$A$1:$R$401,14,FALSE)-AVERAGE(Rankings!R$2:R$651))/STDEV(Rankings!R$2:R$651)</f>
        <v>-8.792355982756242E-2</v>
      </c>
      <c r="L312" s="157">
        <f>(VLOOKUP($A312,Hitters!$A$1:$R$401,15,FALSE)-AVERAGE(Rankings!S$2:S$651))/STDEV(Rankings!S$2:S$651)</f>
        <v>-0.34415453259111284</v>
      </c>
      <c r="M312" s="157">
        <f>(VLOOKUP($A312,Hitters!$A$1:$R$401,9,FALSE)-AVERAGE(Rankings!T$2:T$651))/STDEV(Rankings!T$2:T$651)</f>
        <v>-0.66939273672710264</v>
      </c>
      <c r="N312" s="157">
        <f>(VLOOKUP($A312,Hitters!$A$1:$R$401,10,FALSE)-AVERAGE(Rankings!U$2:U$651))/STDEV(Rankings!U$2:U$651)</f>
        <v>-0.7621668623304666</v>
      </c>
      <c r="O312" s="157">
        <f>(VLOOKUP($A312,Hitters!$A$1:$R$401,11,FALSE)-AVERAGE(Rankings!V$2:V$651))/STDEV(Rankings!V$2:V$651)</f>
        <v>-1.3909876215554269</v>
      </c>
      <c r="P312" s="157">
        <f>(VLOOKUP($A312,Hitters!$A$1:$R$401,12,FALSE)-AVERAGE(Rankings!W$2:W$651))/STDEV(Rankings!W$2:W$651)</f>
        <v>-0.69446501129177451</v>
      </c>
      <c r="Q312" s="157">
        <f>(VLOOKUP($A312,Hitters!$A$1:$R$401,13,FALSE)-AVERAGE(Rankings!X$2:X$651))/STDEV(Rankings!X$2:X$651)</f>
        <v>-0.74600654791983911</v>
      </c>
      <c r="R312" s="118">
        <f>(VLOOKUP($A312,Hitters!$A1:$R401,16,FALSE)-AVERAGE(Rankings!Y2:Y651))/STDEV(Rankings!Y2:Y651)</f>
        <v>0.32999635419631385</v>
      </c>
      <c r="S312" s="118">
        <f>(VLOOKUP($A312,Hitters!$A1:$R401,17,FALSE)-AVERAGE(Rankings!Z2:Z651))/STDEV(Rankings!Z2:Z651)</f>
        <v>0.11172499552127489</v>
      </c>
      <c r="T312" s="118">
        <f>IFERROR((VLOOKUP($A312,Hitters!$A1:$R401,18,FALSE)-AVERAGE(Rankings!AA2:AA651))/STDEV(Rankings!AA2:AA651),0)</f>
        <v>0</v>
      </c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</row>
    <row r="313" spans="1:37" ht="18.600000000000001" customHeight="1">
      <c r="A313" s="26" t="s">
        <v>416</v>
      </c>
      <c r="B313" s="27" t="s">
        <v>223</v>
      </c>
      <c r="C313" s="123" t="s">
        <v>23</v>
      </c>
      <c r="D313" s="67">
        <f>(F313*Settings!$C$2)+(G313*Settings!$C$3)+(H313*Settings!$C$4)+(I313*Settings!$C$5)+(J313*Settings!$C$6)+(M313*Settings!$C$9)+(N313*Settings!$C$10)+(O313*Settings!$C$11)+(P313*Settings!$C$12)+(Q313*Settings!$C$13)+(T313*Settings!$C$16)+(K313*Settings!$C$7)+(L313*Settings!$C$8)+(R313*Settings!$C$14)+(S313*Settings!$C$15)</f>
        <v>-0.84321291960174827</v>
      </c>
      <c r="E313" s="67"/>
      <c r="F313" s="118">
        <f>(VLOOKUP($A313,Hitters!$A1:$R401,4,FALSE)-AVERAGE(Rankings!M2:M651))/STDEV(Rankings!M2:M651)</f>
        <v>-2.2383493395431355E-2</v>
      </c>
      <c r="G313" s="118">
        <f>(VLOOKUP($A313,Hitters!$A1:$R401,5,FALSE)-AVERAGE(Rankings!N2:N651))/STDEV(Rankings!N2:N651)</f>
        <v>-0.2303640082194636</v>
      </c>
      <c r="H313" s="118">
        <f>(VLOOKUP($A313,Hitters!$A1:$R401,6,FALSE)-AVERAGE(Rankings!O2:O651))/STDEV(Rankings!O2:O651)</f>
        <v>-0.74308525072042719</v>
      </c>
      <c r="I313" s="118">
        <f>(VLOOKUP($A313,Hitters!$A1:$R401,7,FALSE)-AVERAGE(Rankings!P2:P651))/STDEV(Rankings!P2:P651)</f>
        <v>-0.56381014959452358</v>
      </c>
      <c r="J313" s="118">
        <f>(VLOOKUP($A313,Hitters!$A1:$R401,8,FALSE)-AVERAGE(Rankings!Q2:Q651))/STDEV(Rankings!Q2:Q651)</f>
        <v>0.4540262991513318</v>
      </c>
      <c r="K313" s="157">
        <f>(VLOOKUP($A313,Hitters!$A$1:$R$401,14,FALSE)-AVERAGE(Rankings!R$2:R$651))/STDEV(Rankings!R$2:R$651)</f>
        <v>0.24002018978133444</v>
      </c>
      <c r="L313" s="157">
        <f>(VLOOKUP($A313,Hitters!$A$1:$R$401,15,FALSE)-AVERAGE(Rankings!S$2:S$651))/STDEV(Rankings!S$2:S$651)</f>
        <v>-6.2528221494697001E-2</v>
      </c>
      <c r="M313" s="157">
        <f>(VLOOKUP($A313,Hitters!$A$1:$R$401,9,FALSE)-AVERAGE(Rankings!T$2:T$651))/STDEV(Rankings!T$2:T$651)</f>
        <v>-7.6049147317852782E-3</v>
      </c>
      <c r="N313" s="157">
        <f>(VLOOKUP($A313,Hitters!$A$1:$R$401,10,FALSE)-AVERAGE(Rankings!U$2:U$651))/STDEV(Rankings!U$2:U$651)</f>
        <v>0.1304218735343349</v>
      </c>
      <c r="O313" s="157">
        <f>(VLOOKUP($A313,Hitters!$A$1:$R$401,11,FALSE)-AVERAGE(Rankings!V$2:V$651))/STDEV(Rankings!V$2:V$651)</f>
        <v>0.12314411993398562</v>
      </c>
      <c r="P313" s="157">
        <f>(VLOOKUP($A313,Hitters!$A$1:$R$401,12,FALSE)-AVERAGE(Rankings!W$2:W$651))/STDEV(Rankings!W$2:W$651)</f>
        <v>-0.25484541076847395</v>
      </c>
      <c r="Q313" s="157">
        <f>(VLOOKUP($A313,Hitters!$A$1:$R$401,13,FALSE)-AVERAGE(Rankings!X$2:X$651))/STDEV(Rankings!X$2:X$651)</f>
        <v>-0.47717665625172867</v>
      </c>
      <c r="R313" s="118">
        <f>(VLOOKUP($A313,Hitters!$A1:$R401,16,FALSE)-AVERAGE(Rankings!Y2:Y651))/STDEV(Rankings!Y2:Y651)</f>
        <v>-0.74352458937794941</v>
      </c>
      <c r="S313" s="118">
        <f>(VLOOKUP($A313,Hitters!$A1:$R401,17,FALSE)-AVERAGE(Rankings!Z2:Z651))/STDEV(Rankings!Z2:Z651)</f>
        <v>-0.56711220844213428</v>
      </c>
      <c r="T313" s="118">
        <f>IFERROR((VLOOKUP($A313,Hitters!$A1:$R401,18,FALSE)-AVERAGE(Rankings!AA2:AA651))/STDEV(Rankings!AA2:AA651),0)</f>
        <v>0</v>
      </c>
      <c r="U313" s="67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</row>
    <row r="314" spans="1:37" ht="18.600000000000001" customHeight="1">
      <c r="A314" s="26" t="s">
        <v>429</v>
      </c>
      <c r="B314" s="27" t="s">
        <v>156</v>
      </c>
      <c r="C314" s="123" t="s">
        <v>23</v>
      </c>
      <c r="D314" s="67">
        <f>(F314*Settings!$C$2)+(G314*Settings!$C$3)+(H314*Settings!$C$4)+(I314*Settings!$C$5)+(J314*Settings!$C$6)+(M314*Settings!$C$9)+(N314*Settings!$C$10)+(O314*Settings!$C$11)+(P314*Settings!$C$12)+(Q314*Settings!$C$13)+(T314*Settings!$C$16)+(K314*Settings!$C$7)+(L314*Settings!$C$8)+(R314*Settings!$C$14)+(S314*Settings!$C$15)</f>
        <v>-0.11777691813785973</v>
      </c>
      <c r="E314" s="67"/>
      <c r="F314" s="118">
        <f>(VLOOKUP($A314,Hitters!$A1:$R401,4,FALSE)-AVERAGE(Rankings!M2:M651))/STDEV(Rankings!M2:M651)</f>
        <v>8.4239101255578083E-2</v>
      </c>
      <c r="G314" s="118">
        <f>(VLOOKUP($A314,Hitters!$A1:$R401,5,FALSE)-AVERAGE(Rankings!N2:N651))/STDEV(Rankings!N2:N651)</f>
        <v>-0.14376973891693026</v>
      </c>
      <c r="H314" s="118">
        <f>(VLOOKUP($A314,Hitters!$A1:$R401,6,FALSE)-AVERAGE(Rankings!O2:O651))/STDEV(Rankings!O2:O651)</f>
        <v>-5.2149947790309022E-2</v>
      </c>
      <c r="I314" s="118">
        <f>(VLOOKUP($A314,Hitters!$A1:$R401,7,FALSE)-AVERAGE(Rankings!P2:P651))/STDEV(Rankings!P2:P651)</f>
        <v>0.12654351340151759</v>
      </c>
      <c r="J314" s="118">
        <f>(VLOOKUP($A314,Hitters!$A1:$R401,8,FALSE)-AVERAGE(Rankings!Q2:Q651))/STDEV(Rankings!Q2:Q651)</f>
        <v>-0.66781485429882459</v>
      </c>
      <c r="K314" s="157">
        <f>(VLOOKUP($A314,Hitters!$A$1:$R$401,14,FALSE)-AVERAGE(Rankings!R$2:R$651))/STDEV(Rankings!R$2:R$651)</f>
        <v>0.61941410946668651</v>
      </c>
      <c r="L314" s="157">
        <f>(VLOOKUP($A314,Hitters!$A$1:$R$401,15,FALSE)-AVERAGE(Rankings!S$2:S$651))/STDEV(Rankings!S$2:S$651)</f>
        <v>-9.2393706431311381E-2</v>
      </c>
      <c r="M314" s="157">
        <f>(VLOOKUP($A314,Hitters!$A$1:$R$401,9,FALSE)-AVERAGE(Rankings!T$2:T$651))/STDEV(Rankings!T$2:T$651)</f>
        <v>0.16491133538483654</v>
      </c>
      <c r="N314" s="157">
        <f>(VLOOKUP($A314,Hitters!$A$1:$R$401,10,FALSE)-AVERAGE(Rankings!U$2:U$651))/STDEV(Rankings!U$2:U$651)</f>
        <v>0.14776302381009501</v>
      </c>
      <c r="O314" s="157">
        <f>(VLOOKUP($A314,Hitters!$A$1:$R$401,11,FALSE)-AVERAGE(Rankings!V$2:V$651))/STDEV(Rankings!V$2:V$651)</f>
        <v>-0.50339644131602701</v>
      </c>
      <c r="P314" s="157">
        <f>(VLOOKUP($A314,Hitters!$A$1:$R$401,12,FALSE)-AVERAGE(Rankings!W$2:W$651))/STDEV(Rankings!W$2:W$651)</f>
        <v>-0.44938524814189051</v>
      </c>
      <c r="Q314" s="157">
        <f>(VLOOKUP($A314,Hitters!$A$1:$R$401,13,FALSE)-AVERAGE(Rankings!X$2:X$651))/STDEV(Rankings!X$2:X$651)</f>
        <v>-5.3550482252847149E-2</v>
      </c>
      <c r="R314" s="118">
        <f>(VLOOKUP($A314,Hitters!$A1:$R401,16,FALSE)-AVERAGE(Rankings!Y2:Y651))/STDEV(Rankings!Y2:Y651)</f>
        <v>0.21741972345388857</v>
      </c>
      <c r="S314" s="118">
        <f>(VLOOKUP($A314,Hitters!$A1:$R401,17,FALSE)-AVERAGE(Rankings!Z2:Z651))/STDEV(Rankings!Z2:Z651)</f>
        <v>0.12418823336676335</v>
      </c>
      <c r="T314" s="118">
        <f>IFERROR((VLOOKUP($A314,Hitters!$A1:$R401,18,FALSE)-AVERAGE(Rankings!AA2:AA651))/STDEV(Rankings!AA2:AA651),0)</f>
        <v>0</v>
      </c>
      <c r="U314" s="67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</row>
    <row r="315" spans="1:37" ht="18.600000000000001" customHeight="1">
      <c r="A315" s="26" t="s">
        <v>434</v>
      </c>
      <c r="B315" s="27" t="s">
        <v>68</v>
      </c>
      <c r="C315" s="123" t="s">
        <v>23</v>
      </c>
      <c r="D315" s="67">
        <f>(F315*Settings!$C$2)+(G315*Settings!$C$3)+(H315*Settings!$C$4)+(I315*Settings!$C$5)+(J315*Settings!$C$6)+(M315*Settings!$C$9)+(N315*Settings!$C$10)+(O315*Settings!$C$11)+(P315*Settings!$C$12)+(Q315*Settings!$C$13)+(T315*Settings!$C$16)+(K315*Settings!$C$7)+(L315*Settings!$C$8)+(R315*Settings!$C$14)+(S315*Settings!$C$15)</f>
        <v>-1.3850300304924807</v>
      </c>
      <c r="E315" s="67"/>
      <c r="F315" s="118">
        <f>(VLOOKUP($A315,Hitters!$A1:$R401,4,FALSE)-AVERAGE(Rankings!M2:M651))/STDEV(Rankings!M2:M651)</f>
        <v>-0.33229408983736874</v>
      </c>
      <c r="G315" s="118">
        <f>(VLOOKUP($A315,Hitters!$A1:$R401,5,FALSE)-AVERAGE(Rankings!N2:N651))/STDEV(Rankings!N2:N651)</f>
        <v>-0.46558743183143586</v>
      </c>
      <c r="H315" s="118">
        <f>(VLOOKUP($A315,Hitters!$A1:$R401,6,FALSE)-AVERAGE(Rankings!O2:O651))/STDEV(Rankings!O2:O651)</f>
        <v>-0.18233464444478678</v>
      </c>
      <c r="I315" s="118">
        <f>(VLOOKUP($A315,Hitters!$A1:$R401,7,FALSE)-AVERAGE(Rankings!P2:P651))/STDEV(Rankings!P2:P651)</f>
        <v>-0.33316370777168486</v>
      </c>
      <c r="J315" s="118">
        <f>(VLOOKUP($A315,Hitters!$A1:$R401,8,FALSE)-AVERAGE(Rankings!Q2:Q651))/STDEV(Rankings!Q2:Q651)</f>
        <v>0.28740054472800142</v>
      </c>
      <c r="K315" s="157">
        <f>(VLOOKUP($A315,Hitters!$A$1:$R$401,14,FALSE)-AVERAGE(Rankings!R$2:R$651))/STDEV(Rankings!R$2:R$651)</f>
        <v>-0.69134479117257475</v>
      </c>
      <c r="L315" s="157">
        <f>(VLOOKUP($A315,Hitters!$A$1:$R$401,15,FALSE)-AVERAGE(Rankings!S$2:S$651))/STDEV(Rankings!S$2:S$651)</f>
        <v>-0.86784853381112548</v>
      </c>
      <c r="M315" s="157">
        <f>(VLOOKUP($A315,Hitters!$A$1:$R$401,9,FALSE)-AVERAGE(Rankings!T$2:T$651))/STDEV(Rankings!T$2:T$651)</f>
        <v>-0.44772841396580487</v>
      </c>
      <c r="N315" s="157">
        <f>(VLOOKUP($A315,Hitters!$A$1:$R$401,10,FALSE)-AVERAGE(Rankings!U$2:U$651))/STDEV(Rankings!U$2:U$651)</f>
        <v>-0.26072218603553687</v>
      </c>
      <c r="O315" s="157">
        <f>(VLOOKUP($A315,Hitters!$A$1:$R$401,11,FALSE)-AVERAGE(Rankings!V$2:V$651))/STDEV(Rankings!V$2:V$651)</f>
        <v>0.12409790370815195</v>
      </c>
      <c r="P315" s="157">
        <f>(VLOOKUP($A315,Hitters!$A$1:$R$401,12,FALSE)-AVERAGE(Rankings!W$2:W$651))/STDEV(Rankings!W$2:W$651)</f>
        <v>-0.50742063367966772</v>
      </c>
      <c r="Q315" s="157">
        <f>(VLOOKUP($A315,Hitters!$A$1:$R$401,13,FALSE)-AVERAGE(Rankings!X$2:X$651))/STDEV(Rankings!X$2:X$651)</f>
        <v>3.4033581429020833E-2</v>
      </c>
      <c r="R315" s="118">
        <f>(VLOOKUP($A315,Hitters!$A1:$R401,16,FALSE)-AVERAGE(Rankings!Y2:Y651))/STDEV(Rankings!Y2:Y651)</f>
        <v>-0.10094567501457892</v>
      </c>
      <c r="S315" s="118">
        <f>(VLOOKUP($A315,Hitters!$A1:$R401,17,FALSE)-AVERAGE(Rankings!Z2:Z651))/STDEV(Rankings!Z2:Z651)</f>
        <v>-0.4004632626458583</v>
      </c>
      <c r="T315" s="118">
        <f>IFERROR((VLOOKUP($A315,Hitters!$A1:$R401,18,FALSE)-AVERAGE(Rankings!AA2:AA651))/STDEV(Rankings!AA2:AA651),0)</f>
        <v>0</v>
      </c>
      <c r="U315" s="67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</row>
    <row r="316" spans="1:37" ht="18.600000000000001" customHeight="1">
      <c r="A316" s="26" t="s">
        <v>451</v>
      </c>
      <c r="B316" s="27" t="s">
        <v>99</v>
      </c>
      <c r="C316" s="123" t="s">
        <v>23</v>
      </c>
      <c r="D316" s="67">
        <f>(F316*Settings!$C$2)+(G316*Settings!$C$3)+(H316*Settings!$C$4)+(I316*Settings!$C$5)+(J316*Settings!$C$6)+(M316*Settings!$C$9)+(N316*Settings!$C$10)+(O316*Settings!$C$11)+(P316*Settings!$C$12)+(Q316*Settings!$C$13)+(T316*Settings!$C$16)+(K316*Settings!$C$7)+(L316*Settings!$C$8)+(R316*Settings!$C$14)+(S316*Settings!$C$15)</f>
        <v>-2.4816052188749977</v>
      </c>
      <c r="E316" s="67"/>
      <c r="F316" s="118">
        <f>(VLOOKUP($A316,Hitters!$A1:$R401,4,FALSE)-AVERAGE(Rankings!M2:M651))/STDEV(Rankings!M2:M651)</f>
        <v>-0.42160038766701124</v>
      </c>
      <c r="G316" s="118">
        <f>(VLOOKUP($A316,Hitters!$A1:$R401,5,FALSE)-AVERAGE(Rankings!N2:N651))/STDEV(Rankings!N2:N651)</f>
        <v>-0.57631511221447773</v>
      </c>
      <c r="H316" s="118">
        <f>(VLOOKUP($A316,Hitters!$A1:$R401,6,FALSE)-AVERAGE(Rankings!O2:O651))/STDEV(Rankings!O2:O651)</f>
        <v>-0.19682360420942427</v>
      </c>
      <c r="I316" s="118">
        <f>(VLOOKUP($A316,Hitters!$A1:$R401,7,FALSE)-AVERAGE(Rankings!P2:P651))/STDEV(Rankings!P2:P651)</f>
        <v>-0.35474704287053366</v>
      </c>
      <c r="J316" s="118">
        <f>(VLOOKUP($A316,Hitters!$A1:$R401,8,FALSE)-AVERAGE(Rankings!Q2:Q651))/STDEV(Rankings!Q2:Q651)</f>
        <v>-0.62159679808140267</v>
      </c>
      <c r="K316" s="157">
        <f>(VLOOKUP($A316,Hitters!$A$1:$R$401,14,FALSE)-AVERAGE(Rankings!R$2:R$651))/STDEV(Rankings!R$2:R$651)</f>
        <v>-0.7321226614991595</v>
      </c>
      <c r="L316" s="157">
        <f>(VLOOKUP($A316,Hitters!$A$1:$R$401,15,FALSE)-AVERAGE(Rankings!S$2:S$651))/STDEV(Rankings!S$2:S$651)</f>
        <v>-0.6197693892381454</v>
      </c>
      <c r="M316" s="157">
        <f>(VLOOKUP($A316,Hitters!$A$1:$R$401,9,FALSE)-AVERAGE(Rankings!T$2:T$651))/STDEV(Rankings!T$2:T$651)</f>
        <v>-0.52866584641188963</v>
      </c>
      <c r="N316" s="157">
        <f>(VLOOKUP($A316,Hitters!$A$1:$R$401,10,FALSE)-AVERAGE(Rankings!U$2:U$651))/STDEV(Rankings!U$2:U$651)</f>
        <v>-0.37575611921303509</v>
      </c>
      <c r="O316" s="157">
        <f>(VLOOKUP($A316,Hitters!$A$1:$R$401,11,FALSE)-AVERAGE(Rankings!V$2:V$651))/STDEV(Rankings!V$2:V$651)</f>
        <v>-0.48823127930677884</v>
      </c>
      <c r="P316" s="157">
        <f>(VLOOKUP($A316,Hitters!$A$1:$R$401,12,FALSE)-AVERAGE(Rankings!W$2:W$651))/STDEV(Rankings!W$2:W$651)</f>
        <v>-0.37542589829792827</v>
      </c>
      <c r="Q316" s="157">
        <f>(VLOOKUP($A316,Hitters!$A$1:$R$401,13,FALSE)-AVERAGE(Rankings!X$2:X$651))/STDEV(Rankings!X$2:X$651)</f>
        <v>0.42799260356051527</v>
      </c>
      <c r="R316" s="118">
        <f>(VLOOKUP($A316,Hitters!$A1:$R401,16,FALSE)-AVERAGE(Rankings!Y2:Y651))/STDEV(Rankings!Y2:Y651)</f>
        <v>-0.16615443278586203</v>
      </c>
      <c r="S316" s="118">
        <f>(VLOOKUP($A316,Hitters!$A1:$R401,17,FALSE)-AVERAGE(Rankings!Z2:Z651))/STDEV(Rankings!Z2:Z651)</f>
        <v>-0.35475542526607307</v>
      </c>
      <c r="T316" s="118">
        <f>IFERROR((VLOOKUP($A316,Hitters!$A1:$R401,18,FALSE)-AVERAGE(Rankings!AA2:AA651))/STDEV(Rankings!AA2:AA651),0)</f>
        <v>0</v>
      </c>
      <c r="U316" s="67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</row>
    <row r="317" spans="1:37" ht="18.600000000000001" customHeight="1">
      <c r="A317" s="26" t="s">
        <v>455</v>
      </c>
      <c r="B317" s="27" t="s">
        <v>81</v>
      </c>
      <c r="C317" s="123" t="s">
        <v>23</v>
      </c>
      <c r="D317" s="67">
        <f>(F317*Settings!$C$2)+(G317*Settings!$C$3)+(H317*Settings!$C$4)+(I317*Settings!$C$5)+(J317*Settings!$C$6)+(M317*Settings!$C$9)+(N317*Settings!$C$10)+(O317*Settings!$C$11)+(P317*Settings!$C$12)+(Q317*Settings!$C$13)+(T317*Settings!$C$16)+(K317*Settings!$C$7)+(L317*Settings!$C$8)+(R317*Settings!$C$14)+(S317*Settings!$C$15)</f>
        <v>-4.5231060057250856</v>
      </c>
      <c r="E317" s="67"/>
      <c r="F317" s="118">
        <f>(VLOOKUP($A317,Hitters!$A1:$R401,4,FALSE)-AVERAGE(Rankings!M2:M651))/STDEV(Rankings!M2:M651)</f>
        <v>-1.3593165148782553</v>
      </c>
      <c r="G317" s="118">
        <f>(VLOOKUP($A317,Hitters!$A1:$R401,5,FALSE)-AVERAGE(Rankings!N2:N651))/STDEV(Rankings!N2:N651)</f>
        <v>-1.0901453029546539</v>
      </c>
      <c r="H317" s="118">
        <f>(VLOOKUP($A317,Hitters!$A1:$R401,6,FALSE)-AVERAGE(Rankings!O2:O651))/STDEV(Rankings!O2:O651)</f>
        <v>-0.71278382044342059</v>
      </c>
      <c r="I317" s="118">
        <f>(VLOOKUP($A317,Hitters!$A1:$R401,7,FALSE)-AVERAGE(Rankings!P2:P651))/STDEV(Rankings!P2:P651)</f>
        <v>-1.0539147494334742</v>
      </c>
      <c r="J317" s="118">
        <f>(VLOOKUP($A317,Hitters!$A1:$R401,8,FALSE)-AVERAGE(Rankings!Q2:Q651))/STDEV(Rankings!Q2:Q651)</f>
        <v>-0.47413617320676338</v>
      </c>
      <c r="K317" s="157">
        <f>(VLOOKUP($A317,Hitters!$A$1:$R$401,14,FALSE)-AVERAGE(Rankings!R$2:R$651))/STDEV(Rankings!R$2:R$651)</f>
        <v>-1.1921259596867733</v>
      </c>
      <c r="L317" s="157">
        <f>(VLOOKUP($A317,Hitters!$A$1:$R$401,15,FALSE)-AVERAGE(Rankings!S$2:S$651))/STDEV(Rankings!S$2:S$651)</f>
        <v>-0.93064199401811576</v>
      </c>
      <c r="M317" s="157">
        <f>(VLOOKUP($A317,Hitters!$A$1:$R$401,9,FALSE)-AVERAGE(Rankings!T$2:T$651))/STDEV(Rankings!T$2:T$651)</f>
        <v>-1.3520140095981605</v>
      </c>
      <c r="N317" s="157">
        <f>(VLOOKUP($A317,Hitters!$A$1:$R$401,10,FALSE)-AVERAGE(Rankings!U$2:U$651))/STDEV(Rankings!U$2:U$651)</f>
        <v>-1.2084612302628674</v>
      </c>
      <c r="O317" s="157">
        <f>(VLOOKUP($A317,Hitters!$A$1:$R$401,11,FALSE)-AVERAGE(Rankings!V$2:V$651))/STDEV(Rankings!V$2:V$651)</f>
        <v>-0.51255276554802609</v>
      </c>
      <c r="P317" s="157">
        <f>(VLOOKUP($A317,Hitters!$A$1:$R$401,12,FALSE)-AVERAGE(Rankings!W$2:W$651))/STDEV(Rankings!W$2:W$651)</f>
        <v>-0.98178060164439207</v>
      </c>
      <c r="Q317" s="157">
        <f>(VLOOKUP($A317,Hitters!$A$1:$R$401,13,FALSE)-AVERAGE(Rankings!X$2:X$651))/STDEV(Rankings!X$2:X$651)</f>
        <v>-0.52773451983718711</v>
      </c>
      <c r="R317" s="118">
        <f>(VLOOKUP($A317,Hitters!$A1:$R401,16,FALSE)-AVERAGE(Rankings!Y2:Y651))/STDEV(Rankings!Y2:Y651)</f>
        <v>-0.15629798154934318</v>
      </c>
      <c r="S317" s="118">
        <f>(VLOOKUP($A317,Hitters!$A1:$R401,17,FALSE)-AVERAGE(Rankings!Z2:Z651))/STDEV(Rankings!Z2:Z651)</f>
        <v>-0.46456775046699328</v>
      </c>
      <c r="T317" s="118">
        <f>IFERROR((VLOOKUP($A317,Hitters!$A1:$R401,18,FALSE)-AVERAGE(Rankings!AA2:AA651))/STDEV(Rankings!AA2:AA651),0)</f>
        <v>0</v>
      </c>
      <c r="U317" s="67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</row>
    <row r="318" spans="1:37" ht="18.600000000000001" customHeight="1">
      <c r="A318" s="26" t="s">
        <v>460</v>
      </c>
      <c r="B318" s="27" t="s">
        <v>306</v>
      </c>
      <c r="C318" s="123" t="s">
        <v>23</v>
      </c>
      <c r="D318" s="67">
        <f>(F318*Settings!$C$2)+(G318*Settings!$C$3)+(H318*Settings!$C$4)+(I318*Settings!$C$5)+(J318*Settings!$C$6)+(M318*Settings!$C$9)+(N318*Settings!$C$10)+(O318*Settings!$C$11)+(P318*Settings!$C$12)+(Q318*Settings!$C$13)+(T318*Settings!$C$16)+(K318*Settings!$C$7)+(L318*Settings!$C$8)+(R318*Settings!$C$14)+(S318*Settings!$C$15)</f>
        <v>-1.7461965743912953</v>
      </c>
      <c r="E318" s="67"/>
      <c r="F318" s="118">
        <f>(VLOOKUP($A318,Hitters!$A1:$R401,4,FALSE)-AVERAGE(Rankings!M2:M651))/STDEV(Rankings!M2:M651)</f>
        <v>-0.32768936587169656</v>
      </c>
      <c r="G318" s="118">
        <f>(VLOOKUP($A318,Hitters!$A1:$R401,5,FALSE)-AVERAGE(Rankings!N2:N651))/STDEV(Rankings!N2:N651)</f>
        <v>-0.57152291354436258</v>
      </c>
      <c r="H318" s="118">
        <f>(VLOOKUP($A318,Hitters!$A1:$R401,6,FALSE)-AVERAGE(Rankings!O2:O651))/STDEV(Rankings!O2:O651)</f>
        <v>-0.72246634643998142</v>
      </c>
      <c r="I318" s="118">
        <f>(VLOOKUP($A318,Hitters!$A1:$R401,7,FALSE)-AVERAGE(Rankings!P2:P651))/STDEV(Rankings!P2:P651)</f>
        <v>-0.54202319812681765</v>
      </c>
      <c r="J318" s="118">
        <f>(VLOOKUP($A318,Hitters!$A1:$R401,8,FALSE)-AVERAGE(Rankings!Q2:Q651))/STDEV(Rankings!Q2:Q651)</f>
        <v>-0.55238058640555165</v>
      </c>
      <c r="K318" s="157">
        <f>(VLOOKUP($A318,Hitters!$A$1:$R$401,14,FALSE)-AVERAGE(Rankings!R$2:R$651))/STDEV(Rankings!R$2:R$651)</f>
        <v>0.64219647012541803</v>
      </c>
      <c r="L318" s="157">
        <f>(VLOOKUP($A318,Hitters!$A$1:$R$401,15,FALSE)-AVERAGE(Rankings!S$2:S$651))/STDEV(Rankings!S$2:S$651)</f>
        <v>-0.40429090308356691</v>
      </c>
      <c r="M318" s="157">
        <f>(VLOOKUP($A318,Hitters!$A$1:$R$401,9,FALSE)-AVERAGE(Rankings!T$2:T$651))/STDEV(Rankings!T$2:T$651)</f>
        <v>-0.20916967525351135</v>
      </c>
      <c r="N318" s="157">
        <f>(VLOOKUP($A318,Hitters!$A$1:$R$401,10,FALSE)-AVERAGE(Rankings!U$2:U$651))/STDEV(Rankings!U$2:U$651)</f>
        <v>-3.2877544074868731E-2</v>
      </c>
      <c r="O318" s="157">
        <f>(VLOOKUP($A318,Hitters!$A$1:$R$401,11,FALSE)-AVERAGE(Rankings!V$2:V$651))/STDEV(Rankings!V$2:V$651)</f>
        <v>0.3100857396706313</v>
      </c>
      <c r="P318" s="157">
        <f>(VLOOKUP($A318,Hitters!$A$1:$R$401,12,FALSE)-AVERAGE(Rankings!W$2:W$651))/STDEV(Rankings!W$2:W$651)</f>
        <v>-0.89258152033552574</v>
      </c>
      <c r="Q318" s="157">
        <f>(VLOOKUP($A318,Hitters!$A$1:$R$401,13,FALSE)-AVERAGE(Rankings!X$2:X$651))/STDEV(Rankings!X$2:X$651)</f>
        <v>-0.78992038687892319</v>
      </c>
      <c r="R318" s="118">
        <f>(VLOOKUP($A318,Hitters!$A1:$R401,16,FALSE)-AVERAGE(Rankings!Y2:Y651))/STDEV(Rankings!Y2:Y651)</f>
        <v>-0.24560322898913065</v>
      </c>
      <c r="S318" s="118">
        <f>(VLOOKUP($A318,Hitters!$A1:$R401,17,FALSE)-AVERAGE(Rankings!Z2:Z651))/STDEV(Rankings!Z2:Z651)</f>
        <v>-0.33172992574306109</v>
      </c>
      <c r="T318" s="118">
        <f>IFERROR((VLOOKUP($A318,Hitters!$A1:$R401,18,FALSE)-AVERAGE(Rankings!AA2:AA651))/STDEV(Rankings!AA2:AA651),0)</f>
        <v>0</v>
      </c>
      <c r="U318" s="67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</row>
    <row r="319" spans="1:37" ht="18.600000000000001" customHeight="1">
      <c r="A319" s="26" t="s">
        <v>461</v>
      </c>
      <c r="B319" s="27" t="s">
        <v>95</v>
      </c>
      <c r="C319" s="123" t="s">
        <v>23</v>
      </c>
      <c r="D319" s="67">
        <f>(F319*Settings!$C$2)+(G319*Settings!$C$3)+(H319*Settings!$C$4)+(I319*Settings!$C$5)+(J319*Settings!$C$6)+(M319*Settings!$C$9)+(N319*Settings!$C$10)+(O319*Settings!$C$11)+(P319*Settings!$C$12)+(Q319*Settings!$C$13)+(T319*Settings!$C$16)+(K319*Settings!$C$7)+(L319*Settings!$C$8)+(R319*Settings!$C$14)+(S319*Settings!$C$15)</f>
        <v>-1.8934611095677665</v>
      </c>
      <c r="E319" s="67"/>
      <c r="F319" s="118">
        <f>(VLOOKUP($A319,Hitters!$A1:$R401,4,FALSE)-AVERAGE(Rankings!M2:M651))/STDEV(Rankings!M2:M651)</f>
        <v>-0.38112951097789216</v>
      </c>
      <c r="G319" s="118">
        <f>(VLOOKUP($A319,Hitters!$A1:$R401,5,FALSE)-AVERAGE(Rankings!N2:N651))/STDEV(Rankings!N2:N651)</f>
        <v>-0.25285437975593206</v>
      </c>
      <c r="H319" s="118">
        <f>(VLOOKUP($A319,Hitters!$A1:$R401,6,FALSE)-AVERAGE(Rankings!O2:O651))/STDEV(Rankings!O2:O651)</f>
        <v>-0.49900200545460827</v>
      </c>
      <c r="I319" s="118">
        <f>(VLOOKUP($A319,Hitters!$A1:$R401,7,FALSE)-AVERAGE(Rankings!P2:P651))/STDEV(Rankings!P2:P651)</f>
        <v>-0.55586911120909788</v>
      </c>
      <c r="J319" s="118">
        <f>(VLOOKUP($A319,Hitters!$A1:$R401,8,FALSE)-AVERAGE(Rankings!Q2:Q651))/STDEV(Rankings!Q2:Q651)</f>
        <v>0.17367688343907436</v>
      </c>
      <c r="K319" s="157">
        <f>(VLOOKUP($A319,Hitters!$A$1:$R$401,14,FALSE)-AVERAGE(Rankings!R$2:R$651))/STDEV(Rankings!R$2:R$651)</f>
        <v>-0.75941249658720245</v>
      </c>
      <c r="L319" s="157">
        <f>(VLOOKUP($A319,Hitters!$A$1:$R$401,15,FALSE)-AVERAGE(Rankings!S$2:S$651))/STDEV(Rankings!S$2:S$651)</f>
        <v>0.19756102165506251</v>
      </c>
      <c r="M319" s="157">
        <f>(VLOOKUP($A319,Hitters!$A$1:$R$401,9,FALSE)-AVERAGE(Rankings!T$2:T$651))/STDEV(Rankings!T$2:T$651)</f>
        <v>-0.49993934836755377</v>
      </c>
      <c r="N319" s="157">
        <f>(VLOOKUP($A319,Hitters!$A$1:$R$401,10,FALSE)-AVERAGE(Rankings!U$2:U$651))/STDEV(Rankings!U$2:U$651)</f>
        <v>-0.7154074331336282</v>
      </c>
      <c r="O319" s="157">
        <f>(VLOOKUP($A319,Hitters!$A$1:$R$401,11,FALSE)-AVERAGE(Rankings!V$2:V$651))/STDEV(Rankings!V$2:V$651)</f>
        <v>-0.5521347921759383</v>
      </c>
      <c r="P319" s="157">
        <f>(VLOOKUP($A319,Hitters!$A$1:$R$401,12,FALSE)-AVERAGE(Rankings!W$2:W$651))/STDEV(Rankings!W$2:W$651)</f>
        <v>0.23466098418279788</v>
      </c>
      <c r="Q319" s="157">
        <f>(VLOOKUP($A319,Hitters!$A$1:$R$401,13,FALSE)-AVERAGE(Rankings!X$2:X$651))/STDEV(Rankings!X$2:X$651)</f>
        <v>6.1985942178553563E-2</v>
      </c>
      <c r="R319" s="118">
        <f>(VLOOKUP($A319,Hitters!$A1:$R401,16,FALSE)-AVERAGE(Rankings!Y2:Y651))/STDEV(Rankings!Y2:Y651)</f>
        <v>-0.93782354967643633</v>
      </c>
      <c r="S319" s="118">
        <f>(VLOOKUP($A319,Hitters!$A1:$R401,17,FALSE)-AVERAGE(Rankings!Z2:Z651))/STDEV(Rankings!Z2:Z651)</f>
        <v>-0.61126085073413639</v>
      </c>
      <c r="T319" s="118">
        <f>IFERROR((VLOOKUP($A319,Hitters!$A1:$R401,18,FALSE)-AVERAGE(Rankings!AA2:AA651))/STDEV(Rankings!AA2:AA651),0)</f>
        <v>0</v>
      </c>
      <c r="U319" s="67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</row>
    <row r="320" spans="1:37" ht="18.600000000000001" customHeight="1">
      <c r="A320" s="26" t="s">
        <v>471</v>
      </c>
      <c r="B320" s="27" t="s">
        <v>71</v>
      </c>
      <c r="C320" s="123" t="s">
        <v>23</v>
      </c>
      <c r="D320" s="67">
        <f>(F320*Settings!$C$2)+(G320*Settings!$C$3)+(H320*Settings!$C$4)+(I320*Settings!$C$5)+(J320*Settings!$C$6)+(M320*Settings!$C$9)+(N320*Settings!$C$10)+(O320*Settings!$C$11)+(P320*Settings!$C$12)+(Q320*Settings!$C$13)+(T320*Settings!$C$16)+(K320*Settings!$C$7)+(L320*Settings!$C$8)+(R320*Settings!$C$14)+(S320*Settings!$C$15)</f>
        <v>-1.2842389850991152</v>
      </c>
      <c r="E320" s="67"/>
      <c r="F320" s="118">
        <f>(VLOOKUP($A320,Hitters!$A1:$R401,4,FALSE)-AVERAGE(Rankings!M2:M651))/STDEV(Rankings!M2:M651)</f>
        <v>-0.22908912976271609</v>
      </c>
      <c r="G320" s="118">
        <f>(VLOOKUP($A320,Hitters!$A1:$R401,5,FALSE)-AVERAGE(Rankings!N2:N651))/STDEV(Rankings!N2:N651)</f>
        <v>-0.40767535901374224</v>
      </c>
      <c r="H320" s="118">
        <f>(VLOOKUP($A320,Hitters!$A1:$R401,6,FALSE)-AVERAGE(Rankings!O2:O651))/STDEV(Rankings!O2:O651)</f>
        <v>-0.11030779638404001</v>
      </c>
      <c r="I320" s="118">
        <f>(VLOOKUP($A320,Hitters!$A1:$R401,7,FALSE)-AVERAGE(Rankings!P2:P651))/STDEV(Rankings!P2:P651)</f>
        <v>-0.24858655855768241</v>
      </c>
      <c r="J320" s="118">
        <f>(VLOOKUP($A320,Hitters!$A1:$R401,8,FALSE)-AVERAGE(Rankings!Q2:Q651))/STDEV(Rankings!Q2:Q651)</f>
        <v>-0.40309848227628464</v>
      </c>
      <c r="K320" s="157">
        <f>(VLOOKUP($A320,Hitters!$A$1:$R$401,14,FALSE)-AVERAGE(Rankings!R$2:R$651))/STDEV(Rankings!R$2:R$651)</f>
        <v>-0.11457078886736601</v>
      </c>
      <c r="L320" s="157">
        <f>(VLOOKUP($A320,Hitters!$A$1:$R$401,15,FALSE)-AVERAGE(Rankings!S$2:S$651))/STDEV(Rankings!S$2:S$651)</f>
        <v>-0.70483271212944609</v>
      </c>
      <c r="M320" s="157">
        <f>(VLOOKUP($A320,Hitters!$A$1:$R$401,9,FALSE)-AVERAGE(Rankings!T$2:T$651))/STDEV(Rankings!T$2:T$651)</f>
        <v>-0.25679755000897891</v>
      </c>
      <c r="N320" s="157">
        <f>(VLOOKUP($A320,Hitters!$A$1:$R$401,10,FALSE)-AVERAGE(Rankings!U$2:U$651))/STDEV(Rankings!U$2:U$651)</f>
        <v>-0.12754387312368279</v>
      </c>
      <c r="O320" s="157">
        <f>(VLOOKUP($A320,Hitters!$A$1:$R$401,11,FALSE)-AVERAGE(Rankings!V$2:V$651))/STDEV(Rankings!V$2:V$651)</f>
        <v>-0.55833438670802082</v>
      </c>
      <c r="P320" s="157">
        <f>(VLOOKUP($A320,Hitters!$A$1:$R$401,12,FALSE)-AVERAGE(Rankings!W$2:W$651))/STDEV(Rankings!W$2:W$651)</f>
        <v>-0.64560456612572537</v>
      </c>
      <c r="Q320" s="157">
        <f>(VLOOKUP($A320,Hitters!$A$1:$R$401,13,FALSE)-AVERAGE(Rankings!X$2:X$651))/STDEV(Rankings!X$2:X$651)</f>
        <v>-0.37341122878338873</v>
      </c>
      <c r="R320" s="118">
        <f>(VLOOKUP($A320,Hitters!$A1:$R401,16,FALSE)-AVERAGE(Rankings!Y2:Y651))/STDEV(Rankings!Y2:Y651)</f>
        <v>8.0636839513470879E-2</v>
      </c>
      <c r="S320" s="118">
        <f>(VLOOKUP($A320,Hitters!$A1:$R401,17,FALSE)-AVERAGE(Rankings!Z2:Z651))/STDEV(Rankings!Z2:Z651)</f>
        <v>-0.20634680186447527</v>
      </c>
      <c r="T320" s="118">
        <f>IFERROR((VLOOKUP($A320,Hitters!$A1:$R401,18,FALSE)-AVERAGE(Rankings!AA2:AA651))/STDEV(Rankings!AA2:AA651),0)</f>
        <v>0</v>
      </c>
      <c r="U320" s="67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</row>
    <row r="321" spans="1:37" ht="18.600000000000001" customHeight="1">
      <c r="A321" s="26" t="s">
        <v>468</v>
      </c>
      <c r="B321" s="27"/>
      <c r="C321" s="123" t="s">
        <v>23</v>
      </c>
      <c r="D321" s="67">
        <f>(F321*Settings!$C$2)+(G321*Settings!$C$3)+(H321*Settings!$C$4)+(I321*Settings!$C$5)+(J321*Settings!$C$6)+(M321*Settings!$C$9)+(N321*Settings!$C$10)+(O321*Settings!$C$11)+(P321*Settings!$C$12)+(Q321*Settings!$C$13)+(T321*Settings!$C$16)+(K321*Settings!$C$7)+(L321*Settings!$C$8)+(R321*Settings!$C$14)+(S321*Settings!$C$15)</f>
        <v>-3.2728127162249812</v>
      </c>
      <c r="E321" s="67"/>
      <c r="F321" s="118">
        <f>(VLOOKUP($A321,Hitters!$A1:$R401,4,FALSE)-AVERAGE(Rankings!M2:M651))/STDEV(Rankings!M2:M651)</f>
        <v>-0.47204112541941995</v>
      </c>
      <c r="G321" s="118">
        <f>(VLOOKUP($A321,Hitters!$A1:$R401,5,FALSE)-AVERAGE(Rankings!N2:N651))/STDEV(Rankings!N2:N651)</f>
        <v>-0.54208512171365208</v>
      </c>
      <c r="H321" s="118">
        <f>(VLOOKUP($A321,Hitters!$A1:$R401,6,FALSE)-AVERAGE(Rankings!O2:O651))/STDEV(Rankings!O2:O651)</f>
        <v>-0.77888969936958008</v>
      </c>
      <c r="I321" s="118">
        <f>(VLOOKUP($A321,Hitters!$A1:$R401,7,FALSE)-AVERAGE(Rankings!P2:P651))/STDEV(Rankings!P2:P651)</f>
        <v>-0.71703146715946353</v>
      </c>
      <c r="J321" s="118">
        <f>(VLOOKUP($A321,Hitters!$A1:$R401,8,FALSE)-AVERAGE(Rankings!Q2:Q651))/STDEV(Rankings!Q2:Q651)</f>
        <v>0.13281239233525374</v>
      </c>
      <c r="K321" s="157">
        <f>(VLOOKUP($A321,Hitters!$A$1:$R$401,14,FALSE)-AVERAGE(Rankings!R$2:R$651))/STDEV(Rankings!R$2:R$651)</f>
        <v>-1.3676188203175392</v>
      </c>
      <c r="L321" s="157">
        <f>(VLOOKUP($A321,Hitters!$A$1:$R$401,15,FALSE)-AVERAGE(Rankings!S$2:S$651))/STDEV(Rankings!S$2:S$651)</f>
        <v>0.25795154591851022</v>
      </c>
      <c r="M321" s="157">
        <f>(VLOOKUP($A321,Hitters!$A$1:$R$401,9,FALSE)-AVERAGE(Rankings!T$2:T$651))/STDEV(Rankings!T$2:T$651)</f>
        <v>-0.67596777981441414</v>
      </c>
      <c r="N321" s="157">
        <f>(VLOOKUP($A321,Hitters!$A$1:$R$401,10,FALSE)-AVERAGE(Rankings!U$2:U$651))/STDEV(Rankings!U$2:U$651)</f>
        <v>-0.56537564497444748</v>
      </c>
      <c r="O321" s="157">
        <f>(VLOOKUP($A321,Hitters!$A$1:$R$401,11,FALSE)-AVERAGE(Rankings!V$2:V$651))/STDEV(Rankings!V$2:V$651)</f>
        <v>-0.53973560311177304</v>
      </c>
      <c r="P321" s="157">
        <f>(VLOOKUP($A321,Hitters!$A$1:$R$401,12,FALSE)-AVERAGE(Rankings!W$2:W$651))/STDEV(Rankings!W$2:W$651)</f>
        <v>0.50667464008494068</v>
      </c>
      <c r="Q321" s="157">
        <f>(VLOOKUP($A321,Hitters!$A$1:$R$401,13,FALSE)-AVERAGE(Rankings!X$2:X$651))/STDEV(Rankings!X$2:X$651)</f>
        <v>1.5493588900185767E-2</v>
      </c>
      <c r="R321" s="118">
        <f>(VLOOKUP($A321,Hitters!$A1:$R401,16,FALSE)-AVERAGE(Rankings!Y2:Y651))/STDEV(Rankings!Y2:Y651)</f>
        <v>-1.4893061815951818</v>
      </c>
      <c r="S321" s="118">
        <f>(VLOOKUP($A321,Hitters!$A1:$R401,17,FALSE)-AVERAGE(Rankings!Z2:Z651))/STDEV(Rankings!Z2:Z651)</f>
        <v>-0.99171536394527759</v>
      </c>
      <c r="T321" s="118">
        <f>IFERROR((VLOOKUP($A321,Hitters!$A1:$R401,18,FALSE)-AVERAGE(Rankings!AA2:AA651))/STDEV(Rankings!AA2:AA651),0)</f>
        <v>0</v>
      </c>
      <c r="U321" s="67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</row>
    <row r="322" spans="1:37" ht="18.600000000000001" customHeight="1">
      <c r="A322" s="26" t="s">
        <v>447</v>
      </c>
      <c r="B322" s="27" t="s">
        <v>137</v>
      </c>
      <c r="C322" s="123" t="s">
        <v>23</v>
      </c>
      <c r="D322" s="67">
        <f>(F322*Settings!$C$2)+(G322*Settings!$C$3)+(H322*Settings!$C$4)+(I322*Settings!$C$5)+(J322*Settings!$C$6)+(M322*Settings!$C$9)+(N322*Settings!$C$10)+(O322*Settings!$C$11)+(P322*Settings!$C$12)+(Q322*Settings!$C$13)+(T322*Settings!$C$16)+(K322*Settings!$C$7)+(L322*Settings!$C$8)+(R322*Settings!$C$14)+(S322*Settings!$C$15)</f>
        <v>-1.5308822950798111</v>
      </c>
      <c r="E322" s="67"/>
      <c r="F322" s="118">
        <f>(VLOOKUP($A322,Hitters!$A1:$R401,4,FALSE)-AVERAGE(Rankings!M2:M651))/STDEV(Rankings!M2:M651)</f>
        <v>-0.84591091529280449</v>
      </c>
      <c r="G322" s="118">
        <f>(VLOOKUP($A322,Hitters!$A1:$R401,5,FALSE)-AVERAGE(Rankings!N2:N651))/STDEV(Rankings!N2:N651)</f>
        <v>-0.70867107548433828</v>
      </c>
      <c r="H322" s="118">
        <f>(VLOOKUP($A322,Hitters!$A1:$R401,6,FALSE)-AVERAGE(Rankings!O2:O651))/STDEV(Rankings!O2:O651)</f>
        <v>-1.2211164352628601</v>
      </c>
      <c r="I322" s="118">
        <f>(VLOOKUP($A322,Hitters!$A1:$R401,7,FALSE)-AVERAGE(Rankings!P2:P651))/STDEV(Rankings!P2:P651)</f>
        <v>-1.0092464085154562</v>
      </c>
      <c r="J322" s="118">
        <f>(VLOOKUP($A322,Hitters!$A1:$R401,8,FALSE)-AVERAGE(Rankings!Q2:Q651))/STDEV(Rankings!Q2:Q651)</f>
        <v>0.7653408621922595</v>
      </c>
      <c r="K322" s="157">
        <f>(VLOOKUP($A322,Hitters!$A$1:$R$401,14,FALSE)-AVERAGE(Rankings!R$2:R$651))/STDEV(Rankings!R$2:R$651)</f>
        <v>0.64281076199058407</v>
      </c>
      <c r="L322" s="157">
        <f>(VLOOKUP($A322,Hitters!$A$1:$R$401,15,FALSE)-AVERAGE(Rankings!S$2:S$651))/STDEV(Rankings!S$2:S$651)</f>
        <v>0.33400424434474868</v>
      </c>
      <c r="M322" s="157">
        <f>(VLOOKUP($A322,Hitters!$A$1:$R$401,9,FALSE)-AVERAGE(Rankings!T$2:T$651))/STDEV(Rankings!T$2:T$651)</f>
        <v>-0.68553828672282424</v>
      </c>
      <c r="N322" s="157">
        <f>(VLOOKUP($A322,Hitters!$A$1:$R$401,10,FALSE)-AVERAGE(Rankings!U$2:U$651))/STDEV(Rankings!U$2:U$651)</f>
        <v>-0.62819966334320576</v>
      </c>
      <c r="O322" s="157">
        <f>(VLOOKUP($A322,Hitters!$A$1:$R$401,11,FALSE)-AVERAGE(Rankings!V$2:V$651))/STDEV(Rankings!V$2:V$651)</f>
        <v>0.32653850977500432</v>
      </c>
      <c r="P322" s="157">
        <f>(VLOOKUP($A322,Hitters!$A$1:$R$401,12,FALSE)-AVERAGE(Rankings!W$2:W$651))/STDEV(Rankings!W$2:W$651)</f>
        <v>-0.71082439649695706</v>
      </c>
      <c r="Q322" s="157">
        <f>(VLOOKUP($A322,Hitters!$A$1:$R$401,13,FALSE)-AVERAGE(Rankings!X$2:X$651))/STDEV(Rankings!X$2:X$651)</f>
        <v>-0.96489552114636867</v>
      </c>
      <c r="R322" s="118">
        <f>(VLOOKUP($A322,Hitters!$A1:$R401,16,FALSE)-AVERAGE(Rankings!Y2:Y651))/STDEV(Rankings!Y2:Y651)</f>
        <v>-0.84773312263324729</v>
      </c>
      <c r="S322" s="118">
        <f>(VLOOKUP($A322,Hitters!$A1:$R401,17,FALSE)-AVERAGE(Rankings!Z2:Z651))/STDEV(Rankings!Z2:Z651)</f>
        <v>-0.49403630268079707</v>
      </c>
      <c r="T322" s="118">
        <f>IFERROR((VLOOKUP($A322,Hitters!$A1:$R401,18,FALSE)-AVERAGE(Rankings!AA2:AA651))/STDEV(Rankings!AA2:AA651),0)</f>
        <v>0</v>
      </c>
      <c r="U322" s="67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</row>
    <row r="323" spans="1:37" ht="18.600000000000001" customHeight="1">
      <c r="A323" s="26" t="s">
        <v>457</v>
      </c>
      <c r="B323" s="27" t="s">
        <v>306</v>
      </c>
      <c r="C323" s="123" t="s">
        <v>23</v>
      </c>
      <c r="D323" s="67">
        <f>(F323*Settings!$C$2)+(G323*Settings!$C$3)+(H323*Settings!$C$4)+(I323*Settings!$C$5)+(J323*Settings!$C$6)+(M323*Settings!$C$9)+(N323*Settings!$C$10)+(O323*Settings!$C$11)+(P323*Settings!$C$12)+(Q323*Settings!$C$13)+(T323*Settings!$C$16)+(K323*Settings!$C$7)+(L323*Settings!$C$8)+(R323*Settings!$C$14)+(S323*Settings!$C$15)</f>
        <v>-1.248149705396598</v>
      </c>
      <c r="E323" s="67"/>
      <c r="F323" s="118">
        <f>(VLOOKUP($A323,Hitters!$A1:$R401,4,FALSE)-AVERAGE(Rankings!M2:M651))/STDEV(Rankings!M2:M651)</f>
        <v>0.13096648821365142</v>
      </c>
      <c r="G323" s="118">
        <f>(VLOOKUP($A323,Hitters!$A1:$R401,5,FALSE)-AVERAGE(Rankings!N2:N651))/STDEV(Rankings!N2:N651)</f>
        <v>-0.19697075081976917</v>
      </c>
      <c r="H323" s="118">
        <f>(VLOOKUP($A323,Hitters!$A1:$R401,6,FALSE)-AVERAGE(Rankings!O2:O651))/STDEV(Rankings!O2:O651)</f>
        <v>-0.71341074658708292</v>
      </c>
      <c r="I323" s="118">
        <f>(VLOOKUP($A323,Hitters!$A1:$R401,7,FALSE)-AVERAGE(Rankings!P2:P651))/STDEV(Rankings!P2:P651)</f>
        <v>-0.6112018594460048</v>
      </c>
      <c r="J323" s="118">
        <f>(VLOOKUP($A323,Hitters!$A1:$R401,8,FALSE)-AVERAGE(Rankings!Q2:Q651))/STDEV(Rankings!Q2:Q651)</f>
        <v>1.3467095234192885</v>
      </c>
      <c r="K323" s="157">
        <f>(VLOOKUP($A323,Hitters!$A$1:$R$401,14,FALSE)-AVERAGE(Rankings!R$2:R$651))/STDEV(Rankings!R$2:R$651)</f>
        <v>-1.0732758719630298</v>
      </c>
      <c r="L323" s="157">
        <f>(VLOOKUP($A323,Hitters!$A$1:$R$401,15,FALSE)-AVERAGE(Rankings!S$2:S$651))/STDEV(Rankings!S$2:S$651)</f>
        <v>-1.5150694453479834</v>
      </c>
      <c r="M323" s="157">
        <f>(VLOOKUP($A323,Hitters!$A$1:$R$401,9,FALSE)-AVERAGE(Rankings!T$2:T$651))/STDEV(Rankings!T$2:T$651)</f>
        <v>-0.14289503821170382</v>
      </c>
      <c r="N323" s="157">
        <f>(VLOOKUP($A323,Hitters!$A$1:$R$401,10,FALSE)-AVERAGE(Rankings!U$2:U$651))/STDEV(Rankings!U$2:U$651)</f>
        <v>-3.3522996318383701E-2</v>
      </c>
      <c r="O323" s="157">
        <f>(VLOOKUP($A323,Hitters!$A$1:$R$401,11,FALSE)-AVERAGE(Rankings!V$2:V$651))/STDEV(Rankings!V$2:V$651)</f>
        <v>0.30627060457396499</v>
      </c>
      <c r="P323" s="157">
        <f>(VLOOKUP($A323,Hitters!$A$1:$R$401,12,FALSE)-AVERAGE(Rankings!W$2:W$651))/STDEV(Rankings!W$2:W$651)</f>
        <v>-0.51152603072735592</v>
      </c>
      <c r="Q323" s="157">
        <f>(VLOOKUP($A323,Hitters!$A$1:$R$401,13,FALSE)-AVERAGE(Rankings!X$2:X$651))/STDEV(Rankings!X$2:X$651)</f>
        <v>0.49949496382530661</v>
      </c>
      <c r="R323" s="118">
        <f>(VLOOKUP($A323,Hitters!$A1:$R401,16,FALSE)-AVERAGE(Rankings!Y2:Y651))/STDEV(Rankings!Y2:Y651)</f>
        <v>-1.4819923073273695</v>
      </c>
      <c r="S323" s="118">
        <f>(VLOOKUP($A323,Hitters!$A1:$R401,17,FALSE)-AVERAGE(Rankings!Z2:Z651))/STDEV(Rankings!Z2:Z651)</f>
        <v>-1.6537668985116964</v>
      </c>
      <c r="T323" s="118">
        <f>IFERROR((VLOOKUP($A323,Hitters!$A1:$R401,18,FALSE)-AVERAGE(Rankings!AA2:AA651))/STDEV(Rankings!AA2:AA651),0)</f>
        <v>0</v>
      </c>
      <c r="U323" s="67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</row>
    <row r="324" spans="1:37" ht="18.600000000000001" customHeight="1">
      <c r="A324" s="26" t="s">
        <v>459</v>
      </c>
      <c r="B324" s="27" t="s">
        <v>217</v>
      </c>
      <c r="C324" s="123" t="s">
        <v>23</v>
      </c>
      <c r="D324" s="67">
        <f>(F324*Settings!$C$2)+(G324*Settings!$C$3)+(H324*Settings!$C$4)+(I324*Settings!$C$5)+(J324*Settings!$C$6)+(M324*Settings!$C$9)+(N324*Settings!$C$10)+(O324*Settings!$C$11)+(P324*Settings!$C$12)+(Q324*Settings!$C$13)+(T324*Settings!$C$16)+(K324*Settings!$C$7)+(L324*Settings!$C$8)+(R324*Settings!$C$14)+(S324*Settings!$C$15)</f>
        <v>-2.0726193107203885</v>
      </c>
      <c r="E324" s="67"/>
      <c r="F324" s="118">
        <f>(VLOOKUP($A324,Hitters!$A1:$R401,4,FALSE)-AVERAGE(Rankings!M2:M651))/STDEV(Rankings!M2:M651)</f>
        <v>-1.1480483997192956</v>
      </c>
      <c r="G324" s="118">
        <f>(VLOOKUP($A324,Hitters!$A1:$R401,5,FALSE)-AVERAGE(Rankings!N2:N651))/STDEV(Rankings!N2:N651)</f>
        <v>-0.7703104139343443</v>
      </c>
      <c r="H324" s="118">
        <f>(VLOOKUP($A324,Hitters!$A1:$R401,6,FALSE)-AVERAGE(Rankings!O2:O651))/STDEV(Rankings!O2:O651)</f>
        <v>-0.86220121801624672</v>
      </c>
      <c r="I324" s="118">
        <f>(VLOOKUP($A324,Hitters!$A1:$R401,7,FALSE)-AVERAGE(Rankings!P2:P651))/STDEV(Rankings!P2:P651)</f>
        <v>-1.1217190002628765</v>
      </c>
      <c r="J324" s="118">
        <f>(VLOOKUP($A324,Hitters!$A1:$R401,8,FALSE)-AVERAGE(Rankings!Q2:Q651))/STDEV(Rankings!Q2:Q651)</f>
        <v>0.55618752691088325</v>
      </c>
      <c r="K324" s="157">
        <f>(VLOOKUP($A324,Hitters!$A$1:$R$401,14,FALSE)-AVERAGE(Rankings!R$2:R$651))/STDEV(Rankings!R$2:R$651)</f>
        <v>0.12542379458219577</v>
      </c>
      <c r="L324" s="157">
        <f>(VLOOKUP($A324,Hitters!$A$1:$R$401,15,FALSE)-AVERAGE(Rankings!S$2:S$651))/STDEV(Rankings!S$2:S$651)</f>
        <v>0.94363163405767081</v>
      </c>
      <c r="M324" s="157">
        <f>(VLOOKUP($A324,Hitters!$A$1:$R$401,9,FALSE)-AVERAGE(Rankings!T$2:T$651))/STDEV(Rankings!T$2:T$651)</f>
        <v>-1.0255833396939389</v>
      </c>
      <c r="N324" s="157">
        <f>(VLOOKUP($A324,Hitters!$A$1:$R$401,10,FALSE)-AVERAGE(Rankings!U$2:U$651))/STDEV(Rankings!U$2:U$651)</f>
        <v>-1.0947899184883447</v>
      </c>
      <c r="O324" s="157">
        <f>(VLOOKUP($A324,Hitters!$A$1:$R$401,11,FALSE)-AVERAGE(Rankings!V$2:V$651))/STDEV(Rankings!V$2:V$651)</f>
        <v>-0.53258222480552375</v>
      </c>
      <c r="P324" s="157">
        <f>(VLOOKUP($A324,Hitters!$A$1:$R$401,12,FALSE)-AVERAGE(Rankings!W$2:W$651))/STDEV(Rankings!W$2:W$651)</f>
        <v>-0.40487901196581422</v>
      </c>
      <c r="Q324" s="157">
        <f>(VLOOKUP($A324,Hitters!$A$1:$R$401,13,FALSE)-AVERAGE(Rankings!X$2:X$651))/STDEV(Rankings!X$2:X$651)</f>
        <v>-0.65713480898895515</v>
      </c>
      <c r="R324" s="118">
        <f>(VLOOKUP($A324,Hitters!$A1:$R401,16,FALSE)-AVERAGE(Rankings!Y2:Y651))/STDEV(Rankings!Y2:Y651)</f>
        <v>-0.33517917745396941</v>
      </c>
      <c r="S324" s="118">
        <f>(VLOOKUP($A324,Hitters!$A1:$R401,17,FALSE)-AVERAGE(Rankings!Z2:Z651))/STDEV(Rankings!Z2:Z651)</f>
        <v>0.11016504136768278</v>
      </c>
      <c r="T324" s="118">
        <f>IFERROR((VLOOKUP($A324,Hitters!$A1:$R401,18,FALSE)-AVERAGE(Rankings!AA2:AA651))/STDEV(Rankings!AA2:AA651),0)</f>
        <v>0</v>
      </c>
      <c r="U324" s="67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</row>
    <row r="325" spans="1:37" ht="18.600000000000001" customHeight="1">
      <c r="A325" s="26" t="s">
        <v>476</v>
      </c>
      <c r="B325" s="27" t="s">
        <v>258</v>
      </c>
      <c r="C325" s="123" t="s">
        <v>23</v>
      </c>
      <c r="D325" s="67">
        <f>(F325*Settings!$C$2)+(G325*Settings!$C$3)+(H325*Settings!$C$4)+(I325*Settings!$C$5)+(J325*Settings!$C$6)+(M325*Settings!$C$9)+(N325*Settings!$C$10)+(O325*Settings!$C$11)+(P325*Settings!$C$12)+(Q325*Settings!$C$13)+(T325*Settings!$C$16)+(K325*Settings!$C$7)+(L325*Settings!$C$8)+(R325*Settings!$C$14)+(S325*Settings!$C$15)</f>
        <v>-1.7165522409424261</v>
      </c>
      <c r="E325" s="67"/>
      <c r="F325" s="118">
        <f>(VLOOKUP($A325,Hitters!$A1:$R401,4,FALSE)-AVERAGE(Rankings!M2:M651))/STDEV(Rankings!M2:M651)</f>
        <v>-0.57816100249986546</v>
      </c>
      <c r="G325" s="118">
        <f>(VLOOKUP($A325,Hitters!$A1:$R401,5,FALSE)-AVERAGE(Rankings!N2:N651))/STDEV(Rankings!N2:N651)</f>
        <v>-0.6994163002748558</v>
      </c>
      <c r="H325" s="118">
        <f>(VLOOKUP($A325,Hitters!$A1:$R401,6,FALSE)-AVERAGE(Rankings!O2:O651))/STDEV(Rankings!O2:O651)</f>
        <v>-0.84896611053893334</v>
      </c>
      <c r="I325" s="118">
        <f>(VLOOKUP($A325,Hitters!$A1:$R401,7,FALSE)-AVERAGE(Rankings!P2:P651))/STDEV(Rankings!P2:P651)</f>
        <v>-0.833398221961275</v>
      </c>
      <c r="J325" s="118">
        <f>(VLOOKUP($A325,Hitters!$A1:$R401,8,FALSE)-AVERAGE(Rankings!Q2:Q651))/STDEV(Rankings!Q2:Q651)</f>
        <v>0.3254140248245786</v>
      </c>
      <c r="K325" s="157">
        <f>(VLOOKUP($A325,Hitters!$A$1:$R$401,14,FALSE)-AVERAGE(Rankings!R$2:R$651))/STDEV(Rankings!R$2:R$651)</f>
        <v>0.33981436700805956</v>
      </c>
      <c r="L325" s="157">
        <f>(VLOOKUP($A325,Hitters!$A$1:$R$401,15,FALSE)-AVERAGE(Rankings!S$2:S$651))/STDEV(Rankings!S$2:S$651)</f>
        <v>-0.23509604081795807</v>
      </c>
      <c r="M325" s="157">
        <f>(VLOOKUP($A325,Hitters!$A$1:$R$401,9,FALSE)-AVERAGE(Rankings!T$2:T$651))/STDEV(Rankings!T$2:T$651)</f>
        <v>-0.4875381281482053</v>
      </c>
      <c r="N325" s="157">
        <f>(VLOOKUP($A325,Hitters!$A$1:$R$401,10,FALSE)-AVERAGE(Rankings!U$2:U$651))/STDEV(Rankings!U$2:U$651)</f>
        <v>-0.61070073585236451</v>
      </c>
      <c r="O325" s="157">
        <f>(VLOOKUP($A325,Hitters!$A$1:$R$401,11,FALSE)-AVERAGE(Rankings!V$2:V$651))/STDEV(Rankings!V$2:V$651)</f>
        <v>0.32582317194437932</v>
      </c>
      <c r="P325" s="157">
        <f>(VLOOKUP($A325,Hitters!$A$1:$R$401,12,FALSE)-AVERAGE(Rankings!W$2:W$651))/STDEV(Rankings!W$2:W$651)</f>
        <v>-0.75287361474297776</v>
      </c>
      <c r="Q325" s="157">
        <f>(VLOOKUP($A325,Hitters!$A$1:$R$401,13,FALSE)-AVERAGE(Rankings!X$2:X$651))/STDEV(Rankings!X$2:X$651)</f>
        <v>-0.74668676948872947</v>
      </c>
      <c r="R325" s="118">
        <f>(VLOOKUP($A325,Hitters!$A1:$R401,16,FALSE)-AVERAGE(Rankings!Y2:Y651))/STDEV(Rankings!Y2:Y651)</f>
        <v>-0.59956426064834123</v>
      </c>
      <c r="S325" s="118">
        <f>(VLOOKUP($A325,Hitters!$A1:$R401,17,FALSE)-AVERAGE(Rankings!Z2:Z651))/STDEV(Rankings!Z2:Z651)</f>
        <v>-0.52682120820918088</v>
      </c>
      <c r="T325" s="118">
        <f>IFERROR((VLOOKUP($A325,Hitters!$A1:$R401,18,FALSE)-AVERAGE(Rankings!AA2:AA651))/STDEV(Rankings!AA2:AA651),0)</f>
        <v>0</v>
      </c>
      <c r="U325" s="67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</row>
    <row r="326" spans="1:37" ht="18.600000000000001" customHeight="1">
      <c r="A326" s="26" t="s">
        <v>438</v>
      </c>
      <c r="B326" s="27" t="s">
        <v>86</v>
      </c>
      <c r="C326" s="123" t="s">
        <v>23</v>
      </c>
      <c r="D326" s="67">
        <f>(F326*Settings!$C$2)+(G326*Settings!$C$3)+(H326*Settings!$C$4)+(I326*Settings!$C$5)+(J326*Settings!$C$6)+(M326*Settings!$C$9)+(N326*Settings!$C$10)+(O326*Settings!$C$11)+(P326*Settings!$C$12)+(Q326*Settings!$C$13)+(T326*Settings!$C$16)+(K326*Settings!$C$7)+(L326*Settings!$C$8)+(R326*Settings!$C$14)+(S326*Settings!$C$15)</f>
        <v>-3.4761686149205087</v>
      </c>
      <c r="E326" s="67"/>
      <c r="F326" s="118">
        <f>(VLOOKUP($A326,Hitters!$A1:$R401,4,FALSE)-AVERAGE(Rankings!M2:M651))/STDEV(Rankings!M2:M651)</f>
        <v>-1.4170656677321443</v>
      </c>
      <c r="G326" s="118">
        <f>(VLOOKUP($A326,Hitters!$A1:$R401,5,FALSE)-AVERAGE(Rankings!N2:N651))/STDEV(Rankings!N2:N651)</f>
        <v>-1.263678677019582</v>
      </c>
      <c r="H326" s="118">
        <f>(VLOOKUP($A326,Hitters!$A1:$R401,6,FALSE)-AVERAGE(Rankings!O2:O651))/STDEV(Rankings!O2:O651)</f>
        <v>-1.2379389534511294</v>
      </c>
      <c r="I326" s="118">
        <f>(VLOOKUP($A326,Hitters!$A1:$R401,7,FALSE)-AVERAGE(Rankings!P2:P651))/STDEV(Rankings!P2:P651)</f>
        <v>-1.4544790510675321</v>
      </c>
      <c r="J326" s="118">
        <f>(VLOOKUP($A326,Hitters!$A1:$R401,8,FALSE)-AVERAGE(Rankings!Q2:Q651))/STDEV(Rankings!Q2:Q651)</f>
        <v>1.0338902601245377</v>
      </c>
      <c r="K326" s="157">
        <f>(VLOOKUP($A326,Hitters!$A$1:$R$401,14,FALSE)-AVERAGE(Rankings!R$2:R$651))/STDEV(Rankings!R$2:R$651)</f>
        <v>-0.55396219350680276</v>
      </c>
      <c r="L326" s="157">
        <f>(VLOOKUP($A326,Hitters!$A$1:$R$401,15,FALSE)-AVERAGE(Rankings!S$2:S$651))/STDEV(Rankings!S$2:S$651)</f>
        <v>-1.5598074987784076</v>
      </c>
      <c r="M326" s="157">
        <f>(VLOOKUP($A326,Hitters!$A$1:$R$401,9,FALSE)-AVERAGE(Rankings!T$2:T$651))/STDEV(Rankings!T$2:T$651)</f>
        <v>-1.332798109185813</v>
      </c>
      <c r="N326" s="157">
        <f>(VLOOKUP($A326,Hitters!$A$1:$R$401,10,FALSE)-AVERAGE(Rankings!U$2:U$651))/STDEV(Rankings!U$2:U$651)</f>
        <v>-1.484069338243619</v>
      </c>
      <c r="O326" s="157">
        <f>(VLOOKUP($A326,Hitters!$A$1:$R$401,11,FALSE)-AVERAGE(Rankings!V$2:V$651))/STDEV(Rankings!V$2:V$651)</f>
        <v>-0.2278483089593081</v>
      </c>
      <c r="P326" s="157">
        <f>(VLOOKUP($A326,Hitters!$A$1:$R$401,12,FALSE)-AVERAGE(Rankings!W$2:W$651))/STDEV(Rankings!W$2:W$651)</f>
        <v>-1.455394133782264</v>
      </c>
      <c r="Q326" s="157">
        <f>(VLOOKUP($A326,Hitters!$A$1:$R$401,13,FALSE)-AVERAGE(Rankings!X$2:X$651))/STDEV(Rankings!X$2:X$651)</f>
        <v>-0.99071230255170928</v>
      </c>
      <c r="R326" s="118">
        <f>(VLOOKUP($A326,Hitters!$A1:$R401,16,FALSE)-AVERAGE(Rankings!Y2:Y651))/STDEV(Rankings!Y2:Y651)</f>
        <v>-1.3652057643070066</v>
      </c>
      <c r="S326" s="118">
        <f>(VLOOKUP($A326,Hitters!$A1:$R401,17,FALSE)-AVERAGE(Rankings!Z2:Z651))/STDEV(Rankings!Z2:Z651)</f>
        <v>-1.585224994936278</v>
      </c>
      <c r="T326" s="118">
        <f>IFERROR((VLOOKUP($A326,Hitters!$A1:$R401,18,FALSE)-AVERAGE(Rankings!AA2:AA651))/STDEV(Rankings!AA2:AA651),0)</f>
        <v>0</v>
      </c>
      <c r="U326" s="67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</row>
    <row r="327" spans="1:37" ht="18.600000000000001" customHeight="1">
      <c r="A327" s="26" t="s">
        <v>482</v>
      </c>
      <c r="B327" s="27" t="s">
        <v>94</v>
      </c>
      <c r="C327" s="123" t="s">
        <v>23</v>
      </c>
      <c r="D327" s="67">
        <f>(F327*Settings!$C$2)+(G327*Settings!$C$3)+(H327*Settings!$C$4)+(I327*Settings!$C$5)+(J327*Settings!$C$6)+(M327*Settings!$C$9)+(N327*Settings!$C$10)+(O327*Settings!$C$11)+(P327*Settings!$C$12)+(Q327*Settings!$C$13)+(T327*Settings!$C$16)+(K327*Settings!$C$7)+(L327*Settings!$C$8)+(R327*Settings!$C$14)+(S327*Settings!$C$15)</f>
        <v>-1.7981430905521725</v>
      </c>
      <c r="E327" s="67"/>
      <c r="F327" s="118">
        <f>(VLOOKUP($A327,Hitters!$A1:$R401,4,FALSE)-AVERAGE(Rankings!M2:M651))/STDEV(Rankings!M2:M651)</f>
        <v>-0.27247492345762719</v>
      </c>
      <c r="G327" s="118">
        <f>(VLOOKUP($A327,Hitters!$A1:$R401,5,FALSE)-AVERAGE(Rankings!N2:N651))/STDEV(Rankings!N2:N651)</f>
        <v>-0.3424608882225389</v>
      </c>
      <c r="H327" s="118">
        <f>(VLOOKUP($A327,Hitters!$A1:$R401,6,FALSE)-AVERAGE(Rankings!O2:O651))/STDEV(Rankings!O2:O651)</f>
        <v>-0.74378183532449649</v>
      </c>
      <c r="I327" s="118">
        <f>(VLOOKUP($A327,Hitters!$A1:$R401,7,FALSE)-AVERAGE(Rankings!P2:P651))/STDEV(Rankings!P2:P651)</f>
        <v>-0.57561989898823318</v>
      </c>
      <c r="J327" s="118">
        <f>(VLOOKUP($A327,Hitters!$A1:$R401,8,FALSE)-AVERAGE(Rankings!Q2:Q651))/STDEV(Rankings!Q2:Q651)</f>
        <v>0.57408554045635485</v>
      </c>
      <c r="K327" s="157">
        <f>(VLOOKUP($A327,Hitters!$A$1:$R$401,14,FALSE)-AVERAGE(Rankings!R$2:R$651))/STDEV(Rankings!R$2:R$651)</f>
        <v>-0.71036600847325915</v>
      </c>
      <c r="L327" s="157">
        <f>(VLOOKUP($A327,Hitters!$A$1:$R$401,15,FALSE)-AVERAGE(Rankings!S$2:S$651))/STDEV(Rankings!S$2:S$651)</f>
        <v>-0.9363395404575926</v>
      </c>
      <c r="M327" s="157">
        <f>(VLOOKUP($A327,Hitters!$A$1:$R$401,9,FALSE)-AVERAGE(Rankings!T$2:T$651))/STDEV(Rankings!T$2:T$651)</f>
        <v>-0.40156831648267516</v>
      </c>
      <c r="N327" s="157">
        <f>(VLOOKUP($A327,Hitters!$A$1:$R$401,10,FALSE)-AVERAGE(Rankings!U$2:U$651))/STDEV(Rankings!U$2:U$651)</f>
        <v>-0.34420067619676392</v>
      </c>
      <c r="O327" s="157">
        <f>(VLOOKUP($A327,Hitters!$A$1:$R$401,11,FALSE)-AVERAGE(Rankings!V$2:V$651))/STDEV(Rankings!V$2:V$651)</f>
        <v>1.1656297850980348</v>
      </c>
      <c r="P327" s="157">
        <f>(VLOOKUP($A327,Hitters!$A$1:$R$401,12,FALSE)-AVERAGE(Rankings!W$2:W$651))/STDEV(Rankings!W$2:W$651)</f>
        <v>-0.50947333220351187</v>
      </c>
      <c r="Q327" s="157">
        <f>(VLOOKUP($A327,Hitters!$A$1:$R$401,13,FALSE)-AVERAGE(Rankings!X$2:X$651))/STDEV(Rankings!X$2:X$651)</f>
        <v>7.7029912225415248E-2</v>
      </c>
      <c r="R327" s="118">
        <f>(VLOOKUP($A327,Hitters!$A1:$R401,16,FALSE)-AVERAGE(Rankings!Y2:Y651))/STDEV(Rankings!Y2:Y651)</f>
        <v>-0.97715969680399706</v>
      </c>
      <c r="S327" s="118">
        <f>(VLOOKUP($A327,Hitters!$A1:$R401,17,FALSE)-AVERAGE(Rankings!Z2:Z651))/STDEV(Rankings!Z2:Z651)</f>
        <v>-1.0668409884046732</v>
      </c>
      <c r="T327" s="118">
        <f>IFERROR((VLOOKUP($A327,Hitters!$A1:$R401,18,FALSE)-AVERAGE(Rankings!AA2:AA651))/STDEV(Rankings!AA2:AA651),0)</f>
        <v>0</v>
      </c>
      <c r="U327" s="67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</row>
    <row r="328" spans="1:37" ht="18.600000000000001" customHeight="1">
      <c r="A328" s="26" t="s">
        <v>498</v>
      </c>
      <c r="B328" s="27" t="s">
        <v>156</v>
      </c>
      <c r="C328" s="123" t="s">
        <v>23</v>
      </c>
      <c r="D328" s="67">
        <f>(F328*Settings!$C$2)+(G328*Settings!$C$3)+(H328*Settings!$C$4)+(I328*Settings!$C$5)+(J328*Settings!$C$6)+(M328*Settings!$C$9)+(N328*Settings!$C$10)+(O328*Settings!$C$11)+(P328*Settings!$C$12)+(Q328*Settings!$C$13)+(T328*Settings!$C$16)+(K328*Settings!$C$7)+(L328*Settings!$C$8)+(R328*Settings!$C$14)+(S328*Settings!$C$15)</f>
        <v>-2.9955226700898669</v>
      </c>
      <c r="E328" s="67"/>
      <c r="F328" s="118">
        <f>(VLOOKUP($A328,Hitters!$A1:$R401,4,FALSE)-AVERAGE(Rankings!M2:M651))/STDEV(Rankings!M2:M651)</f>
        <v>-0.58762392147519193</v>
      </c>
      <c r="G328" s="118">
        <f>(VLOOKUP($A328,Hitters!$A1:$R401,5,FALSE)-AVERAGE(Rankings!N2:N651))/STDEV(Rankings!N2:N651)</f>
        <v>-0.68907123647905066</v>
      </c>
      <c r="H328" s="118">
        <f>(VLOOKUP($A328,Hitters!$A1:$R401,6,FALSE)-AVERAGE(Rankings!O2:O651))/STDEV(Rankings!O2:O651)</f>
        <v>-0.72817834019334815</v>
      </c>
      <c r="I328" s="118">
        <f>(VLOOKUP($A328,Hitters!$A1:$R401,7,FALSE)-AVERAGE(Rankings!P2:P651))/STDEV(Rankings!P2:P651)</f>
        <v>-0.80295757481714425</v>
      </c>
      <c r="J328" s="118">
        <f>(VLOOKUP($A328,Hitters!$A1:$R401,8,FALSE)-AVERAGE(Rankings!Q2:Q651))/STDEV(Rankings!Q2:Q651)</f>
        <v>-0.14389406486774842</v>
      </c>
      <c r="K328" s="157">
        <f>(VLOOKUP($A328,Hitters!$A$1:$R$401,14,FALSE)-AVERAGE(Rankings!R$2:R$651))/STDEV(Rankings!R$2:R$651)</f>
        <v>-0.63142145373257541</v>
      </c>
      <c r="L328" s="157">
        <f>(VLOOKUP($A328,Hitters!$A$1:$R$401,15,FALSE)-AVERAGE(Rankings!S$2:S$651))/STDEV(Rankings!S$2:S$651)</f>
        <v>-0.83981730684073552</v>
      </c>
      <c r="M328" s="157">
        <f>(VLOOKUP($A328,Hitters!$A$1:$R$401,9,FALSE)-AVERAGE(Rankings!T$2:T$651))/STDEV(Rankings!T$2:T$651)</f>
        <v>-0.64986231261353922</v>
      </c>
      <c r="N328" s="157">
        <f>(VLOOKUP($A328,Hitters!$A$1:$R$401,10,FALSE)-AVERAGE(Rankings!U$2:U$651))/STDEV(Rankings!U$2:U$651)</f>
        <v>-0.75155275877044803</v>
      </c>
      <c r="O328" s="157">
        <f>(VLOOKUP($A328,Hitters!$A$1:$R$401,11,FALSE)-AVERAGE(Rankings!V$2:V$651))/STDEV(Rankings!V$2:V$651)</f>
        <v>-0.51684479253177551</v>
      </c>
      <c r="P328" s="157">
        <f>(VLOOKUP($A328,Hitters!$A$1:$R$401,12,FALSE)-AVERAGE(Rankings!W$2:W$651))/STDEV(Rankings!W$2:W$651)</f>
        <v>-0.66914839616436261</v>
      </c>
      <c r="Q328" s="157">
        <f>(VLOOKUP($A328,Hitters!$A$1:$R$401,13,FALSE)-AVERAGE(Rankings!X$2:X$651))/STDEV(Rankings!X$2:X$651)</f>
        <v>-0.12080383057800873</v>
      </c>
      <c r="R328" s="118">
        <f>(VLOOKUP($A328,Hitters!$A1:$R401,16,FALSE)-AVERAGE(Rankings!Y2:Y651))/STDEV(Rankings!Y2:Y651)</f>
        <v>-1.0324160836853864</v>
      </c>
      <c r="S328" s="118">
        <f>(VLOOKUP($A328,Hitters!$A1:$R401,17,FALSE)-AVERAGE(Rankings!Z2:Z651))/STDEV(Rankings!Z2:Z651)</f>
        <v>-1.0709059055878907</v>
      </c>
      <c r="T328" s="118">
        <f>IFERROR((VLOOKUP($A328,Hitters!$A1:$R401,18,FALSE)-AVERAGE(Rankings!AA2:AA651))/STDEV(Rankings!AA2:AA651),0)</f>
        <v>0</v>
      </c>
      <c r="U328" s="67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</row>
    <row r="329" spans="1:37" ht="18.600000000000001" customHeight="1">
      <c r="A329" s="26" t="s">
        <v>489</v>
      </c>
      <c r="B329" s="27" t="s">
        <v>76</v>
      </c>
      <c r="C329" s="123" t="s">
        <v>23</v>
      </c>
      <c r="D329" s="67">
        <f>(F329*Settings!$C$2)+(G329*Settings!$C$3)+(H329*Settings!$C$4)+(I329*Settings!$C$5)+(J329*Settings!$C$6)+(M329*Settings!$C$9)+(N329*Settings!$C$10)+(O329*Settings!$C$11)+(P329*Settings!$C$12)+(Q329*Settings!$C$13)+(T329*Settings!$C$16)+(K329*Settings!$C$7)+(L329*Settings!$C$8)+(R329*Settings!$C$14)+(S329*Settings!$C$15)</f>
        <v>-1.7588571403981619</v>
      </c>
      <c r="E329" s="67"/>
      <c r="F329" s="118">
        <f>(VLOOKUP($A329,Hitters!$A1:$R401,4,FALSE)-AVERAGE(Rankings!M2:M651))/STDEV(Rankings!M2:M651)</f>
        <v>-0.73032811923703278</v>
      </c>
      <c r="G329" s="118">
        <f>(VLOOKUP($A329,Hitters!$A1:$R401,5,FALSE)-AVERAGE(Rankings!N2:N651))/STDEV(Rankings!N2:N651)</f>
        <v>-0.80418542675590221</v>
      </c>
      <c r="H329" s="118">
        <f>(VLOOKUP($A329,Hitters!$A1:$R401,6,FALSE)-AVERAGE(Rankings!O2:O651))/STDEV(Rankings!O2:O651)</f>
        <v>-1.1203554722842624</v>
      </c>
      <c r="I329" s="118">
        <f>(VLOOKUP($A329,Hitters!$A1:$R401,7,FALSE)-AVERAGE(Rankings!P2:P651))/STDEV(Rankings!P2:P651)</f>
        <v>-0.77287325631851311</v>
      </c>
      <c r="J329" s="118">
        <f>(VLOOKUP($A329,Hitters!$A1:$R401,8,FALSE)-AVERAGE(Rankings!Q2:Q651))/STDEV(Rankings!Q2:Q651)</f>
        <v>-9.0516803232137719E-2</v>
      </c>
      <c r="K329" s="157">
        <f>(VLOOKUP($A329,Hitters!$A$1:$R$401,14,FALSE)-AVERAGE(Rankings!R$2:R$651))/STDEV(Rankings!R$2:R$651)</f>
        <v>1.0290738181926535</v>
      </c>
      <c r="L329" s="157">
        <f>(VLOOKUP($A329,Hitters!$A$1:$R$401,15,FALSE)-AVERAGE(Rankings!S$2:S$651))/STDEV(Rankings!S$2:S$651)</f>
        <v>0.28107693063960293</v>
      </c>
      <c r="M329" s="157">
        <f>(VLOOKUP($A329,Hitters!$A$1:$R$401,9,FALSE)-AVERAGE(Rankings!T$2:T$651))/STDEV(Rankings!T$2:T$651)</f>
        <v>-0.52183618889978489</v>
      </c>
      <c r="N329" s="157">
        <f>(VLOOKUP($A329,Hitters!$A$1:$R$401,10,FALSE)-AVERAGE(Rankings!U$2:U$651))/STDEV(Rankings!U$2:U$651)</f>
        <v>-0.41333578316877628</v>
      </c>
      <c r="O329" s="157">
        <f>(VLOOKUP($A329,Hitters!$A$1:$R$401,11,FALSE)-AVERAGE(Rankings!V$2:V$651))/STDEV(Rankings!V$2:V$651)</f>
        <v>-0.54831965707927199</v>
      </c>
      <c r="P329" s="157">
        <f>(VLOOKUP($A329,Hitters!$A$1:$R$401,12,FALSE)-AVERAGE(Rankings!W$2:W$651))/STDEV(Rankings!W$2:W$651)</f>
        <v>-0.84592928115724841</v>
      </c>
      <c r="Q329" s="157">
        <f>(VLOOKUP($A329,Hitters!$A$1:$R$401,13,FALSE)-AVERAGE(Rankings!X$2:X$651))/STDEV(Rankings!X$2:X$651)</f>
        <v>-1.3435574675309492</v>
      </c>
      <c r="R329" s="118">
        <f>(VLOOKUP($A329,Hitters!$A1:$R401,16,FALSE)-AVERAGE(Rankings!Y2:Y651))/STDEV(Rankings!Y2:Y651)</f>
        <v>-0.64940097933674557</v>
      </c>
      <c r="S329" s="118">
        <f>(VLOOKUP($A329,Hitters!$A1:$R401,17,FALSE)-AVERAGE(Rankings!Z2:Z651))/STDEV(Rankings!Z2:Z651)</f>
        <v>-0.36895934378385215</v>
      </c>
      <c r="T329" s="118">
        <f>IFERROR((VLOOKUP($A329,Hitters!$A1:$R401,18,FALSE)-AVERAGE(Rankings!AA2:AA651))/STDEV(Rankings!AA2:AA651),0)</f>
        <v>0</v>
      </c>
      <c r="U329" s="67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</row>
    <row r="330" spans="1:37" ht="18.600000000000001" customHeight="1">
      <c r="A330" s="26" t="s">
        <v>504</v>
      </c>
      <c r="B330" s="27" t="s">
        <v>176</v>
      </c>
      <c r="C330" s="123" t="s">
        <v>23</v>
      </c>
      <c r="D330" s="67">
        <f>(F330*Settings!$C$2)+(G330*Settings!$C$3)+(H330*Settings!$C$4)+(I330*Settings!$C$5)+(J330*Settings!$C$6)+(M330*Settings!$C$9)+(N330*Settings!$C$10)+(O330*Settings!$C$11)+(P330*Settings!$C$12)+(Q330*Settings!$C$13)+(T330*Settings!$C$16)+(K330*Settings!$C$7)+(L330*Settings!$C$8)+(R330*Settings!$C$14)+(S330*Settings!$C$15)</f>
        <v>-4.7484295344538801</v>
      </c>
      <c r="E330" s="67"/>
      <c r="F330" s="118">
        <f>(VLOOKUP($A330,Hitters!$A1:$R401,4,FALSE)-AVERAGE(Rankings!M2:M651))/STDEV(Rankings!M2:M651)</f>
        <v>-1.9922337117011981</v>
      </c>
      <c r="G330" s="118">
        <f>(VLOOKUP($A330,Hitters!$A1:$R401,5,FALSE)-AVERAGE(Rankings!N2:N651))/STDEV(Rankings!N2:N651)</f>
        <v>-1.5756787015474805</v>
      </c>
      <c r="H330" s="118">
        <f>(VLOOKUP($A330,Hitters!$A1:$R401,6,FALSE)-AVERAGE(Rankings!O2:O651))/STDEV(Rankings!O2:O651)</f>
        <v>-1.1104639709064805</v>
      </c>
      <c r="I330" s="118">
        <f>(VLOOKUP($A330,Hitters!$A1:$R401,7,FALSE)-AVERAGE(Rankings!P2:P651))/STDEV(Rankings!P2:P651)</f>
        <v>-1.5458773486382464</v>
      </c>
      <c r="J330" s="118">
        <f>(VLOOKUP($A330,Hitters!$A1:$R401,8,FALSE)-AVERAGE(Rankings!Q2:Q651))/STDEV(Rankings!Q2:Q651)</f>
        <v>-0.6506612714052441</v>
      </c>
      <c r="K330" s="157">
        <f>(VLOOKUP($A330,Hitters!$A$1:$R$401,14,FALSE)-AVERAGE(Rankings!R$2:R$651))/STDEV(Rankings!R$2:R$651)</f>
        <v>0.13425175804357209</v>
      </c>
      <c r="L330" s="157">
        <f>(VLOOKUP($A330,Hitters!$A$1:$R$401,15,FALSE)-AVERAGE(Rankings!S$2:S$651))/STDEV(Rankings!S$2:S$651)</f>
        <v>0.68763370377453603</v>
      </c>
      <c r="M330" s="157">
        <f>(VLOOKUP($A330,Hitters!$A$1:$R$401,9,FALSE)-AVERAGE(Rankings!T$2:T$651))/STDEV(Rankings!T$2:T$651)</f>
        <v>-1.7715436950621271</v>
      </c>
      <c r="N330" s="157">
        <f>(VLOOKUP($A330,Hitters!$A$1:$R$401,10,FALSE)-AVERAGE(Rankings!U$2:U$651))/STDEV(Rankings!U$2:U$651)</f>
        <v>-1.5432357938991277</v>
      </c>
      <c r="O330" s="157">
        <f>(VLOOKUP($A330,Hitters!$A$1:$R$401,11,FALSE)-AVERAGE(Rankings!V$2:V$651))/STDEV(Rankings!V$2:V$651)</f>
        <v>-0.84208505952257218</v>
      </c>
      <c r="P330" s="157">
        <f>(VLOOKUP($A330,Hitters!$A$1:$R$401,12,FALSE)-AVERAGE(Rankings!W$2:W$651))/STDEV(Rankings!W$2:W$651)</f>
        <v>-1.2512439351381222</v>
      </c>
      <c r="Q330" s="157">
        <f>(VLOOKUP($A330,Hitters!$A$1:$R$401,13,FALSE)-AVERAGE(Rankings!X$2:X$651))/STDEV(Rankings!X$2:X$651)</f>
        <v>-1.8019951667507816</v>
      </c>
      <c r="R330" s="118">
        <f>(VLOOKUP($A330,Hitters!$A1:$R401,16,FALSE)-AVERAGE(Rankings!Y2:Y651))/STDEV(Rankings!Y2:Y651)</f>
        <v>0.7959857274004889</v>
      </c>
      <c r="S330" s="118">
        <f>(VLOOKUP($A330,Hitters!$A1:$R401,17,FALSE)-AVERAGE(Rankings!Z2:Z651))/STDEV(Rankings!Z2:Z651)</f>
        <v>0.84079251267710087</v>
      </c>
      <c r="T330" s="118">
        <f>IFERROR((VLOOKUP($A330,Hitters!$A1:$R401,18,FALSE)-AVERAGE(Rankings!AA2:AA651))/STDEV(Rankings!AA2:AA651),0)</f>
        <v>0</v>
      </c>
      <c r="U330" s="67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</row>
    <row r="331" spans="1:37" ht="18.600000000000001" customHeight="1">
      <c r="A331" s="26" t="s">
        <v>542</v>
      </c>
      <c r="B331" s="27" t="s">
        <v>258</v>
      </c>
      <c r="C331" s="123" t="s">
        <v>23</v>
      </c>
      <c r="D331" s="67">
        <f>(F331*Settings!$C$2)+(G331*Settings!$C$3)+(H331*Settings!$C$4)+(I331*Settings!$C$5)+(J331*Settings!$C$6)+(M331*Settings!$C$9)+(N331*Settings!$C$10)+(O331*Settings!$C$11)+(P331*Settings!$C$12)+(Q331*Settings!$C$13)+(T331*Settings!$C$16)+(K331*Settings!$C$7)+(L331*Settings!$C$8)+(R331*Settings!$C$14)+(S331*Settings!$C$15)</f>
        <v>-3.8953787664658406</v>
      </c>
      <c r="E331" s="67"/>
      <c r="F331" s="118">
        <f>(VLOOKUP($A331,Hitters!$A1:$R401,4,FALSE)-AVERAGE(Rankings!M2:M651))/STDEV(Rankings!M2:M651)</f>
        <v>-0.29258362628019569</v>
      </c>
      <c r="G331" s="118">
        <f>(VLOOKUP($A331,Hitters!$A1:$R401,5,FALSE)-AVERAGE(Rankings!N2:N651))/STDEV(Rankings!N2:N651)</f>
        <v>-0.60200028286435692</v>
      </c>
      <c r="H331" s="118">
        <f>(VLOOKUP($A331,Hitters!$A1:$R401,6,FALSE)-AVERAGE(Rankings!O2:O651))/STDEV(Rankings!O2:O651)</f>
        <v>-0.71487357425562803</v>
      </c>
      <c r="I331" s="118">
        <f>(VLOOKUP($A331,Hitters!$A1:$R401,7,FALSE)-AVERAGE(Rankings!P2:P651))/STDEV(Rankings!P2:P651)</f>
        <v>-0.64484946439963431</v>
      </c>
      <c r="J331" s="118">
        <f>(VLOOKUP($A331,Hitters!$A1:$R401,8,FALSE)-AVERAGE(Rankings!Q2:Q651))/STDEV(Rankings!Q2:Q651)</f>
        <v>-0.536858415366116</v>
      </c>
      <c r="K331" s="157">
        <f>(VLOOKUP($A331,Hitters!$A$1:$R$401,14,FALSE)-AVERAGE(Rankings!R$2:R$651))/STDEV(Rankings!R$2:R$651)</f>
        <v>-1.3967970295801053</v>
      </c>
      <c r="L331" s="157">
        <f>(VLOOKUP($A331,Hitters!$A$1:$R$401,15,FALSE)-AVERAGE(Rankings!S$2:S$651))/STDEV(Rankings!S$2:S$651)</f>
        <v>-0.68666503016113711</v>
      </c>
      <c r="M331" s="157">
        <f>(VLOOKUP($A331,Hitters!$A$1:$R$401,9,FALSE)-AVERAGE(Rankings!T$2:T$651))/STDEV(Rankings!T$2:T$651)</f>
        <v>-0.54067765633449516</v>
      </c>
      <c r="N331" s="157">
        <f>(VLOOKUP($A331,Hitters!$A$1:$R$401,10,FALSE)-AVERAGE(Rankings!U$2:U$651))/STDEV(Rankings!U$2:U$651)</f>
        <v>-0.38178034015250556</v>
      </c>
      <c r="O331" s="157">
        <f>(VLOOKUP($A331,Hitters!$A$1:$R$401,11,FALSE)-AVERAGE(Rankings!V$2:V$651))/STDEV(Rankings!V$2:V$651)</f>
        <v>0.88140222039640026</v>
      </c>
      <c r="P331" s="157">
        <f>(VLOOKUP($A331,Hitters!$A$1:$R$401,12,FALSE)-AVERAGE(Rankings!W$2:W$651))/STDEV(Rankings!W$2:W$651)</f>
        <v>1.7883579467735763E-2</v>
      </c>
      <c r="Q331" s="157">
        <f>(VLOOKUP($A331,Hitters!$A$1:$R$401,13,FALSE)-AVERAGE(Rankings!X$2:X$651))/STDEV(Rankings!X$2:X$651)</f>
        <v>0.27668285224796579</v>
      </c>
      <c r="R331" s="118">
        <f>(VLOOKUP($A331,Hitters!$A1:$R401,16,FALSE)-AVERAGE(Rankings!Y2:Y651))/STDEV(Rankings!Y2:Y651)</f>
        <v>-1.2768277892997018</v>
      </c>
      <c r="S331" s="118">
        <f>(VLOOKUP($A331,Hitters!$A1:$R401,17,FALSE)-AVERAGE(Rankings!Z2:Z651))/STDEV(Rankings!Z2:Z651)</f>
        <v>-1.1919448660855008</v>
      </c>
      <c r="T331" s="118">
        <f>IFERROR((VLOOKUP($A331,Hitters!$A1:$R401,18,FALSE)-AVERAGE(Rankings!AA2:AA651))/STDEV(Rankings!AA2:AA651),0)</f>
        <v>0</v>
      </c>
      <c r="U331" s="67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</row>
    <row r="332" spans="1:37" ht="18.600000000000001" customHeight="1">
      <c r="A332" s="26" t="s">
        <v>514</v>
      </c>
      <c r="B332" s="27" t="s">
        <v>117</v>
      </c>
      <c r="C332" s="123" t="s">
        <v>23</v>
      </c>
      <c r="D332" s="67">
        <f>(F332*Settings!$C$2)+(G332*Settings!$C$3)+(H332*Settings!$C$4)+(I332*Settings!$C$5)+(J332*Settings!$C$6)+(M332*Settings!$C$9)+(N332*Settings!$C$10)+(O332*Settings!$C$11)+(P332*Settings!$C$12)+(Q332*Settings!$C$13)+(T332*Settings!$C$16)+(K332*Settings!$C$7)+(L332*Settings!$C$8)+(R332*Settings!$C$14)+(S332*Settings!$C$15)</f>
        <v>-3.0397664751984728</v>
      </c>
      <c r="E332" s="67"/>
      <c r="F332" s="118">
        <f>(VLOOKUP($A332,Hitters!$A1:$R401,4,FALSE)-AVERAGE(Rankings!M2:M651))/STDEV(Rankings!M2:M651)</f>
        <v>-1.0160744761526908</v>
      </c>
      <c r="G332" s="118">
        <f>(VLOOKUP($A332,Hitters!$A1:$R401,5,FALSE)-AVERAGE(Rankings!N2:N651))/STDEV(Rankings!N2:N651)</f>
        <v>-0.99308426322342314</v>
      </c>
      <c r="H332" s="118">
        <f>(VLOOKUP($A332,Hitters!$A1:$R401,6,FALSE)-AVERAGE(Rankings!O2:O651))/STDEV(Rankings!O2:O651)</f>
        <v>-1.1108819216689221</v>
      </c>
      <c r="I332" s="118">
        <f>(VLOOKUP($A332,Hitters!$A1:$R401,7,FALSE)-AVERAGE(Rankings!P2:P651))/STDEV(Rankings!P2:P651)</f>
        <v>-1.1214644798018052</v>
      </c>
      <c r="J332" s="118">
        <f>(VLOOKUP($A332,Hitters!$A1:$R401,8,FALSE)-AVERAGE(Rankings!Q2:Q651))/STDEV(Rankings!Q2:Q651)</f>
        <v>0.69145216025453726</v>
      </c>
      <c r="K332" s="157">
        <f>(VLOOKUP($A332,Hitters!$A$1:$R$401,14,FALSE)-AVERAGE(Rankings!R$2:R$651))/STDEV(Rankings!R$2:R$651)</f>
        <v>-0.5057879707588594</v>
      </c>
      <c r="L332" s="157">
        <f>(VLOOKUP($A332,Hitters!$A$1:$R$401,15,FALSE)-AVERAGE(Rankings!S$2:S$651))/STDEV(Rankings!S$2:S$651)</f>
        <v>-0.88135431176373213</v>
      </c>
      <c r="M332" s="157">
        <f>(VLOOKUP($A332,Hitters!$A$1:$R$401,9,FALSE)-AVERAGE(Rankings!T$2:T$651))/STDEV(Rankings!T$2:T$651)</f>
        <v>-0.99047650371066331</v>
      </c>
      <c r="N332" s="157">
        <f>(VLOOKUP($A332,Hitters!$A$1:$R$401,10,FALSE)-AVERAGE(Rankings!U$2:U$651))/STDEV(Rankings!U$2:U$651)</f>
        <v>-1.013606369637392</v>
      </c>
      <c r="O332" s="157">
        <f>(VLOOKUP($A332,Hitters!$A$1:$R$401,11,FALSE)-AVERAGE(Rankings!V$2:V$651))/STDEV(Rankings!V$2:V$651)</f>
        <v>0.69159924933725514</v>
      </c>
      <c r="P332" s="157">
        <f>(VLOOKUP($A332,Hitters!$A$1:$R$401,12,FALSE)-AVERAGE(Rankings!W$2:W$651))/STDEV(Rankings!W$2:W$651)</f>
        <v>-0.98893394498506126</v>
      </c>
      <c r="Q332" s="157">
        <f>(VLOOKUP($A332,Hitters!$A$1:$R$401,13,FALSE)-AVERAGE(Rankings!X$2:X$651))/STDEV(Rankings!X$2:X$651)</f>
        <v>-0.82366254051715315</v>
      </c>
      <c r="R332" s="118">
        <f>(VLOOKUP($A332,Hitters!$A1:$R401,16,FALSE)-AVERAGE(Rankings!Y2:Y651))/STDEV(Rankings!Y2:Y651)</f>
        <v>-1.0786165616987835</v>
      </c>
      <c r="S332" s="118">
        <f>(VLOOKUP($A332,Hitters!$A1:$R401,17,FALSE)-AVERAGE(Rankings!Z2:Z651))/STDEV(Rankings!Z2:Z651)</f>
        <v>-1.120318197468033</v>
      </c>
      <c r="T332" s="118">
        <f>IFERROR((VLOOKUP($A332,Hitters!$A1:$R401,18,FALSE)-AVERAGE(Rankings!AA2:AA651))/STDEV(Rankings!AA2:AA651),0)</f>
        <v>0</v>
      </c>
      <c r="U332" s="67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</row>
    <row r="333" spans="1:37" ht="18.600000000000001" customHeight="1">
      <c r="A333" s="26" t="s">
        <v>565</v>
      </c>
      <c r="B333" s="27" t="s">
        <v>134</v>
      </c>
      <c r="C333" s="123" t="s">
        <v>23</v>
      </c>
      <c r="D333" s="67">
        <f>(F333*Settings!$C$2)+(G333*Settings!$C$3)+(H333*Settings!$C$4)+(I333*Settings!$C$5)+(J333*Settings!$C$6)+(M333*Settings!$C$9)+(N333*Settings!$C$10)+(O333*Settings!$C$11)+(P333*Settings!$C$12)+(Q333*Settings!$C$13)+(T333*Settings!$C$16)+(K333*Settings!$C$7)+(L333*Settings!$C$8)+(R333*Settings!$C$14)+(S333*Settings!$C$15)</f>
        <v>-2.3379225215963588</v>
      </c>
      <c r="E333" s="67"/>
      <c r="F333" s="118">
        <f>(VLOOKUP($A333,Hitters!$A1:$R401,4,FALSE)-AVERAGE(Rankings!M2:M651))/STDEV(Rankings!M2:M651)</f>
        <v>-0.75592869467921042</v>
      </c>
      <c r="G333" s="118">
        <f>(VLOOKUP($A333,Hitters!$A1:$R401,5,FALSE)-AVERAGE(Rankings!N2:N651))/STDEV(Rankings!N2:N651)</f>
        <v>-0.71021776394400526</v>
      </c>
      <c r="H333" s="118">
        <f>(VLOOKUP($A333,Hitters!$A1:$R401,6,FALSE)-AVERAGE(Rankings!O2:O651))/STDEV(Rankings!O2:O651)</f>
        <v>-0.2522020802329194</v>
      </c>
      <c r="I333" s="118">
        <f>(VLOOKUP($A333,Hitters!$A1:$R401,7,FALSE)-AVERAGE(Rankings!P2:P651))/STDEV(Rankings!P2:P651)</f>
        <v>-0.49086458545148048</v>
      </c>
      <c r="J333" s="118">
        <f>(VLOOKUP($A333,Hitters!$A1:$R401,8,FALSE)-AVERAGE(Rankings!Q2:Q651))/STDEV(Rankings!Q2:Q651)</f>
        <v>-0.68574454574437682</v>
      </c>
      <c r="K333" s="157">
        <f>(VLOOKUP($A333,Hitters!$A$1:$R$401,14,FALSE)-AVERAGE(Rankings!R$2:R$651))/STDEV(Rankings!R$2:R$651)</f>
        <v>-0.19889354622357652</v>
      </c>
      <c r="L333" s="157">
        <f>(VLOOKUP($A333,Hitters!$A$1:$R$401,15,FALSE)-AVERAGE(Rankings!S$2:S$651))/STDEV(Rankings!S$2:S$651)</f>
        <v>-0.30329108810177163</v>
      </c>
      <c r="M333" s="157">
        <f>(VLOOKUP($A333,Hitters!$A$1:$R$401,9,FALSE)-AVERAGE(Rankings!T$2:T$651))/STDEV(Rankings!T$2:T$651)</f>
        <v>-0.72648627715724212</v>
      </c>
      <c r="N333" s="157">
        <f>(VLOOKUP($A333,Hitters!$A$1:$R$401,10,FALSE)-AVERAGE(Rankings!U$2:U$651))/STDEV(Rankings!U$2:U$651)</f>
        <v>-0.98771656298086052</v>
      </c>
      <c r="O333" s="157">
        <f>(VLOOKUP($A333,Hitters!$A$1:$R$401,11,FALSE)-AVERAGE(Rankings!V$2:V$651))/STDEV(Rankings!V$2:V$651)</f>
        <v>0.30722438834813154</v>
      </c>
      <c r="P333" s="157">
        <f>(VLOOKUP($A333,Hitters!$A$1:$R$401,12,FALSE)-AVERAGE(Rankings!W$2:W$651))/STDEV(Rankings!W$2:W$651)</f>
        <v>-0.64986547063734135</v>
      </c>
      <c r="Q333" s="157">
        <f>(VLOOKUP($A333,Hitters!$A$1:$R$401,13,FALSE)-AVERAGE(Rankings!X$2:X$651))/STDEV(Rankings!X$2:X$651)</f>
        <v>-0.42310695107804369</v>
      </c>
      <c r="R333" s="118">
        <f>(VLOOKUP($A333,Hitters!$A1:$R401,16,FALSE)-AVERAGE(Rankings!Y2:Y651))/STDEV(Rankings!Y2:Y651)</f>
        <v>0.33157082107830627</v>
      </c>
      <c r="S333" s="118">
        <f>(VLOOKUP($A333,Hitters!$A1:$R401,17,FALSE)-AVERAGE(Rankings!Z2:Z651))/STDEV(Rankings!Z2:Z651)</f>
        <v>0.12825785603955075</v>
      </c>
      <c r="T333" s="118">
        <f>IFERROR((VLOOKUP($A333,Hitters!$A1:$R401,18,FALSE)-AVERAGE(Rankings!AA2:AA651))/STDEV(Rankings!AA2:AA651),0)</f>
        <v>0</v>
      </c>
      <c r="U333" s="67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</row>
    <row r="334" spans="1:37" ht="18.600000000000001" customHeight="1">
      <c r="A334" s="26" t="s">
        <v>560</v>
      </c>
      <c r="B334" s="27" t="s">
        <v>137</v>
      </c>
      <c r="C334" s="123" t="s">
        <v>23</v>
      </c>
      <c r="D334" s="67">
        <f>(F334*Settings!$C$2)+(G334*Settings!$C$3)+(H334*Settings!$C$4)+(I334*Settings!$C$5)+(J334*Settings!$C$6)+(M334*Settings!$C$9)+(N334*Settings!$C$10)+(O334*Settings!$C$11)+(P334*Settings!$C$12)+(Q334*Settings!$C$13)+(T334*Settings!$C$16)+(K334*Settings!$C$7)+(L334*Settings!$C$8)+(R334*Settings!$C$14)+(S334*Settings!$C$15)</f>
        <v>-3.0063292710017757</v>
      </c>
      <c r="E334" s="67"/>
      <c r="F334" s="118">
        <f>(VLOOKUP($A334,Hitters!$A1:$R401,4,FALSE)-AVERAGE(Rankings!M2:M651))/STDEV(Rankings!M2:M651)</f>
        <v>-1.1934197165920655</v>
      </c>
      <c r="G334" s="118">
        <f>(VLOOKUP($A334,Hitters!$A1:$R401,5,FALSE)-AVERAGE(Rankings!N2:N651))/STDEV(Rankings!N2:N651)</f>
        <v>-1.1856089431291796</v>
      </c>
      <c r="H334" s="118">
        <f>(VLOOKUP($A334,Hitters!$A1:$R401,6,FALSE)-AVERAGE(Rankings!O2:O651))/STDEV(Rankings!O2:O651)</f>
        <v>-0.97400304696934026</v>
      </c>
      <c r="I334" s="118">
        <f>(VLOOKUP($A334,Hitters!$A1:$R401,7,FALSE)-AVERAGE(Rankings!P2:P651))/STDEV(Rankings!P2:P651)</f>
        <v>-1.0370400428644453</v>
      </c>
      <c r="J334" s="118">
        <f>(VLOOKUP($A334,Hitters!$A1:$R401,8,FALSE)-AVERAGE(Rankings!Q2:Q651))/STDEV(Rankings!Q2:Q651)</f>
        <v>-0.46479119268302155</v>
      </c>
      <c r="K334" s="157">
        <f>(VLOOKUP($A334,Hitters!$A$1:$R$401,14,FALSE)-AVERAGE(Rankings!R$2:R$651))/STDEV(Rankings!R$2:R$651)</f>
        <v>0.65511395464421085</v>
      </c>
      <c r="L334" s="157">
        <f>(VLOOKUP($A334,Hitters!$A$1:$R$401,15,FALSE)-AVERAGE(Rankings!S$2:S$651))/STDEV(Rankings!S$2:S$651)</f>
        <v>-0.10224702635382137</v>
      </c>
      <c r="M334" s="157">
        <f>(VLOOKUP($A334,Hitters!$A$1:$R$401,9,FALSE)-AVERAGE(Rankings!T$2:T$651))/STDEV(Rankings!T$2:T$651)</f>
        <v>-1.0036116125661807</v>
      </c>
      <c r="N334" s="157">
        <f>(VLOOKUP($A334,Hitters!$A$1:$R$401,10,FALSE)-AVERAGE(Rankings!U$2:U$651))/STDEV(Rankings!U$2:U$651)</f>
        <v>-0.85841096353009438</v>
      </c>
      <c r="O334" s="157">
        <f>(VLOOKUP($A334,Hitters!$A$1:$R$401,11,FALSE)-AVERAGE(Rankings!V$2:V$651))/STDEV(Rankings!V$2:V$651)</f>
        <v>-0.56262641369177036</v>
      </c>
      <c r="P334" s="157">
        <f>(VLOOKUP($A334,Hitters!$A$1:$R$401,12,FALSE)-AVERAGE(Rankings!W$2:W$651))/STDEV(Rankings!W$2:W$651)</f>
        <v>-1.1407714327639611</v>
      </c>
      <c r="Q334" s="157">
        <f>(VLOOKUP($A334,Hitters!$A$1:$R$401,13,FALSE)-AVERAGE(Rankings!X$2:X$651))/STDEV(Rankings!X$2:X$651)</f>
        <v>-1.3477020733693066</v>
      </c>
      <c r="R334" s="118">
        <f>(VLOOKUP($A334,Hitters!$A1:$R401,16,FALSE)-AVERAGE(Rankings!Y2:Y651))/STDEV(Rankings!Y2:Y651)</f>
        <v>-0.10453963377248814</v>
      </c>
      <c r="S334" s="118">
        <f>(VLOOKUP($A334,Hitters!$A1:$R401,17,FALSE)-AVERAGE(Rankings!Z2:Z651))/STDEV(Rankings!Z2:Z651)</f>
        <v>-0.11490388498569348</v>
      </c>
      <c r="T334" s="118">
        <f>IFERROR((VLOOKUP($A334,Hitters!$A1:$R401,18,FALSE)-AVERAGE(Rankings!AA2:AA651))/STDEV(Rankings!AA2:AA651),0)</f>
        <v>0</v>
      </c>
      <c r="U334" s="67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</row>
    <row r="335" spans="1:37" ht="18.600000000000001" customHeight="1">
      <c r="A335" s="26" t="s">
        <v>566</v>
      </c>
      <c r="B335" s="27" t="s">
        <v>68</v>
      </c>
      <c r="C335" s="123" t="s">
        <v>23</v>
      </c>
      <c r="D335" s="67">
        <f>(F335*Settings!$C$2)+(G335*Settings!$C$3)+(H335*Settings!$C$4)+(I335*Settings!$C$5)+(J335*Settings!$C$6)+(M335*Settings!$C$9)+(N335*Settings!$C$10)+(O335*Settings!$C$11)+(P335*Settings!$C$12)+(Q335*Settings!$C$13)+(T335*Settings!$C$16)+(K335*Settings!$C$7)+(L335*Settings!$C$8)+(R335*Settings!$C$14)+(S335*Settings!$C$15)</f>
        <v>-2.7723922973095205</v>
      </c>
      <c r="E335" s="67"/>
      <c r="F335" s="118">
        <f>(VLOOKUP($A335,Hitters!$A1:$R401,4,FALSE)-AVERAGE(Rankings!M2:M651))/STDEV(Rankings!M2:M651)</f>
        <v>-0.42641633750266839</v>
      </c>
      <c r="G335" s="118">
        <f>(VLOOKUP($A335,Hitters!$A1:$R401,5,FALSE)-AVERAGE(Rankings!N2:N651))/STDEV(Rankings!N2:N651)</f>
        <v>-0.37420603496849014</v>
      </c>
      <c r="H335" s="118">
        <f>(VLOOKUP($A335,Hitters!$A1:$R401,6,FALSE)-AVERAGE(Rankings!O2:O651))/STDEV(Rankings!O2:O651)</f>
        <v>-0.49719088548402829</v>
      </c>
      <c r="I335" s="118">
        <f>(VLOOKUP($A335,Hitters!$A1:$R401,7,FALSE)-AVERAGE(Rankings!P2:P651))/STDEV(Rankings!P2:P651)</f>
        <v>-0.61051465420111251</v>
      </c>
      <c r="J335" s="118">
        <f>(VLOOKUP($A335,Hitters!$A1:$R401,8,FALSE)-AVERAGE(Rankings!Q2:Q651))/STDEV(Rankings!Q2:Q651)</f>
        <v>9.764992324591984E-2</v>
      </c>
      <c r="K335" s="157">
        <f>(VLOOKUP($A335,Hitters!$A$1:$R$401,14,FALSE)-AVERAGE(Rankings!R$2:R$651))/STDEV(Rankings!R$2:R$651)</f>
        <v>-1.3881306459018092</v>
      </c>
      <c r="L335" s="157">
        <f>(VLOOKUP($A335,Hitters!$A$1:$R$401,15,FALSE)-AVERAGE(Rankings!S$2:S$651))/STDEV(Rankings!S$2:S$651)</f>
        <v>0.43045736267951379</v>
      </c>
      <c r="M335" s="157">
        <f>(VLOOKUP($A335,Hitters!$A$1:$R$401,9,FALSE)-AVERAGE(Rankings!T$2:T$651))/STDEV(Rankings!T$2:T$651)</f>
        <v>-0.6437216117802872</v>
      </c>
      <c r="N335" s="157">
        <f>(VLOOKUP($A335,Hitters!$A$1:$R$401,10,FALSE)-AVERAGE(Rankings!U$2:U$651))/STDEV(Rankings!U$2:U$651)</f>
        <v>-0.87705736167607262</v>
      </c>
      <c r="O335" s="157">
        <f>(VLOOKUP($A335,Hitters!$A$1:$R$401,11,FALSE)-AVERAGE(Rankings!V$2:V$651))/STDEV(Rankings!V$2:V$651)</f>
        <v>7.3547363677324618E-2</v>
      </c>
      <c r="P335" s="157">
        <f>(VLOOKUP($A335,Hitters!$A$1:$R$401,12,FALSE)-AVERAGE(Rankings!W$2:W$651))/STDEV(Rankings!W$2:W$651)</f>
        <v>0.68892938780807789</v>
      </c>
      <c r="Q335" s="157">
        <f>(VLOOKUP($A335,Hitters!$A$1:$R$401,13,FALSE)-AVERAGE(Rankings!X$2:X$651))/STDEV(Rankings!X$2:X$651)</f>
        <v>-9.1285378309402643E-2</v>
      </c>
      <c r="R335" s="118">
        <f>(VLOOKUP($A335,Hitters!$A1:$R401,16,FALSE)-AVERAGE(Rankings!Y2:Y651))/STDEV(Rankings!Y2:Y651)</f>
        <v>-1.1429344936979544</v>
      </c>
      <c r="S335" s="118">
        <f>(VLOOKUP($A335,Hitters!$A1:$R401,17,FALSE)-AVERAGE(Rankings!Z2:Z651))/STDEV(Rankings!Z2:Z651)</f>
        <v>-0.67355001251712432</v>
      </c>
      <c r="T335" s="118">
        <f>IFERROR((VLOOKUP($A335,Hitters!$A1:$R401,18,FALSE)-AVERAGE(Rankings!AA2:AA651))/STDEV(Rankings!AA2:AA651),0)</f>
        <v>0</v>
      </c>
      <c r="U335" s="67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</row>
    <row r="336" spans="1:37" ht="18.600000000000001" customHeight="1">
      <c r="A336" s="26" t="s">
        <v>604</v>
      </c>
      <c r="B336" s="27" t="s">
        <v>176</v>
      </c>
      <c r="C336" s="123" t="s">
        <v>23</v>
      </c>
      <c r="D336" s="67">
        <f>(F336*Settings!$C$2)+(G336*Settings!$C$3)+(H336*Settings!$C$4)+(I336*Settings!$C$5)+(J336*Settings!$C$6)+(M336*Settings!$C$9)+(N336*Settings!$C$10)+(O336*Settings!$C$11)+(P336*Settings!$C$12)+(Q336*Settings!$C$13)+(T336*Settings!$C$16)+(K336*Settings!$C$7)+(L336*Settings!$C$8)+(R336*Settings!$C$14)+(S336*Settings!$C$15)</f>
        <v>-1.1498134921467502</v>
      </c>
      <c r="E336" s="67"/>
      <c r="F336" s="118">
        <f>(VLOOKUP($A336,Hitters!$A1:$R401,4,FALSE)-AVERAGE(Rankings!M2:M651))/STDEV(Rankings!M2:M651)</f>
        <v>-0.67393081195104798</v>
      </c>
      <c r="G336" s="118">
        <f>(VLOOKUP($A336,Hitters!$A1:$R401,5,FALSE)-AVERAGE(Rankings!N2:N651))/STDEV(Rankings!N2:N651)</f>
        <v>-0.49811860058147989</v>
      </c>
      <c r="H336" s="118">
        <f>(VLOOKUP($A336,Hitters!$A1:$R401,6,FALSE)-AVERAGE(Rankings!O2:O651))/STDEV(Rankings!O2:O651)</f>
        <v>-0.27915990441039407</v>
      </c>
      <c r="I336" s="118">
        <f>(VLOOKUP($A336,Hitters!$A1:$R401,7,FALSE)-AVERAGE(Rankings!P2:P651))/STDEV(Rankings!P2:P651)</f>
        <v>-0.30921333238487286</v>
      </c>
      <c r="J336" s="118">
        <f>(VLOOKUP($A336,Hitters!$A1:$R401,8,FALSE)-AVERAGE(Rankings!Q2:Q651))/STDEV(Rankings!Q2:Q651)</f>
        <v>-0.54873762789629632</v>
      </c>
      <c r="K336" s="157">
        <f>(VLOOKUP($A336,Hitters!$A$1:$R$401,14,FALSE)-AVERAGE(Rankings!R$2:R$651))/STDEV(Rankings!R$2:R$651)</f>
        <v>0.48541597312629298</v>
      </c>
      <c r="L336" s="157">
        <f>(VLOOKUP($A336,Hitters!$A$1:$R$401,15,FALSE)-AVERAGE(Rankings!S$2:S$651))/STDEV(Rankings!S$2:S$651)</f>
        <v>0.70817762929865902</v>
      </c>
      <c r="M336" s="157">
        <f>(VLOOKUP($A336,Hitters!$A$1:$R$401,9,FALSE)-AVERAGE(Rankings!T$2:T$651))/STDEV(Rankings!T$2:T$651)</f>
        <v>-0.55141639413313348</v>
      </c>
      <c r="N336" s="157">
        <f>(VLOOKUP($A336,Hitters!$A$1:$R$401,10,FALSE)-AVERAGE(Rankings!U$2:U$651))/STDEV(Rankings!U$2:U$651)</f>
        <v>-0.42014889018365298</v>
      </c>
      <c r="O336" s="157">
        <f>(VLOOKUP($A336,Hitters!$A$1:$R$401,11,FALSE)-AVERAGE(Rankings!V$2:V$651))/STDEV(Rankings!V$2:V$651)</f>
        <v>-0.40239073963178845</v>
      </c>
      <c r="P336" s="157">
        <f>(VLOOKUP($A336,Hitters!$A$1:$R$401,12,FALSE)-AVERAGE(Rankings!W$2:W$651))/STDEV(Rankings!W$2:W$651)</f>
        <v>-0.29244711554616576</v>
      </c>
      <c r="Q336" s="157">
        <f>(VLOOKUP($A336,Hitters!$A$1:$R$401,13,FALSE)-AVERAGE(Rankings!X$2:X$651))/STDEV(Rankings!X$2:X$651)</f>
        <v>-0.62378813300705693</v>
      </c>
      <c r="R336" s="118">
        <f>(VLOOKUP($A336,Hitters!$A1:$R401,16,FALSE)-AVERAGE(Rankings!Y2:Y651))/STDEV(Rankings!Y2:Y651)</f>
        <v>0.6492070159992076</v>
      </c>
      <c r="S336" s="118">
        <f>(VLOOKUP($A336,Hitters!$A1:$R401,17,FALSE)-AVERAGE(Rankings!Z2:Z651))/STDEV(Rankings!Z2:Z651)</f>
        <v>0.74121633207473203</v>
      </c>
      <c r="T336" s="118">
        <f>IFERROR((VLOOKUP($A336,Hitters!$A1:$R401,18,FALSE)-AVERAGE(Rankings!AA2:AA651))/STDEV(Rankings!AA2:AA651),0)</f>
        <v>0</v>
      </c>
      <c r="U336" s="67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</row>
    <row r="337" spans="1:37" ht="18.600000000000001" customHeight="1">
      <c r="A337" s="26" t="s">
        <v>602</v>
      </c>
      <c r="B337" s="27" t="s">
        <v>306</v>
      </c>
      <c r="C337" s="123" t="s">
        <v>23</v>
      </c>
      <c r="D337" s="67">
        <f>(F337*Settings!$C$2)+(G337*Settings!$C$3)+(H337*Settings!$C$4)+(I337*Settings!$C$5)+(J337*Settings!$C$6)+(M337*Settings!$C$9)+(N337*Settings!$C$10)+(O337*Settings!$C$11)+(P337*Settings!$C$12)+(Q337*Settings!$C$13)+(T337*Settings!$C$16)+(K337*Settings!$C$7)+(L337*Settings!$C$8)+(R337*Settings!$C$14)+(S337*Settings!$C$15)</f>
        <v>-3.2049988533049807</v>
      </c>
      <c r="E337" s="67"/>
      <c r="F337" s="118">
        <f>(VLOOKUP($A337,Hitters!$A1:$R401,4,FALSE)-AVERAGE(Rankings!M2:M651))/STDEV(Rankings!M2:M651)</f>
        <v>-0.92076936361547523</v>
      </c>
      <c r="G337" s="118">
        <f>(VLOOKUP($A337,Hitters!$A1:$R401,5,FALSE)-AVERAGE(Rankings!N2:N651))/STDEV(Rankings!N2:N651)</f>
        <v>-0.78040192224495797</v>
      </c>
      <c r="H337" s="118">
        <f>(VLOOKUP($A337,Hitters!$A1:$R401,6,FALSE)-AVERAGE(Rankings!O2:O651))/STDEV(Rankings!O2:O651)</f>
        <v>-0.72156078645469157</v>
      </c>
      <c r="I337" s="118">
        <f>(VLOOKUP($A337,Hitters!$A1:$R401,7,FALSE)-AVERAGE(Rankings!P2:P651))/STDEV(Rankings!P2:P651)</f>
        <v>-0.88262247913247016</v>
      </c>
      <c r="J337" s="118">
        <f>(VLOOKUP($A337,Hitters!$A1:$R401,8,FALSE)-AVERAGE(Rankings!Q2:Q651))/STDEV(Rankings!Q2:Q651)</f>
        <v>-0.13740009535124981</v>
      </c>
      <c r="K337" s="157">
        <f>(VLOOKUP($A337,Hitters!$A$1:$R$401,14,FALSE)-AVERAGE(Rankings!R$2:R$651))/STDEV(Rankings!R$2:R$651)</f>
        <v>-0.68301357012161124</v>
      </c>
      <c r="L337" s="157">
        <f>(VLOOKUP($A337,Hitters!$A$1:$R$401,15,FALSE)-AVERAGE(Rankings!S$2:S$651))/STDEV(Rankings!S$2:S$651)</f>
        <v>-7.0750747903451927E-2</v>
      </c>
      <c r="M337" s="157">
        <f>(VLOOKUP($A337,Hitters!$A$1:$R$401,9,FALSE)-AVERAGE(Rankings!T$2:T$651))/STDEV(Rankings!T$2:T$651)</f>
        <v>-0.93434151170327517</v>
      </c>
      <c r="N337" s="157">
        <f>(VLOOKUP($A337,Hitters!$A$1:$R$401,10,FALSE)-AVERAGE(Rankings!U$2:U$651))/STDEV(Rankings!U$2:U$651)</f>
        <v>-0.86701699344362271</v>
      </c>
      <c r="O337" s="157">
        <f>(VLOOKUP($A337,Hitters!$A$1:$R$401,11,FALSE)-AVERAGE(Rankings!V$2:V$651))/STDEV(Rankings!V$2:V$651)</f>
        <v>-0.55118100840177164</v>
      </c>
      <c r="P337" s="157">
        <f>(VLOOKUP($A337,Hitters!$A$1:$R$401,12,FALSE)-AVERAGE(Rankings!W$2:W$651))/STDEV(Rankings!W$2:W$651)</f>
        <v>-0.4290448718601616</v>
      </c>
      <c r="Q337" s="157">
        <f>(VLOOKUP($A337,Hitters!$A$1:$R$401,13,FALSE)-AVERAGE(Rankings!X$2:X$651))/STDEV(Rankings!X$2:X$651)</f>
        <v>-0.82100493066660307</v>
      </c>
      <c r="R337" s="118">
        <f>(VLOOKUP($A337,Hitters!$A1:$R401,16,FALSE)-AVERAGE(Rankings!Y2:Y651))/STDEV(Rankings!Y2:Y651)</f>
        <v>-0.62749151003991799</v>
      </c>
      <c r="S337" s="118">
        <f>(VLOOKUP($A337,Hitters!$A1:$R401,17,FALSE)-AVERAGE(Rankings!Z2:Z651))/STDEV(Rankings!Z2:Z651)</f>
        <v>-0.48537602313977829</v>
      </c>
      <c r="T337" s="118">
        <f>IFERROR((VLOOKUP($A337,Hitters!$A1:$R401,18,FALSE)-AVERAGE(Rankings!AA2:AA651))/STDEV(Rankings!AA2:AA651),0)</f>
        <v>0</v>
      </c>
      <c r="U337" s="67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</row>
    <row r="338" spans="1:37" ht="18.600000000000001" customHeight="1">
      <c r="A338" s="26" t="s">
        <v>620</v>
      </c>
      <c r="B338" s="27" t="s">
        <v>103</v>
      </c>
      <c r="C338" s="123" t="s">
        <v>23</v>
      </c>
      <c r="D338" s="67">
        <f>(F338*Settings!$C$2)+(G338*Settings!$C$3)+(H338*Settings!$C$4)+(I338*Settings!$C$5)+(J338*Settings!$C$6)+(M338*Settings!$C$9)+(N338*Settings!$C$10)+(O338*Settings!$C$11)+(P338*Settings!$C$12)+(Q338*Settings!$C$13)+(T338*Settings!$C$16)+(K338*Settings!$C$7)+(L338*Settings!$C$8)+(R338*Settings!$C$14)+(S338*Settings!$C$15)</f>
        <v>-4.729725458487601</v>
      </c>
      <c r="E338" s="67"/>
      <c r="F338" s="118">
        <f>(VLOOKUP($A338,Hitters!$A1:$R401,4,FALSE)-AVERAGE(Rankings!M2:M651))/STDEV(Rankings!M2:M651)</f>
        <v>-1.8341945157784492</v>
      </c>
      <c r="G338" s="118">
        <f>(VLOOKUP($A338,Hitters!$A1:$R401,5,FALSE)-AVERAGE(Rankings!N2:N651))/STDEV(Rankings!N2:N651)</f>
        <v>-1.5018940553568116</v>
      </c>
      <c r="H338" s="118">
        <f>(VLOOKUP($A338,Hitters!$A1:$R401,6,FALSE)-AVERAGE(Rankings!O2:O651))/STDEV(Rankings!O2:O651)</f>
        <v>-1.2212209229534703</v>
      </c>
      <c r="I338" s="118">
        <f>(VLOOKUP($A338,Hitters!$A1:$R401,7,FALSE)-AVERAGE(Rankings!P2:P651))/STDEV(Rankings!P2:P651)</f>
        <v>-1.5080047040308326</v>
      </c>
      <c r="J338" s="118">
        <f>(VLOOKUP($A338,Hitters!$A1:$R401,8,FALSE)-AVERAGE(Rankings!Q2:Q651))/STDEV(Rankings!Q2:Q651)</f>
        <v>-0.82338502159406723</v>
      </c>
      <c r="K338" s="157">
        <f>(VLOOKUP($A338,Hitters!$A$1:$R$401,14,FALSE)-AVERAGE(Rankings!R$2:R$651))/STDEV(Rankings!R$2:R$651)</f>
        <v>0.32477924544758058</v>
      </c>
      <c r="L338" s="157">
        <f>(VLOOKUP($A338,Hitters!$A$1:$R$401,15,FALSE)-AVERAGE(Rankings!S$2:S$651))/STDEV(Rankings!S$2:S$651)</f>
        <v>0.5167546180618322</v>
      </c>
      <c r="M338" s="157">
        <f>(VLOOKUP($A338,Hitters!$A$1:$R$401,9,FALSE)-AVERAGE(Rankings!T$2:T$651))/STDEV(Rankings!T$2:T$651)</f>
        <v>-1.6176517412531859</v>
      </c>
      <c r="N338" s="157">
        <f>(VLOOKUP($A338,Hitters!$A$1:$R$401,10,FALSE)-AVERAGE(Rankings!U$2:U$651))/STDEV(Rankings!U$2:U$651)</f>
        <v>-1.514405593688807</v>
      </c>
      <c r="O338" s="157">
        <f>(VLOOKUP($A338,Hitters!$A$1:$R$401,11,FALSE)-AVERAGE(Rankings!V$2:V$651))/STDEV(Rankings!V$2:V$651)</f>
        <v>-1.4052943781679255</v>
      </c>
      <c r="P338" s="157">
        <f>(VLOOKUP($A338,Hitters!$A$1:$R$401,12,FALSE)-AVERAGE(Rankings!W$2:W$651))/STDEV(Rankings!W$2:W$651)</f>
        <v>-1.2139221437955003</v>
      </c>
      <c r="Q338" s="157">
        <f>(VLOOKUP($A338,Hitters!$A$1:$R$401,13,FALSE)-AVERAGE(Rankings!X$2:X$651))/STDEV(Rankings!X$2:X$651)</f>
        <v>-1.5184535062671283</v>
      </c>
      <c r="R338" s="118">
        <f>(VLOOKUP($A338,Hitters!$A1:$R401,16,FALSE)-AVERAGE(Rankings!Y2:Y651))/STDEV(Rankings!Y2:Y651)</f>
        <v>-0.38181535056588806</v>
      </c>
      <c r="S338" s="118">
        <f>(VLOOKUP($A338,Hitters!$A1:$R401,17,FALSE)-AVERAGE(Rankings!Z2:Z651))/STDEV(Rankings!Z2:Z651)</f>
        <v>-8.4615062884612846E-2</v>
      </c>
      <c r="T338" s="118">
        <f>IFERROR((VLOOKUP($A338,Hitters!$A1:$R401,18,FALSE)-AVERAGE(Rankings!AA2:AA651))/STDEV(Rankings!AA2:AA651),0)</f>
        <v>0</v>
      </c>
      <c r="U338" s="67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</row>
    <row r="339" spans="1:37" ht="18.600000000000001" customHeight="1">
      <c r="A339" s="26" t="s">
        <v>608</v>
      </c>
      <c r="B339" s="27" t="s">
        <v>63</v>
      </c>
      <c r="C339" s="123" t="s">
        <v>23</v>
      </c>
      <c r="D339" s="67">
        <f>(F339*Settings!$C$2)+(G339*Settings!$C$3)+(H339*Settings!$C$4)+(I339*Settings!$C$5)+(J339*Settings!$C$6)+(M339*Settings!$C$9)+(N339*Settings!$C$10)+(O339*Settings!$C$11)+(P339*Settings!$C$12)+(Q339*Settings!$C$13)+(T339*Settings!$C$16)+(K339*Settings!$C$7)+(L339*Settings!$C$8)+(R339*Settings!$C$14)+(S339*Settings!$C$15)</f>
        <v>-4.1467001859372239</v>
      </c>
      <c r="E339" s="67"/>
      <c r="F339" s="118">
        <f>(VLOOKUP($A339,Hitters!$A1:$R401,4,FALSE)-AVERAGE(Rankings!M2:M651))/STDEV(Rankings!M2:M651)</f>
        <v>-1.2073606240110732</v>
      </c>
      <c r="G339" s="118">
        <f>(VLOOKUP($A339,Hitters!$A1:$R401,5,FALSE)-AVERAGE(Rankings!N2:N651))/STDEV(Rankings!N2:N651)</f>
        <v>-1.1314494914923172</v>
      </c>
      <c r="H339" s="118">
        <f>(VLOOKUP($A339,Hitters!$A1:$R401,6,FALSE)-AVERAGE(Rankings!O2:O651))/STDEV(Rankings!O2:O651)</f>
        <v>-1.1384666719900591</v>
      </c>
      <c r="I339" s="118">
        <f>(VLOOKUP($A339,Hitters!$A1:$R401,7,FALSE)-AVERAGE(Rankings!P2:P651))/STDEV(Rankings!P2:P651)</f>
        <v>-1.2497682442278621</v>
      </c>
      <c r="J339" s="118">
        <f>(VLOOKUP($A339,Hitters!$A1:$R401,8,FALSE)-AVERAGE(Rankings!Q2:Q651))/STDEV(Rankings!Q2:Q651)</f>
        <v>0.45497663615374612</v>
      </c>
      <c r="K339" s="157">
        <f>(VLOOKUP($A339,Hitters!$A$1:$R$401,14,FALSE)-AVERAGE(Rankings!R$2:R$651))/STDEV(Rankings!R$2:R$651)</f>
        <v>-1.0819924143807309</v>
      </c>
      <c r="L339" s="157">
        <f>(VLOOKUP($A339,Hitters!$A$1:$R$401,15,FALSE)-AVERAGE(Rankings!S$2:S$651))/STDEV(Rankings!S$2:S$651)</f>
        <v>-1.7512845729929958</v>
      </c>
      <c r="M339" s="157">
        <f>(VLOOKUP($A339,Hitters!$A$1:$R$401,9,FALSE)-AVERAGE(Rankings!T$2:T$651))/STDEV(Rankings!T$2:T$651)</f>
        <v>-1.2184313004962679</v>
      </c>
      <c r="N339" s="157">
        <f>(VLOOKUP($A339,Hitters!$A$1:$R$401,10,FALSE)-AVERAGE(Rankings!U$2:U$651))/STDEV(Rankings!U$2:U$651)</f>
        <v>-1.1262736445886699</v>
      </c>
      <c r="O339" s="157">
        <f>(VLOOKUP($A339,Hitters!$A$1:$R$401,11,FALSE)-AVERAGE(Rankings!V$2:V$651))/STDEV(Rankings!V$2:V$651)</f>
        <v>-0.5521347921759383</v>
      </c>
      <c r="P339" s="157">
        <f>(VLOOKUP($A339,Hitters!$A$1:$R$401,12,FALSE)-AVERAGE(Rankings!W$2:W$651))/STDEV(Rankings!W$2:W$651)</f>
        <v>-1.2787687562533059</v>
      </c>
      <c r="Q339" s="157">
        <f>(VLOOKUP($A339,Hitters!$A$1:$R$401,13,FALSE)-AVERAGE(Rankings!X$2:X$651))/STDEV(Rankings!X$2:X$651)</f>
        <v>-0.7690391666246037</v>
      </c>
      <c r="R339" s="118">
        <f>(VLOOKUP($A339,Hitters!$A1:$R401,16,FALSE)-AVERAGE(Rankings!Y2:Y651))/STDEV(Rankings!Y2:Y651)</f>
        <v>-1.4689374393073369</v>
      </c>
      <c r="S339" s="118">
        <f>(VLOOKUP($A339,Hitters!$A1:$R401,17,FALSE)-AVERAGE(Rankings!Z2:Z651))/STDEV(Rankings!Z2:Z651)</f>
        <v>-1.733138386341271</v>
      </c>
      <c r="T339" s="118">
        <f>IFERROR((VLOOKUP($A339,Hitters!$A1:$R401,18,FALSE)-AVERAGE(Rankings!AA2:AA651))/STDEV(Rankings!AA2:AA651),0)</f>
        <v>0</v>
      </c>
      <c r="U339" s="67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</row>
    <row r="340" spans="1:37" ht="18.600000000000001" customHeight="1">
      <c r="A340" s="26" t="s">
        <v>619</v>
      </c>
      <c r="B340" s="27" t="s">
        <v>306</v>
      </c>
      <c r="C340" s="123" t="s">
        <v>23</v>
      </c>
      <c r="D340" s="67">
        <f>(F340*Settings!$C$2)+(G340*Settings!$C$3)+(H340*Settings!$C$4)+(I340*Settings!$C$5)+(J340*Settings!$C$6)+(M340*Settings!$C$9)+(N340*Settings!$C$10)+(O340*Settings!$C$11)+(P340*Settings!$C$12)+(Q340*Settings!$C$13)+(T340*Settings!$C$16)+(K340*Settings!$C$7)+(L340*Settings!$C$8)+(R340*Settings!$C$14)+(S340*Settings!$C$15)</f>
        <v>-4.0701156303576989</v>
      </c>
      <c r="E340" s="67"/>
      <c r="F340" s="118">
        <f>(VLOOKUP($A340,Hitters!$A1:$R401,4,FALSE)-AVERAGE(Rankings!M2:M651))/STDEV(Rankings!M2:M651)</f>
        <v>-1.3166066439672961</v>
      </c>
      <c r="G340" s="118">
        <f>(VLOOKUP($A340,Hitters!$A1:$R401,5,FALSE)-AVERAGE(Rankings!N2:N651))/STDEV(Rankings!N2:N651)</f>
        <v>-1.2005940723039856</v>
      </c>
      <c r="H340" s="118">
        <f>(VLOOKUP($A340,Hitters!$A1:$R401,6,FALSE)-AVERAGE(Rankings!O2:O651))/STDEV(Rankings!O2:O651)</f>
        <v>-0.61059485902648092</v>
      </c>
      <c r="I340" s="118">
        <f>(VLOOKUP($A340,Hitters!$A1:$R401,7,FALSE)-AVERAGE(Rankings!P2:P651))/STDEV(Rankings!P2:P651)</f>
        <v>-1.0407814936421937</v>
      </c>
      <c r="J340" s="118">
        <f>(VLOOKUP($A340,Hitters!$A1:$R401,8,FALSE)-AVERAGE(Rankings!Q2:Q651))/STDEV(Rankings!Q2:Q651)</f>
        <v>-0.22007941456130539</v>
      </c>
      <c r="K340" s="157">
        <f>(VLOOKUP($A340,Hitters!$A$1:$R$401,14,FALSE)-AVERAGE(Rankings!R$2:R$651))/STDEV(Rankings!R$2:R$651)</f>
        <v>-0.99806579082373303</v>
      </c>
      <c r="L340" s="157">
        <f>(VLOOKUP($A340,Hitters!$A$1:$R$401,15,FALSE)-AVERAGE(Rankings!S$2:S$651))/STDEV(Rankings!S$2:S$651)</f>
        <v>-1.936082459227797</v>
      </c>
      <c r="M340" s="157">
        <f>(VLOOKUP($A340,Hitters!$A$1:$R$401,9,FALSE)-AVERAGE(Rankings!T$2:T$651))/STDEV(Rankings!T$2:T$651)</f>
        <v>-1.2969424072472626</v>
      </c>
      <c r="N340" s="157">
        <f>(VLOOKUP($A340,Hitters!$A$1:$R$401,10,FALSE)-AVERAGE(Rankings!U$2:U$651))/STDEV(Rankings!U$2:U$651)</f>
        <v>-1.1193171037419007</v>
      </c>
      <c r="O340" s="157">
        <f>(VLOOKUP($A340,Hitters!$A$1:$R$401,11,FALSE)-AVERAGE(Rankings!V$2:V$651))/STDEV(Rankings!V$2:V$651)</f>
        <v>-0.56167262991760381</v>
      </c>
      <c r="P340" s="157">
        <f>(VLOOKUP($A340,Hitters!$A$1:$R$401,12,FALSE)-AVERAGE(Rankings!W$2:W$651))/STDEV(Rankings!W$2:W$651)</f>
        <v>-1.4270917753474421</v>
      </c>
      <c r="Q340" s="157">
        <f>(VLOOKUP($A340,Hitters!$A$1:$R$401,13,FALSE)-AVERAGE(Rankings!X$2:X$651))/STDEV(Rankings!X$2:X$651)</f>
        <v>-0.79604238099893965</v>
      </c>
      <c r="R340" s="118">
        <f>(VLOOKUP($A340,Hitters!$A1:$R401,16,FALSE)-AVERAGE(Rankings!Y2:Y651))/STDEV(Rankings!Y2:Y651)</f>
        <v>0.15340138337807682</v>
      </c>
      <c r="S340" s="118">
        <f>(VLOOKUP($A340,Hitters!$A1:$R401,17,FALSE)-AVERAGE(Rankings!Z2:Z651))/STDEV(Rankings!Z2:Z651)</f>
        <v>-0.61661466905285922</v>
      </c>
      <c r="T340" s="118">
        <f>IFERROR((VLOOKUP($A340,Hitters!$A1:$R401,18,FALSE)-AVERAGE(Rankings!AA2:AA651))/STDEV(Rankings!AA2:AA651),0)</f>
        <v>0</v>
      </c>
      <c r="U340" s="67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</row>
    <row r="341" spans="1:37" ht="18.600000000000001" customHeight="1">
      <c r="A341" s="26" t="s">
        <v>627</v>
      </c>
      <c r="B341" s="27" t="s">
        <v>78</v>
      </c>
      <c r="C341" s="123" t="s">
        <v>23</v>
      </c>
      <c r="D341" s="67">
        <f>(F341*Settings!$C$2)+(G341*Settings!$C$3)+(H341*Settings!$C$4)+(I341*Settings!$C$5)+(J341*Settings!$C$6)+(M341*Settings!$C$9)+(N341*Settings!$C$10)+(O341*Settings!$C$11)+(P341*Settings!$C$12)+(Q341*Settings!$C$13)+(T341*Settings!$C$16)+(K341*Settings!$C$7)+(L341*Settings!$C$8)+(R341*Settings!$C$14)+(S341*Settings!$C$15)</f>
        <v>-4.2926184153724876</v>
      </c>
      <c r="E341" s="67"/>
      <c r="F341" s="118">
        <f>(VLOOKUP($A341,Hitters!$A1:$R401,4,FALSE)-AVERAGE(Rankings!M2:M651))/STDEV(Rankings!M2:M651)</f>
        <v>-1.288217887041317</v>
      </c>
      <c r="G341" s="118">
        <f>(VLOOKUP($A341,Hitters!$A1:$R401,5,FALSE)-AVERAGE(Rankings!N2:N651))/STDEV(Rankings!N2:N651)</f>
        <v>-1.1672768815498487</v>
      </c>
      <c r="H341" s="118">
        <f>(VLOOKUP($A341,Hitters!$A1:$R401,6,FALSE)-AVERAGE(Rankings!O2:O651))/STDEV(Rankings!O2:O651)</f>
        <v>-0.98897961595682626</v>
      </c>
      <c r="I341" s="118">
        <f>(VLOOKUP($A341,Hitters!$A1:$R401,7,FALSE)-AVERAGE(Rankings!P2:P651))/STDEV(Rankings!P2:P651)</f>
        <v>-1.1183593301767352</v>
      </c>
      <c r="J341" s="118">
        <f>(VLOOKUP($A341,Hitters!$A1:$R401,8,FALSE)-AVERAGE(Rankings!Q2:Q651))/STDEV(Rankings!Q2:Q651)</f>
        <v>-0.41854145856551916</v>
      </c>
      <c r="K341" s="157">
        <f>(VLOOKUP($A341,Hitters!$A$1:$R$401,14,FALSE)-AVERAGE(Rankings!R$2:R$651))/STDEV(Rankings!R$2:R$651)</f>
        <v>-0.59946112912355809</v>
      </c>
      <c r="L341" s="157">
        <f>(VLOOKUP($A341,Hitters!$A$1:$R$401,15,FALSE)-AVERAGE(Rankings!S$2:S$651))/STDEV(Rankings!S$2:S$651)</f>
        <v>-0.84309149861853516</v>
      </c>
      <c r="M341" s="157">
        <f>(VLOOKUP($A341,Hitters!$A$1:$R$401,9,FALSE)-AVERAGE(Rankings!T$2:T$651))/STDEV(Rankings!T$2:T$651)</f>
        <v>-1.2298440176546535</v>
      </c>
      <c r="N341" s="157">
        <f>(VLOOKUP($A341,Hitters!$A$1:$R$401,10,FALSE)-AVERAGE(Rankings!U$2:U$651))/STDEV(Rankings!U$2:U$651)</f>
        <v>-1.2218005766288367</v>
      </c>
      <c r="O341" s="157">
        <f>(VLOOKUP($A341,Hitters!$A$1:$R$401,11,FALSE)-AVERAGE(Rankings!V$2:V$651))/STDEV(Rankings!V$2:V$651)</f>
        <v>-0.54688898141802222</v>
      </c>
      <c r="P341" s="157">
        <f>(VLOOKUP($A341,Hitters!$A$1:$R$401,12,FALSE)-AVERAGE(Rankings!W$2:W$651))/STDEV(Rankings!W$2:W$651)</f>
        <v>-1.0911956532638454</v>
      </c>
      <c r="Q341" s="157">
        <f>(VLOOKUP($A341,Hitters!$A$1:$R$401,13,FALSE)-AVERAGE(Rankings!X$2:X$651))/STDEV(Rankings!X$2:X$651)</f>
        <v>-0.86727581645742491</v>
      </c>
      <c r="R341" s="118">
        <f>(VLOOKUP($A341,Hitters!$A1:$R401,16,FALSE)-AVERAGE(Rankings!Y2:Y651))/STDEV(Rankings!Y2:Y651)</f>
        <v>-0.80824933251818598</v>
      </c>
      <c r="S341" s="118">
        <f>(VLOOKUP($A341,Hitters!$A1:$R401,17,FALSE)-AVERAGE(Rankings!Z2:Z651))/STDEV(Rankings!Z2:Z651)</f>
        <v>-0.90825099732184245</v>
      </c>
      <c r="T341" s="118">
        <f>IFERROR((VLOOKUP($A341,Hitters!$A1:$R401,18,FALSE)-AVERAGE(Rankings!AA2:AA651))/STDEV(Rankings!AA2:AA651),0)</f>
        <v>0</v>
      </c>
      <c r="U341" s="67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</row>
    <row r="342" spans="1:37" ht="18.600000000000001" customHeight="1">
      <c r="A342" s="26" t="s">
        <v>640</v>
      </c>
      <c r="B342" s="27" t="s">
        <v>120</v>
      </c>
      <c r="C342" s="123" t="s">
        <v>23</v>
      </c>
      <c r="D342" s="67">
        <f>(F342*Settings!$C$2)+(G342*Settings!$C$3)+(H342*Settings!$C$4)+(I342*Settings!$C$5)+(J342*Settings!$C$6)+(M342*Settings!$C$9)+(N342*Settings!$C$10)+(O342*Settings!$C$11)+(P342*Settings!$C$12)+(Q342*Settings!$C$13)+(T342*Settings!$C$16)+(K342*Settings!$C$7)+(L342*Settings!$C$8)+(R342*Settings!$C$14)+(S342*Settings!$C$15)</f>
        <v>-0.9467118892167653</v>
      </c>
      <c r="E342" s="67"/>
      <c r="F342" s="118">
        <f>(VLOOKUP($A342,Hitters!$A1:$R401,4,FALSE)-AVERAGE(Rankings!M2:M651))/STDEV(Rankings!M2:M651)</f>
        <v>-0.40411088563225628</v>
      </c>
      <c r="G342" s="118">
        <f>(VLOOKUP($A342,Hitters!$A1:$R401,5,FALSE)-AVERAGE(Rankings!N2:N651))/STDEV(Rankings!N2:N651)</f>
        <v>-0.4018942939513806</v>
      </c>
      <c r="H342" s="118">
        <f>(VLOOKUP($A342,Hitters!$A1:$R401,6,FALSE)-AVERAGE(Rankings!O2:O651))/STDEV(Rankings!O2:O651)</f>
        <v>-0.79323934221340398</v>
      </c>
      <c r="I342" s="118">
        <f>(VLOOKUP($A342,Hitters!$A1:$R401,7,FALSE)-AVERAGE(Rankings!P2:P651))/STDEV(Rankings!P2:P651)</f>
        <v>-0.53087520193189353</v>
      </c>
      <c r="J342" s="118">
        <f>(VLOOKUP($A342,Hitters!$A1:$R401,8,FALSE)-AVERAGE(Rankings!Q2:Q651))/STDEV(Rankings!Q2:Q651)</f>
        <v>-1.7657633047031402E-2</v>
      </c>
      <c r="K342" s="157">
        <f>(VLOOKUP($A342,Hitters!$A$1:$R$401,14,FALSE)-AVERAGE(Rankings!R$2:R$651))/STDEV(Rankings!R$2:R$651)</f>
        <v>0.79695458192694424</v>
      </c>
      <c r="L342" s="157">
        <f>(VLOOKUP($A342,Hitters!$A$1:$R$401,15,FALSE)-AVERAGE(Rankings!S$2:S$651))/STDEV(Rankings!S$2:S$651)</f>
        <v>0.11127606530160902</v>
      </c>
      <c r="M342" s="157">
        <f>(VLOOKUP($A342,Hitters!$A$1:$R$401,9,FALSE)-AVERAGE(Rankings!T$2:T$651))/STDEV(Rankings!T$2:T$651)</f>
        <v>-0.25299331095618394</v>
      </c>
      <c r="N342" s="157">
        <f>(VLOOKUP($A342,Hitters!$A$1:$R$401,10,FALSE)-AVERAGE(Rankings!U$2:U$651))/STDEV(Rankings!U$2:U$651)</f>
        <v>-0.19502949102893596</v>
      </c>
      <c r="O342" s="157">
        <f>(VLOOKUP($A342,Hitters!$A$1:$R$401,11,FALSE)-AVERAGE(Rankings!V$2:V$651))/STDEV(Rankings!V$2:V$651)</f>
        <v>1.1179405963897067</v>
      </c>
      <c r="P342" s="157">
        <f>(VLOOKUP($A342,Hitters!$A$1:$R$401,12,FALSE)-AVERAGE(Rankings!W$2:W$651))/STDEV(Rankings!W$2:W$651)</f>
        <v>-0.66230606775154877</v>
      </c>
      <c r="Q342" s="157">
        <f>(VLOOKUP($A342,Hitters!$A$1:$R$401,13,FALSE)-AVERAGE(Rankings!X$2:X$651))/STDEV(Rankings!X$2:X$651)</f>
        <v>-0.73007670792279367</v>
      </c>
      <c r="R342" s="118">
        <f>(VLOOKUP($A342,Hitters!$A1:$R401,16,FALSE)-AVERAGE(Rankings!Y2:Y651))/STDEV(Rankings!Y2:Y651)</f>
        <v>-0.15386054318041509</v>
      </c>
      <c r="S342" s="118">
        <f>(VLOOKUP($A342,Hitters!$A1:$R401,17,FALSE)-AVERAGE(Rankings!Z2:Z651))/STDEV(Rankings!Z2:Z651)</f>
        <v>-7.0588060706745087E-2</v>
      </c>
      <c r="T342" s="118">
        <f>IFERROR((VLOOKUP($A342,Hitters!$A1:$R401,18,FALSE)-AVERAGE(Rankings!AA2:AA651))/STDEV(Rankings!AA2:AA651),0)</f>
        <v>0</v>
      </c>
      <c r="U342" s="67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</row>
    <row r="343" spans="1:37" ht="18.600000000000001" customHeight="1">
      <c r="A343" s="26" t="s">
        <v>751</v>
      </c>
      <c r="B343" s="27" t="s">
        <v>101</v>
      </c>
      <c r="C343" s="123" t="s">
        <v>23</v>
      </c>
      <c r="D343" s="67">
        <f>(F343*Settings!$C$2)+(G343*Settings!$C$3)+(H343*Settings!$C$4)+(I343*Settings!$C$5)+(J343*Settings!$C$6)+(M343*Settings!$C$9)+(N343*Settings!$C$10)+(O343*Settings!$C$11)+(P343*Settings!$C$12)+(Q343*Settings!$C$13)+(T343*Settings!$C$16)+(K343*Settings!$C$7)+(L343*Settings!$C$8)+(R343*Settings!$C$14)+(S343*Settings!$C$15)</f>
        <v>0.11277477443684614</v>
      </c>
      <c r="E343" s="67"/>
      <c r="F343" s="118">
        <f>(VLOOKUP($A343,Hitters!$A1:$R401,4,FALSE)-AVERAGE(Rankings!M2:M651))/STDEV(Rankings!M2:M651)</f>
        <v>5.555885262901996E-2</v>
      </c>
      <c r="G343" s="118">
        <f>(VLOOKUP($A343,Hitters!$A1:$R401,5,FALSE)-AVERAGE(Rankings!N2:N651))/STDEV(Rankings!N2:N651)</f>
        <v>-0.22131207739813422</v>
      </c>
      <c r="H343" s="118">
        <f>(VLOOKUP($A343,Hitters!$A1:$R401,6,FALSE)-AVERAGE(Rankings!O2:O651))/STDEV(Rankings!O2:O651)</f>
        <v>-0.51885466667057789</v>
      </c>
      <c r="I343" s="118">
        <f>(VLOOKUP($A343,Hitters!$A1:$R401,7,FALSE)-AVERAGE(Rankings!P2:P651))/STDEV(Rankings!P2:P651)</f>
        <v>-7.53344807064288E-2</v>
      </c>
      <c r="J343" s="118">
        <f>(VLOOKUP($A343,Hitters!$A1:$R401,8,FALSE)-AVERAGE(Rankings!Q2:Q651))/STDEV(Rankings!Q2:Q651)</f>
        <v>-0.1322524365881716</v>
      </c>
      <c r="K343" s="157">
        <f>(VLOOKUP($A343,Hitters!$A$1:$R$401,14,FALSE)-AVERAGE(Rankings!R$2:R$651))/STDEV(Rankings!R$2:R$651)</f>
        <v>1.0605284358001585</v>
      </c>
      <c r="L343" s="157">
        <f>(VLOOKUP($A343,Hitters!$A$1:$R$401,15,FALSE)-AVERAGE(Rankings!S$2:S$651))/STDEV(Rankings!S$2:S$651)</f>
        <v>-0.10883655272415022</v>
      </c>
      <c r="M343" s="157">
        <f>(VLOOKUP($A343,Hitters!$A$1:$R$401,9,FALSE)-AVERAGE(Rankings!T$2:T$651))/STDEV(Rankings!T$2:T$651)</f>
        <v>0.22771872305372201</v>
      </c>
      <c r="N343" s="157">
        <f>(VLOOKUP($A343,Hitters!$A$1:$R$401,10,FALSE)-AVERAGE(Rankings!U$2:U$651))/STDEV(Rankings!U$2:U$651)</f>
        <v>0.27686781589621218</v>
      </c>
      <c r="O343" s="157">
        <f>(VLOOKUP($A343,Hitters!$A$1:$R$401,11,FALSE)-AVERAGE(Rankings!V$2:V$651))/STDEV(Rankings!V$2:V$651)</f>
        <v>-0.12770101267181938</v>
      </c>
      <c r="P343" s="157">
        <f>(VLOOKUP($A343,Hitters!$A$1:$R$401,12,FALSE)-AVERAGE(Rankings!W$2:W$651))/STDEV(Rankings!W$2:W$651)</f>
        <v>-0.74898592814478782</v>
      </c>
      <c r="Q343" s="157">
        <f>(VLOOKUP($A343,Hitters!$A$1:$R$401,13,FALSE)-AVERAGE(Rankings!X$2:X$651))/STDEV(Rankings!X$2:X$651)</f>
        <v>-0.42288548359049793</v>
      </c>
      <c r="R343" s="118">
        <f>(VLOOKUP($A343,Hitters!$A1:$R401,16,FALSE)-AVERAGE(Rankings!Y2:Y651))/STDEV(Rankings!Y2:Y651)</f>
        <v>-0.10261311986374444</v>
      </c>
      <c r="S343" s="118">
        <f>(VLOOKUP($A343,Hitters!$A1:$R401,17,FALSE)-AVERAGE(Rankings!Z2:Z651))/STDEV(Rankings!Z2:Z651)</f>
        <v>-0.11597584122297853</v>
      </c>
      <c r="T343" s="118">
        <f>IFERROR((VLOOKUP($A343,Hitters!$A1:$R401,18,FALSE)-AVERAGE(Rankings!AA2:AA651))/STDEV(Rankings!AA2:AA651),0)</f>
        <v>0</v>
      </c>
      <c r="U343" s="67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</row>
    <row r="344" spans="1:37" ht="18.600000000000001" customHeight="1">
      <c r="A344" s="26" t="s">
        <v>654</v>
      </c>
      <c r="B344" s="27" t="s">
        <v>101</v>
      </c>
      <c r="C344" s="123" t="s">
        <v>23</v>
      </c>
      <c r="D344" s="67">
        <f>(F344*Settings!$C$2)+(G344*Settings!$C$3)+(H344*Settings!$C$4)+(I344*Settings!$C$5)+(J344*Settings!$C$6)+(M344*Settings!$C$9)+(N344*Settings!$C$10)+(O344*Settings!$C$11)+(P344*Settings!$C$12)+(Q344*Settings!$C$13)+(T344*Settings!$C$16)+(K344*Settings!$C$7)+(L344*Settings!$C$8)+(R344*Settings!$C$14)+(S344*Settings!$C$15)</f>
        <v>-3.2491728115462148</v>
      </c>
      <c r="E344" s="67"/>
      <c r="F344" s="118">
        <f>(VLOOKUP($A344,Hitters!$A1:$R401,4,FALSE)-AVERAGE(Rankings!M2:M651))/STDEV(Rankings!M2:M651)</f>
        <v>-0.85216320104435961</v>
      </c>
      <c r="G344" s="118">
        <f>(VLOOKUP($A344,Hitters!$A1:$R401,5,FALSE)-AVERAGE(Rankings!N2:N651))/STDEV(Rankings!N2:N651)</f>
        <v>-0.83288790767955767</v>
      </c>
      <c r="H344" s="118">
        <f>(VLOOKUP($A344,Hitters!$A1:$R401,6,FALSE)-AVERAGE(Rankings!O2:O651))/STDEV(Rankings!O2:O651)</f>
        <v>-0.79769748367944626</v>
      </c>
      <c r="I344" s="118">
        <f>(VLOOKUP($A344,Hitters!$A1:$R401,7,FALSE)-AVERAGE(Rankings!P2:P651))/STDEV(Rankings!P2:P651)</f>
        <v>-0.8478549841501265</v>
      </c>
      <c r="J344" s="118">
        <f>(VLOOKUP($A344,Hitters!$A1:$R401,8,FALSE)-AVERAGE(Rankings!Q2:Q651))/STDEV(Rankings!Q2:Q651)</f>
        <v>0.34378720687125769</v>
      </c>
      <c r="K344" s="157">
        <f>(VLOOKUP($A344,Hitters!$A$1:$R$401,14,FALSE)-AVERAGE(Rankings!R$2:R$651))/STDEV(Rankings!R$2:R$651)</f>
        <v>-1.1145196429083422</v>
      </c>
      <c r="L344" s="157">
        <f>(VLOOKUP($A344,Hitters!$A$1:$R$401,15,FALSE)-AVERAGE(Rankings!S$2:S$651))/STDEV(Rankings!S$2:S$651)</f>
        <v>-0.61997241478315623</v>
      </c>
      <c r="M344" s="157">
        <f>(VLOOKUP($A344,Hitters!$A$1:$R$401,9,FALSE)-AVERAGE(Rankings!T$2:T$651))/STDEV(Rankings!T$2:T$651)</f>
        <v>-0.93802593220322616</v>
      </c>
      <c r="N344" s="157">
        <f>(VLOOKUP($A344,Hitters!$A$1:$R$401,10,FALSE)-AVERAGE(Rankings!U$2:U$651))/STDEV(Rankings!U$2:U$651)</f>
        <v>-0.56609281413390811</v>
      </c>
      <c r="O344" s="157">
        <f>(VLOOKUP($A344,Hitters!$A$1:$R$401,11,FALSE)-AVERAGE(Rankings!V$2:V$651))/STDEV(Rankings!V$2:V$651)</f>
        <v>-0.26313830860347076</v>
      </c>
      <c r="P344" s="157">
        <f>(VLOOKUP($A344,Hitters!$A$1:$R$401,12,FALSE)-AVERAGE(Rankings!W$2:W$651))/STDEV(Rankings!W$2:W$651)</f>
        <v>-0.50064050825242468</v>
      </c>
      <c r="Q344" s="157">
        <f>(VLOOKUP($A344,Hitters!$A$1:$R$401,13,FALSE)-AVERAGE(Rankings!X$2:X$651))/STDEV(Rankings!X$2:X$651)</f>
        <v>0.15865650049230082</v>
      </c>
      <c r="R344" s="118">
        <f>(VLOOKUP($A344,Hitters!$A1:$R401,16,FALSE)-AVERAGE(Rankings!Y2:Y651))/STDEV(Rankings!Y2:Y651)</f>
        <v>-0.83248545708436927</v>
      </c>
      <c r="S344" s="118">
        <f>(VLOOKUP($A344,Hitters!$A1:$R401,17,FALSE)-AVERAGE(Rankings!Z2:Z651))/STDEV(Rankings!Z2:Z651)</f>
        <v>-0.84198367837499433</v>
      </c>
      <c r="T344" s="118">
        <f>IFERROR((VLOOKUP($A344,Hitters!$A1:$R401,18,FALSE)-AVERAGE(Rankings!AA2:AA651))/STDEV(Rankings!AA2:AA651),0)</f>
        <v>0</v>
      </c>
      <c r="U344" s="67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</row>
    <row r="345" spans="1:37" ht="18.600000000000001" customHeight="1">
      <c r="A345" s="26" t="s">
        <v>662</v>
      </c>
      <c r="B345" s="27" t="s">
        <v>158</v>
      </c>
      <c r="C345" s="123" t="s">
        <v>23</v>
      </c>
      <c r="D345" s="67">
        <f>(F345*Settings!$C$2)+(G345*Settings!$C$3)+(H345*Settings!$C$4)+(I345*Settings!$C$5)+(J345*Settings!$C$6)+(M345*Settings!$C$9)+(N345*Settings!$C$10)+(O345*Settings!$C$11)+(P345*Settings!$C$12)+(Q345*Settings!$C$13)+(T345*Settings!$C$16)+(K345*Settings!$C$7)+(L345*Settings!$C$8)+(R345*Settings!$C$14)+(S345*Settings!$C$15)</f>
        <v>-5.9824938192730759</v>
      </c>
      <c r="E345" s="67"/>
      <c r="F345" s="118">
        <f>(VLOOKUP($A345,Hitters!$A1:$R401,4,FALSE)-AVERAGE(Rankings!M2:M651))/STDEV(Rankings!M2:M651)</f>
        <v>-1.828744888332837</v>
      </c>
      <c r="G345" s="118">
        <f>(VLOOKUP($A345,Hitters!$A1:$R401,5,FALSE)-AVERAGE(Rankings!N2:N651))/STDEV(Rankings!N2:N651)</f>
        <v>-1.5725599690796277</v>
      </c>
      <c r="H345" s="118">
        <f>(VLOOKUP($A345,Hitters!$A1:$R401,6,FALSE)-AVERAGE(Rankings!O2:O651))/STDEV(Rankings!O2:O651)</f>
        <v>-1.0607278301759455</v>
      </c>
      <c r="I345" s="118">
        <f>(VLOOKUP($A345,Hitters!$A1:$R401,7,FALSE)-AVERAGE(Rankings!P2:P651))/STDEV(Rankings!P2:P651)</f>
        <v>-1.4930389009198384</v>
      </c>
      <c r="J345" s="118">
        <f>(VLOOKUP($A345,Hitters!$A1:$R401,8,FALSE)-AVERAGE(Rankings!Q2:Q651))/STDEV(Rankings!Q2:Q651)</f>
        <v>-0.38551724773161766</v>
      </c>
      <c r="K345" s="157">
        <f>(VLOOKUP($A345,Hitters!$A$1:$R$401,14,FALSE)-AVERAGE(Rankings!R$2:R$651))/STDEV(Rankings!R$2:R$651)</f>
        <v>-1.4706498713660467</v>
      </c>
      <c r="L345" s="157">
        <f>(VLOOKUP($A345,Hitters!$A$1:$R$401,15,FALSE)-AVERAGE(Rankings!S$2:S$651))/STDEV(Rankings!S$2:S$651)</f>
        <v>-1.3483542887403712</v>
      </c>
      <c r="M345" s="157">
        <f>(VLOOKUP($A345,Hitters!$A$1:$R$401,9,FALSE)-AVERAGE(Rankings!T$2:T$651))/STDEV(Rankings!T$2:T$651)</f>
        <v>-1.745752751562468</v>
      </c>
      <c r="N345" s="157">
        <f>(VLOOKUP($A345,Hitters!$A$1:$R$401,10,FALSE)-AVERAGE(Rankings!U$2:U$651))/STDEV(Rankings!U$2:U$651)</f>
        <v>-1.7028776487950823</v>
      </c>
      <c r="O345" s="157">
        <f>(VLOOKUP($A345,Hitters!$A$1:$R$401,11,FALSE)-AVERAGE(Rankings!V$2:V$651))/STDEV(Rankings!V$2:V$651)</f>
        <v>-0.50110736025802727</v>
      </c>
      <c r="P345" s="157">
        <f>(VLOOKUP($A345,Hitters!$A$1:$R$401,12,FALSE)-AVERAGE(Rankings!W$2:W$651))/STDEV(Rankings!W$2:W$651)</f>
        <v>-1.3570512135944552</v>
      </c>
      <c r="Q345" s="157">
        <f>(VLOOKUP($A345,Hitters!$A$1:$R$401,13,FALSE)-AVERAGE(Rankings!X$2:X$651))/STDEV(Rankings!X$2:X$651)</f>
        <v>-1.1953008037252806</v>
      </c>
      <c r="R345" s="118">
        <f>(VLOOKUP($A345,Hitters!$A1:$R401,16,FALSE)-AVERAGE(Rankings!Y2:Y651))/STDEV(Rankings!Y2:Y651)</f>
        <v>-0.47030353943918884</v>
      </c>
      <c r="S345" s="118">
        <f>(VLOOKUP($A345,Hitters!$A1:$R401,17,FALSE)-AVERAGE(Rankings!Z2:Z651))/STDEV(Rankings!Z2:Z651)</f>
        <v>-0.85137072122712276</v>
      </c>
      <c r="T345" s="118">
        <f>IFERROR((VLOOKUP($A345,Hitters!$A1:$R401,18,FALSE)-AVERAGE(Rankings!AA2:AA651))/STDEV(Rankings!AA2:AA651),0)</f>
        <v>0</v>
      </c>
      <c r="U345" s="67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</row>
    <row r="346" spans="1:37" ht="18.600000000000001" customHeight="1">
      <c r="A346" s="26" t="s">
        <v>657</v>
      </c>
      <c r="B346" s="27" t="s">
        <v>63</v>
      </c>
      <c r="C346" s="123" t="s">
        <v>23</v>
      </c>
      <c r="D346" s="67">
        <f>(F346*Settings!$C$2)+(G346*Settings!$C$3)+(H346*Settings!$C$4)+(I346*Settings!$C$5)+(J346*Settings!$C$6)+(M346*Settings!$C$9)+(N346*Settings!$C$10)+(O346*Settings!$C$11)+(P346*Settings!$C$12)+(Q346*Settings!$C$13)+(T346*Settings!$C$16)+(K346*Settings!$C$7)+(L346*Settings!$C$8)+(R346*Settings!$C$14)+(S346*Settings!$C$15)</f>
        <v>-5.4836859795934316</v>
      </c>
      <c r="E346" s="67"/>
      <c r="F346" s="118">
        <f>(VLOOKUP($A346,Hitters!$A1:$R401,4,FALSE)-AVERAGE(Rankings!M2:M651))/STDEV(Rankings!M2:M651)</f>
        <v>-1.9480875048743411</v>
      </c>
      <c r="G346" s="118">
        <f>(VLOOKUP($A346,Hitters!$A1:$R401,5,FALSE)-AVERAGE(Rankings!N2:N651))/STDEV(Rankings!N2:N651)</f>
        <v>-1.6898040254320863</v>
      </c>
      <c r="H346" s="118">
        <f>(VLOOKUP($A346,Hitters!$A1:$R401,6,FALSE)-AVERAGE(Rankings!O2:O651))/STDEV(Rankings!O2:O651)</f>
        <v>-1.4760315711219543</v>
      </c>
      <c r="I346" s="118">
        <f>(VLOOKUP($A346,Hitters!$A1:$R401,7,FALSE)-AVERAGE(Rankings!P2:P651))/STDEV(Rankings!P2:P651)</f>
        <v>-1.7384220774387067</v>
      </c>
      <c r="J346" s="118">
        <f>(VLOOKUP($A346,Hitters!$A1:$R401,8,FALSE)-AVERAGE(Rankings!Q2:Q651))/STDEV(Rankings!Q2:Q651)</f>
        <v>-0.34172255087035258</v>
      </c>
      <c r="K346" s="157">
        <f>(VLOOKUP($A346,Hitters!$A$1:$R$401,14,FALSE)-AVERAGE(Rankings!R$2:R$651))/STDEV(Rankings!R$2:R$651)</f>
        <v>-0.23770575473033187</v>
      </c>
      <c r="L346" s="157">
        <f>(VLOOKUP($A346,Hitters!$A$1:$R$401,15,FALSE)-AVERAGE(Rankings!S$2:S$651))/STDEV(Rankings!S$2:S$651)</f>
        <v>-1.1305552017666343</v>
      </c>
      <c r="M346" s="157">
        <f>(VLOOKUP($A346,Hitters!$A$1:$R$401,9,FALSE)-AVERAGE(Rankings!T$2:T$651))/STDEV(Rankings!T$2:T$651)</f>
        <v>-1.7570156955297991</v>
      </c>
      <c r="N346" s="157">
        <f>(VLOOKUP($A346,Hitters!$A$1:$R$401,10,FALSE)-AVERAGE(Rankings!U$2:U$651))/STDEV(Rankings!U$2:U$651)</f>
        <v>-1.8083732321517527</v>
      </c>
      <c r="O346" s="157">
        <f>(VLOOKUP($A346,Hitters!$A$1:$R$401,11,FALSE)-AVERAGE(Rankings!V$2:V$651))/STDEV(Rankings!V$2:V$651)</f>
        <v>-0.50396871158052703</v>
      </c>
      <c r="P346" s="157">
        <f>(VLOOKUP($A346,Hitters!$A$1:$R$401,12,FALSE)-AVERAGE(Rankings!W$2:W$651))/STDEV(Rankings!W$2:W$651)</f>
        <v>-1.6155668216276831</v>
      </c>
      <c r="Q346" s="157">
        <f>(VLOOKUP($A346,Hitters!$A$1:$R$401,13,FALSE)-AVERAGE(Rankings!X$2:X$651))/STDEV(Rankings!X$2:X$651)</f>
        <v>-1.7559932057662659</v>
      </c>
      <c r="R346" s="118">
        <f>(VLOOKUP($A346,Hitters!$A1:$R401,16,FALSE)-AVERAGE(Rankings!Y2:Y651))/STDEV(Rankings!Y2:Y651)</f>
        <v>-1.3960889331315407</v>
      </c>
      <c r="S346" s="118">
        <f>(VLOOKUP($A346,Hitters!$A1:$R401,17,FALSE)-AVERAGE(Rankings!Z2:Z651))/STDEV(Rankings!Z2:Z651)</f>
        <v>-1.4462248572345076</v>
      </c>
      <c r="T346" s="118">
        <f>IFERROR((VLOOKUP($A346,Hitters!$A1:$R401,18,FALSE)-AVERAGE(Rankings!AA2:AA651))/STDEV(Rankings!AA2:AA651),0)</f>
        <v>0</v>
      </c>
      <c r="U346" s="67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</row>
    <row r="347" spans="1:37" ht="18.600000000000001" customHeight="1">
      <c r="A347" s="26" t="s">
        <v>670</v>
      </c>
      <c r="B347" s="27" t="s">
        <v>223</v>
      </c>
      <c r="C347" s="123" t="s">
        <v>23</v>
      </c>
      <c r="D347" s="67">
        <f>(F347*Settings!$C$2)+(G347*Settings!$C$3)+(H347*Settings!$C$4)+(I347*Settings!$C$5)+(J347*Settings!$C$6)+(M347*Settings!$C$9)+(N347*Settings!$C$10)+(O347*Settings!$C$11)+(P347*Settings!$C$12)+(Q347*Settings!$C$13)+(T347*Settings!$C$16)+(K347*Settings!$C$7)+(L347*Settings!$C$8)+(R347*Settings!$C$14)+(S347*Settings!$C$15)</f>
        <v>-4.0614134424393589</v>
      </c>
      <c r="E347" s="67"/>
      <c r="F347" s="118">
        <f>(VLOOKUP($A347,Hitters!$A1:$R401,4,FALSE)-AVERAGE(Rankings!M2:M651))/STDEV(Rankings!M2:M651)</f>
        <v>-1.3143254045714581</v>
      </c>
      <c r="G347" s="118">
        <f>(VLOOKUP($A347,Hitters!$A1:$R401,5,FALSE)-AVERAGE(Rankings!N2:N651))/STDEV(Rankings!N2:N651)</f>
        <v>-1.1376108897824659</v>
      </c>
      <c r="H347" s="118">
        <f>(VLOOKUP($A347,Hitters!$A1:$R401,6,FALSE)-AVERAGE(Rankings!O2:O651))/STDEV(Rankings!O2:O651)</f>
        <v>-0.71132099277487548</v>
      </c>
      <c r="I347" s="118">
        <f>(VLOOKUP($A347,Hitters!$A1:$R401,7,FALSE)-AVERAGE(Rankings!P2:P651))/STDEV(Rankings!P2:P651)</f>
        <v>-1.0792649873561788</v>
      </c>
      <c r="J347" s="118">
        <f>(VLOOKUP($A347,Hitters!$A1:$R401,8,FALSE)-AVERAGE(Rankings!Q2:Q651))/STDEV(Rankings!Q2:Q651)</f>
        <v>-0.39288235950032951</v>
      </c>
      <c r="K347" s="157">
        <f>(VLOOKUP($A347,Hitters!$A$1:$R$401,14,FALSE)-AVERAGE(Rankings!R$2:R$651))/STDEV(Rankings!R$2:R$651)</f>
        <v>-0.74033421302550884</v>
      </c>
      <c r="L347" s="157">
        <f>(VLOOKUP($A347,Hitters!$A$1:$R$401,15,FALSE)-AVERAGE(Rankings!S$2:S$651))/STDEV(Rankings!S$2:S$651)</f>
        <v>-0.70855521130330212</v>
      </c>
      <c r="M347" s="157">
        <f>(VLOOKUP($A347,Hitters!$A$1:$R$401,9,FALSE)-AVERAGE(Rankings!T$2:T$651))/STDEV(Rankings!T$2:T$651)</f>
        <v>-1.2670027463553817</v>
      </c>
      <c r="N347" s="157">
        <f>(VLOOKUP($A347,Hitters!$A$1:$R$401,10,FALSE)-AVERAGE(Rankings!U$2:U$651))/STDEV(Rankings!U$2:U$651)</f>
        <v>-1.1194605375737932</v>
      </c>
      <c r="O347" s="157">
        <f>(VLOOKUP($A347,Hitters!$A$1:$R$401,11,FALSE)-AVERAGE(Rankings!V$2:V$651))/STDEV(Rankings!V$2:V$651)</f>
        <v>-0.54975033274052176</v>
      </c>
      <c r="P347" s="157">
        <f>(VLOOKUP($A347,Hitters!$A$1:$R$401,12,FALSE)-AVERAGE(Rankings!W$2:W$651))/STDEV(Rankings!W$2:W$651)</f>
        <v>-1.0035205451014693</v>
      </c>
      <c r="Q347" s="157">
        <f>(VLOOKUP($A347,Hitters!$A$1:$R$401,13,FALSE)-AVERAGE(Rankings!X$2:X$651))/STDEV(Rankings!X$2:X$651)</f>
        <v>-0.75945278823512041</v>
      </c>
      <c r="R347" s="118">
        <f>(VLOOKUP($A347,Hitters!$A1:$R401,16,FALSE)-AVERAGE(Rankings!Y2:Y651))/STDEV(Rankings!Y2:Y651)</f>
        <v>-4.9467856502405838E-4</v>
      </c>
      <c r="S347" s="118">
        <f>(VLOOKUP($A347,Hitters!$A1:$R401,17,FALSE)-AVERAGE(Rankings!Z2:Z651))/STDEV(Rankings!Z2:Z651)</f>
        <v>-0.26706293525393154</v>
      </c>
      <c r="T347" s="118">
        <f>IFERROR((VLOOKUP($A347,Hitters!$A1:$R401,18,FALSE)-AVERAGE(Rankings!AA2:AA651))/STDEV(Rankings!AA2:AA651),0)</f>
        <v>0</v>
      </c>
      <c r="U347" s="67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</row>
    <row r="348" spans="1:37" ht="18.600000000000001" customHeight="1">
      <c r="A348" s="26" t="s">
        <v>666</v>
      </c>
      <c r="B348" s="27" t="s">
        <v>223</v>
      </c>
      <c r="C348" s="123" t="s">
        <v>23</v>
      </c>
      <c r="D348" s="67">
        <f>(F348*Settings!$C$2)+(G348*Settings!$C$3)+(H348*Settings!$C$4)+(I348*Settings!$C$5)+(J348*Settings!$C$6)+(M348*Settings!$C$9)+(N348*Settings!$C$10)+(O348*Settings!$C$11)+(P348*Settings!$C$12)+(Q348*Settings!$C$13)+(T348*Settings!$C$16)+(K348*Settings!$C$7)+(L348*Settings!$C$8)+(R348*Settings!$C$14)+(S348*Settings!$C$15)</f>
        <v>-4.8682303735281662</v>
      </c>
      <c r="E348" s="67"/>
      <c r="F348" s="118">
        <f>(VLOOKUP($A348,Hitters!$A1:$R401,4,FALSE)-AVERAGE(Rankings!M2:M651))/STDEV(Rankings!M2:M651)</f>
        <v>-2.0033864376364043</v>
      </c>
      <c r="G348" s="118">
        <f>(VLOOKUP($A348,Hitters!$A1:$R401,5,FALSE)-AVERAGE(Rankings!N2:N651))/STDEV(Rankings!N2:N651)</f>
        <v>-1.6386618840690006</v>
      </c>
      <c r="H348" s="118">
        <f>(VLOOKUP($A348,Hitters!$A1:$R401,6,FALSE)-AVERAGE(Rankings!O2:O651))/STDEV(Rankings!O2:O651)</f>
        <v>-1.265245069930639</v>
      </c>
      <c r="I348" s="118">
        <f>(VLOOKUP($A348,Hitters!$A1:$R401,7,FALSE)-AVERAGE(Rankings!P2:P651))/STDEV(Rankings!P2:P651)</f>
        <v>-1.6658328419411637</v>
      </c>
      <c r="J348" s="118">
        <f>(VLOOKUP($A348,Hitters!$A1:$R401,8,FALSE)-AVERAGE(Rankings!Q2:Q651))/STDEV(Rankings!Q2:Q651)</f>
        <v>-0.63688138487023493</v>
      </c>
      <c r="K348" s="157">
        <f>(VLOOKUP($A348,Hitters!$A$1:$R$401,14,FALSE)-AVERAGE(Rankings!R$2:R$651))/STDEV(Rankings!R$2:R$651)</f>
        <v>0.33839080728287202</v>
      </c>
      <c r="L348" s="157">
        <f>(VLOOKUP($A348,Hitters!$A$1:$R$401,15,FALSE)-AVERAGE(Rankings!S$2:S$651))/STDEV(Rankings!S$2:S$651)</f>
        <v>2.5272633248301642E-2</v>
      </c>
      <c r="M348" s="157">
        <f>(VLOOKUP($A348,Hitters!$A$1:$R$401,9,FALSE)-AVERAGE(Rankings!T$2:T$651))/STDEV(Rankings!T$2:T$651)</f>
        <v>-1.7687129817511891</v>
      </c>
      <c r="N348" s="157">
        <f>(VLOOKUP($A348,Hitters!$A$1:$R$401,10,FALSE)-AVERAGE(Rankings!U$2:U$651))/STDEV(Rankings!U$2:U$651)</f>
        <v>-1.7422502356494753</v>
      </c>
      <c r="O348" s="157">
        <f>(VLOOKUP($A348,Hitters!$A$1:$R$401,11,FALSE)-AVERAGE(Rankings!V$2:V$651))/STDEV(Rankings!V$2:V$651)</f>
        <v>-1.1034218136442093</v>
      </c>
      <c r="P348" s="157">
        <f>(VLOOKUP($A348,Hitters!$A$1:$R$401,12,FALSE)-AVERAGE(Rankings!W$2:W$651))/STDEV(Rankings!W$2:W$651)</f>
        <v>-1.4684567607521819</v>
      </c>
      <c r="Q348" s="157">
        <f>(VLOOKUP($A348,Hitters!$A$1:$R$401,13,FALSE)-AVERAGE(Rankings!X$2:X$651))/STDEV(Rankings!X$2:X$651)</f>
        <v>-1.9051673777346241</v>
      </c>
      <c r="R348" s="118">
        <f>(VLOOKUP($A348,Hitters!$A1:$R401,16,FALSE)-AVERAGE(Rankings!Y2:Y651))/STDEV(Rankings!Y2:Y651)</f>
        <v>-0.18825950902262831</v>
      </c>
      <c r="S348" s="118">
        <f>(VLOOKUP($A348,Hitters!$A1:$R401,17,FALSE)-AVERAGE(Rankings!Z2:Z651))/STDEV(Rankings!Z2:Z651)</f>
        <v>-0.12811032155090452</v>
      </c>
      <c r="T348" s="118">
        <f>IFERROR((VLOOKUP($A348,Hitters!$A1:$R401,18,FALSE)-AVERAGE(Rankings!AA2:AA651))/STDEV(Rankings!AA2:AA651),0)</f>
        <v>0</v>
      </c>
      <c r="U348" s="67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</row>
    <row r="349" spans="1:37" ht="18.600000000000001" customHeight="1">
      <c r="A349" s="26" t="s">
        <v>669</v>
      </c>
      <c r="B349" s="27" t="s">
        <v>71</v>
      </c>
      <c r="C349" s="123" t="s">
        <v>23</v>
      </c>
      <c r="D349" s="67">
        <f>(F349*Settings!$C$2)+(G349*Settings!$C$3)+(H349*Settings!$C$4)+(I349*Settings!$C$5)+(J349*Settings!$C$6)+(M349*Settings!$C$9)+(N349*Settings!$C$10)+(O349*Settings!$C$11)+(P349*Settings!$C$12)+(Q349*Settings!$C$13)+(T349*Settings!$C$16)+(K349*Settings!$C$7)+(L349*Settings!$C$8)+(R349*Settings!$C$14)+(S349*Settings!$C$15)</f>
        <v>-4.954298710633509</v>
      </c>
      <c r="E349" s="67"/>
      <c r="F349" s="118">
        <f>(VLOOKUP($A349,Hitters!$A1:$R401,4,FALSE)-AVERAGE(Rankings!M2:M651))/STDEV(Rankings!M2:M651)</f>
        <v>-1.6780563526855645</v>
      </c>
      <c r="G349" s="118">
        <f>(VLOOKUP($A349,Hitters!$A1:$R401,5,FALSE)-AVERAGE(Rankings!N2:N651))/STDEV(Rankings!N2:N651)</f>
        <v>-1.3948682850575624</v>
      </c>
      <c r="H349" s="118">
        <f>(VLOOKUP($A349,Hitters!$A1:$R401,6,FALSE)-AVERAGE(Rankings!O2:O651))/STDEV(Rankings!O2:O651)</f>
        <v>-1.3008405431985708</v>
      </c>
      <c r="I349" s="118">
        <f>(VLOOKUP($A349,Hitters!$A1:$R401,7,FALSE)-AVERAGE(Rankings!P2:P651))/STDEV(Rankings!P2:P651)</f>
        <v>-1.5383180909444276</v>
      </c>
      <c r="J349" s="118">
        <f>(VLOOKUP($A349,Hitters!$A1:$R401,8,FALSE)-AVERAGE(Rankings!Q2:Q651))/STDEV(Rankings!Q2:Q651)</f>
        <v>0.37578188595254347</v>
      </c>
      <c r="K349" s="157">
        <f>(VLOOKUP($A349,Hitters!$A$1:$R$401,14,FALSE)-AVERAGE(Rankings!R$2:R$651))/STDEV(Rankings!R$2:R$651)</f>
        <v>-1.0960536773854914</v>
      </c>
      <c r="L349" s="157">
        <f>(VLOOKUP($A349,Hitters!$A$1:$R$401,15,FALSE)-AVERAGE(Rankings!S$2:S$651))/STDEV(Rankings!S$2:S$651)</f>
        <v>-0.89260038037887379</v>
      </c>
      <c r="M349" s="157">
        <f>(VLOOKUP($A349,Hitters!$A$1:$R$401,9,FALSE)-AVERAGE(Rankings!T$2:T$651))/STDEV(Rankings!T$2:T$651)</f>
        <v>-1.5972526326315042</v>
      </c>
      <c r="N349" s="157">
        <f>(VLOOKUP($A349,Hitters!$A$1:$R$401,10,FALSE)-AVERAGE(Rankings!U$2:U$651))/STDEV(Rankings!U$2:U$651)</f>
        <v>-1.4662118261730472</v>
      </c>
      <c r="O349" s="157">
        <f>(VLOOKUP($A349,Hitters!$A$1:$R$401,11,FALSE)-AVERAGE(Rankings!V$2:V$651))/STDEV(Rankings!V$2:V$651)</f>
        <v>-0.5559499272726045</v>
      </c>
      <c r="P349" s="157">
        <f>(VLOOKUP($A349,Hitters!$A$1:$R$401,12,FALSE)-AVERAGE(Rankings!W$2:W$651))/STDEV(Rankings!W$2:W$651)</f>
        <v>-1.208323875094107</v>
      </c>
      <c r="Q349" s="157">
        <f>(VLOOKUP($A349,Hitters!$A$1:$R$401,13,FALSE)-AVERAGE(Rankings!X$2:X$651))/STDEV(Rankings!X$2:X$651)</f>
        <v>-1.2975871447589398</v>
      </c>
      <c r="R349" s="118">
        <f>(VLOOKUP($A349,Hitters!$A1:$R401,16,FALSE)-AVERAGE(Rankings!Y2:Y651))/STDEV(Rankings!Y2:Y651)</f>
        <v>-1.3565697106548542</v>
      </c>
      <c r="S349" s="118">
        <f>(VLOOKUP($A349,Hitters!$A1:$R401,17,FALSE)-AVERAGE(Rankings!Z2:Z651))/STDEV(Rankings!Z2:Z651)</f>
        <v>-1.3277618176288226</v>
      </c>
      <c r="T349" s="118">
        <f>IFERROR((VLOOKUP($A349,Hitters!$A1:$R401,18,FALSE)-AVERAGE(Rankings!AA2:AA651))/STDEV(Rankings!AA2:AA651),0)</f>
        <v>0</v>
      </c>
      <c r="U349" s="67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</row>
    <row r="350" spans="1:37" ht="18.600000000000001" customHeight="1">
      <c r="A350" s="26" t="s">
        <v>675</v>
      </c>
      <c r="B350" s="27" t="s">
        <v>120</v>
      </c>
      <c r="C350" s="123" t="s">
        <v>23</v>
      </c>
      <c r="D350" s="67">
        <f>(F350*Settings!$C$2)+(G350*Settings!$C$3)+(H350*Settings!$C$4)+(I350*Settings!$C$5)+(J350*Settings!$C$6)+(M350*Settings!$C$9)+(N350*Settings!$C$10)+(O350*Settings!$C$11)+(P350*Settings!$C$12)+(Q350*Settings!$C$13)+(T350*Settings!$C$16)+(K350*Settings!$C$7)+(L350*Settings!$C$8)+(R350*Settings!$C$14)+(S350*Settings!$C$15)</f>
        <v>-5.058842641555759</v>
      </c>
      <c r="E350" s="67"/>
      <c r="F350" s="118">
        <f>(VLOOKUP($A350,Hitters!$A1:$R401,4,FALSE)-AVERAGE(Rankings!M2:M651))/STDEV(Rankings!M2:M651)</f>
        <v>-1.8832834079629546</v>
      </c>
      <c r="G350" s="118">
        <f>(VLOOKUP($A350,Hitters!$A1:$R401,5,FALSE)-AVERAGE(Rankings!N2:N651))/STDEV(Rankings!N2:N651)</f>
        <v>-1.5991832950247145</v>
      </c>
      <c r="H350" s="118">
        <f>(VLOOKUP($A350,Hitters!$A1:$R401,6,FALSE)-AVERAGE(Rankings!O2:O651))/STDEV(Rankings!O2:O651)</f>
        <v>-1.2089610339218539</v>
      </c>
      <c r="I350" s="118">
        <f>(VLOOKUP($A350,Hitters!$A1:$R401,7,FALSE)-AVERAGE(Rankings!P2:P651))/STDEV(Rankings!P2:P651)</f>
        <v>-1.5328713530775011</v>
      </c>
      <c r="J350" s="118">
        <f>(VLOOKUP($A350,Hitters!$A1:$R401,8,FALSE)-AVERAGE(Rankings!Q2:Q651))/STDEV(Rankings!Q2:Q651)</f>
        <v>-0.91271669982102377</v>
      </c>
      <c r="K350" s="157">
        <f>(VLOOKUP($A350,Hitters!$A$1:$R$401,14,FALSE)-AVERAGE(Rankings!R$2:R$651))/STDEV(Rankings!R$2:R$651)</f>
        <v>0.19488974028933434</v>
      </c>
      <c r="L350" s="157">
        <f>(VLOOKUP($A350,Hitters!$A$1:$R$401,15,FALSE)-AVERAGE(Rankings!S$2:S$651))/STDEV(Rankings!S$2:S$651)</f>
        <v>0.24462716325735595</v>
      </c>
      <c r="M350" s="157">
        <f>(VLOOKUP($A350,Hitters!$A$1:$R$401,9,FALSE)-AVERAGE(Rankings!T$2:T$651))/STDEV(Rankings!T$2:T$651)</f>
        <v>-1.6708661560350027</v>
      </c>
      <c r="N350" s="157">
        <f>(VLOOKUP($A350,Hitters!$A$1:$R$401,10,FALSE)-AVERAGE(Rankings!U$2:U$651))/STDEV(Rankings!U$2:U$651)</f>
        <v>-1.7127028662796939</v>
      </c>
      <c r="O350" s="157">
        <f>(VLOOKUP($A350,Hitters!$A$1:$R$401,11,FALSE)-AVERAGE(Rankings!V$2:V$651))/STDEV(Rankings!V$2:V$651)</f>
        <v>-0.5578574948209376</v>
      </c>
      <c r="P350" s="157">
        <f>(VLOOKUP($A350,Hitters!$A$1:$R$401,12,FALSE)-AVERAGE(Rankings!W$2:W$651))/STDEV(Rankings!W$2:W$651)</f>
        <v>-1.3011307295660937</v>
      </c>
      <c r="Q350" s="157">
        <f>(VLOOKUP($A350,Hitters!$A$1:$R$401,13,FALSE)-AVERAGE(Rankings!X$2:X$651))/STDEV(Rankings!X$2:X$651)</f>
        <v>-1.8466366845975168</v>
      </c>
      <c r="R350" s="118">
        <f>(VLOOKUP($A350,Hitters!$A1:$R401,16,FALSE)-AVERAGE(Rankings!Y2:Y651))/STDEV(Rankings!Y2:Y651)</f>
        <v>-0.16202672053328399</v>
      </c>
      <c r="S350" s="118">
        <f>(VLOOKUP($A350,Hitters!$A1:$R401,17,FALSE)-AVERAGE(Rankings!Z2:Z651))/STDEV(Rankings!Z2:Z651)</f>
        <v>-2.6362440288834239E-2</v>
      </c>
      <c r="T350" s="118">
        <f>IFERROR((VLOOKUP($A350,Hitters!$A1:$R401,18,FALSE)-AVERAGE(Rankings!AA2:AA651))/STDEV(Rankings!AA2:AA651),0)</f>
        <v>0</v>
      </c>
      <c r="U350" s="67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</row>
    <row r="351" spans="1:37" ht="18.600000000000001" customHeight="1">
      <c r="A351" s="26" t="s">
        <v>682</v>
      </c>
      <c r="B351" s="27" t="s">
        <v>156</v>
      </c>
      <c r="C351" s="123" t="s">
        <v>23</v>
      </c>
      <c r="D351" s="67">
        <f>(F351*Settings!$C$2)+(G351*Settings!$C$3)+(H351*Settings!$C$4)+(I351*Settings!$C$5)+(J351*Settings!$C$6)+(M351*Settings!$C$9)+(N351*Settings!$C$10)+(O351*Settings!$C$11)+(P351*Settings!$C$12)+(Q351*Settings!$C$13)+(T351*Settings!$C$16)+(K351*Settings!$C$7)+(L351*Settings!$C$8)+(R351*Settings!$C$14)+(S351*Settings!$C$15)</f>
        <v>-3.128789144403143</v>
      </c>
      <c r="E351" s="67"/>
      <c r="F351" s="118">
        <f>(VLOOKUP($A351,Hitters!$A1:$R401,4,FALSE)-AVERAGE(Rankings!M2:M651))/STDEV(Rankings!M2:M651)</f>
        <v>-0.31159395457884237</v>
      </c>
      <c r="G351" s="118">
        <f>(VLOOKUP($A351,Hitters!$A1:$R401,5,FALSE)-AVERAGE(Rankings!N2:N651))/STDEV(Rankings!N2:N651)</f>
        <v>-0.5059534650738915</v>
      </c>
      <c r="H351" s="118">
        <f>(VLOOKUP($A351,Hitters!$A1:$R401,6,FALSE)-AVERAGE(Rankings!O2:O651))/STDEV(Rankings!O2:O651)</f>
        <v>-0.41708365601607977</v>
      </c>
      <c r="I351" s="118">
        <f>(VLOOKUP($A351,Hitters!$A1:$R401,7,FALSE)-AVERAGE(Rankings!P2:P651))/STDEV(Rankings!P2:P651)</f>
        <v>-0.43023781162429009</v>
      </c>
      <c r="J351" s="118">
        <f>(VLOOKUP($A351,Hitters!$A1:$R401,8,FALSE)-AVERAGE(Rankings!Q2:Q651))/STDEV(Rankings!Q2:Q651)</f>
        <v>-0.75781176842747133</v>
      </c>
      <c r="K351" s="157">
        <f>(VLOOKUP($A351,Hitters!$A$1:$R$401,14,FALSE)-AVERAGE(Rankings!R$2:R$651))/STDEV(Rankings!R$2:R$651)</f>
        <v>-1.0177024432614108</v>
      </c>
      <c r="L351" s="157">
        <f>(VLOOKUP($A351,Hitters!$A$1:$R$401,15,FALSE)-AVERAGE(Rankings!S$2:S$651))/STDEV(Rankings!S$2:S$651)</f>
        <v>-0.46686562335185294</v>
      </c>
      <c r="M351" s="157">
        <f>(VLOOKUP($A351,Hitters!$A$1:$R$401,9,FALSE)-AVERAGE(Rankings!T$2:T$651))/STDEV(Rankings!T$2:T$651)</f>
        <v>-0.48837685801811304</v>
      </c>
      <c r="N351" s="157">
        <f>(VLOOKUP($A351,Hitters!$A$1:$R$401,10,FALSE)-AVERAGE(Rankings!U$2:U$651))/STDEV(Rankings!U$2:U$651)</f>
        <v>-0.36485514798923241</v>
      </c>
      <c r="O351" s="157">
        <f>(VLOOKUP($A351,Hitters!$A$1:$R$401,11,FALSE)-AVERAGE(Rankings!V$2:V$651))/STDEV(Rankings!V$2:V$651)</f>
        <v>-1.4038637025066756</v>
      </c>
      <c r="P351" s="157">
        <f>(VLOOKUP($A351,Hitters!$A$1:$R$401,12,FALSE)-AVERAGE(Rankings!W$2:W$651))/STDEV(Rankings!W$2:W$651)</f>
        <v>-4.3137549377451241E-2</v>
      </c>
      <c r="Q351" s="157">
        <f>(VLOOKUP($A351,Hitters!$A$1:$R$401,13,FALSE)-AVERAGE(Rankings!X$2:X$651))/STDEV(Rankings!X$2:X$651)</f>
        <v>0.4703561701067791</v>
      </c>
      <c r="R351" s="118">
        <f>(VLOOKUP($A351,Hitters!$A1:$R401,16,FALSE)-AVERAGE(Rankings!Y2:Y651))/STDEV(Rankings!Y2:Y651)</f>
        <v>-0.95447140703137556</v>
      </c>
      <c r="S351" s="118">
        <f>(VLOOKUP($A351,Hitters!$A1:$R401,17,FALSE)-AVERAGE(Rankings!Z2:Z651))/STDEV(Rankings!Z2:Z651)</f>
        <v>-0.87353480144571782</v>
      </c>
      <c r="T351" s="118">
        <f>IFERROR((VLOOKUP($A351,Hitters!$A1:$R401,18,FALSE)-AVERAGE(Rankings!AA2:AA651))/STDEV(Rankings!AA2:AA651),0)</f>
        <v>0</v>
      </c>
      <c r="U351" s="67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</row>
    <row r="352" spans="1:37" ht="18.600000000000001" customHeight="1">
      <c r="A352" s="26" t="s">
        <v>683</v>
      </c>
      <c r="B352" s="27" t="s">
        <v>103</v>
      </c>
      <c r="C352" s="123" t="s">
        <v>23</v>
      </c>
      <c r="D352" s="67">
        <f>(F352*Settings!$C$2)+(G352*Settings!$C$3)+(H352*Settings!$C$4)+(I352*Settings!$C$5)+(J352*Settings!$C$6)+(M352*Settings!$C$9)+(N352*Settings!$C$10)+(O352*Settings!$C$11)+(P352*Settings!$C$12)+(Q352*Settings!$C$13)+(T352*Settings!$C$16)+(K352*Settings!$C$7)+(L352*Settings!$C$8)+(R352*Settings!$C$14)+(S352*Settings!$C$15)</f>
        <v>-4.8622405169462066</v>
      </c>
      <c r="E352" s="67"/>
      <c r="F352" s="118">
        <f>(VLOOKUP($A352,Hitters!$A1:$R401,4,FALSE)-AVERAGE(Rankings!M2:M651))/STDEV(Rankings!M2:M651)</f>
        <v>-1.82828019141887</v>
      </c>
      <c r="G352" s="118">
        <f>(VLOOKUP($A352,Hitters!$A1:$R401,5,FALSE)-AVERAGE(Rankings!N2:N651))/STDEV(Rankings!N2:N651)</f>
        <v>-1.485691859853087</v>
      </c>
      <c r="H352" s="118">
        <f>(VLOOKUP($A352,Hitters!$A1:$R401,6,FALSE)-AVERAGE(Rankings!O2:O651))/STDEV(Rankings!O2:O651)</f>
        <v>-1.3453522993985874</v>
      </c>
      <c r="I352" s="118">
        <f>(VLOOKUP($A352,Hitters!$A1:$R401,7,FALSE)-AVERAGE(Rankings!P2:P651))/STDEV(Rankings!P2:P651)</f>
        <v>-1.6006246998146894</v>
      </c>
      <c r="J352" s="118">
        <f>(VLOOKUP($A352,Hitters!$A1:$R401,8,FALSE)-AVERAGE(Rankings!Q2:Q651))/STDEV(Rankings!Q2:Q651)</f>
        <v>-0.14547795987177234</v>
      </c>
      <c r="K352" s="157">
        <f>(VLOOKUP($A352,Hitters!$A$1:$R$401,14,FALSE)-AVERAGE(Rankings!R$2:R$651))/STDEV(Rankings!R$2:R$651)</f>
        <v>-0.28509369800807044</v>
      </c>
      <c r="L352" s="157">
        <f>(VLOOKUP($A352,Hitters!$A$1:$R$401,15,FALSE)-AVERAGE(Rankings!S$2:S$651))/STDEV(Rankings!S$2:S$651)</f>
        <v>-0.76516103931895563</v>
      </c>
      <c r="M352" s="157">
        <f>(VLOOKUP($A352,Hitters!$A$1:$R$401,9,FALSE)-AVERAGE(Rankings!T$2:T$651))/STDEV(Rankings!T$2:T$651)</f>
        <v>-1.657536342031114</v>
      </c>
      <c r="N352" s="157">
        <f>(VLOOKUP($A352,Hitters!$A$1:$R$401,10,FALSE)-AVERAGE(Rankings!U$2:U$651))/STDEV(Rankings!U$2:U$651)</f>
        <v>-1.5491882979226512</v>
      </c>
      <c r="O352" s="157">
        <f>(VLOOKUP($A352,Hitters!$A$1:$R$401,11,FALSE)-AVERAGE(Rankings!V$2:V$651))/STDEV(Rankings!V$2:V$651)</f>
        <v>0.31866979363813014</v>
      </c>
      <c r="P352" s="157">
        <f>(VLOOKUP($A352,Hitters!$A$1:$R$401,12,FALSE)-AVERAGE(Rankings!W$2:W$651))/STDEV(Rankings!W$2:W$651)</f>
        <v>-1.4504800979221522</v>
      </c>
      <c r="Q352" s="157">
        <f>(VLOOKUP($A352,Hitters!$A$1:$R$401,13,FALSE)-AVERAGE(Rankings!X$2:X$651))/STDEV(Rankings!X$2:X$651)</f>
        <v>-1.4448946621894116</v>
      </c>
      <c r="R352" s="118">
        <f>(VLOOKUP($A352,Hitters!$A1:$R401,16,FALSE)-AVERAGE(Rankings!Y2:Y651))/STDEV(Rankings!Y2:Y651)</f>
        <v>-0.54498763673347284</v>
      </c>
      <c r="S352" s="118">
        <f>(VLOOKUP($A352,Hitters!$A1:$R401,17,FALSE)-AVERAGE(Rankings!Z2:Z651))/STDEV(Rankings!Z2:Z651)</f>
        <v>-0.68644696976684372</v>
      </c>
      <c r="T352" s="118">
        <f>IFERROR((VLOOKUP($A352,Hitters!$A1:$R401,18,FALSE)-AVERAGE(Rankings!AA2:AA651))/STDEV(Rankings!AA2:AA651),0)</f>
        <v>0</v>
      </c>
      <c r="U352" s="67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</row>
    <row r="353" spans="1:37" ht="18.600000000000001" customHeight="1">
      <c r="A353" s="26" t="s">
        <v>692</v>
      </c>
      <c r="B353" s="27" t="s">
        <v>176</v>
      </c>
      <c r="C353" s="123" t="s">
        <v>23</v>
      </c>
      <c r="D353" s="67">
        <f>(F353*Settings!$C$2)+(G353*Settings!$C$3)+(H353*Settings!$C$4)+(I353*Settings!$C$5)+(J353*Settings!$C$6)+(M353*Settings!$C$9)+(N353*Settings!$C$10)+(O353*Settings!$C$11)+(P353*Settings!$C$12)+(Q353*Settings!$C$13)+(T353*Settings!$C$16)+(K353*Settings!$C$7)+(L353*Settings!$C$8)+(R353*Settings!$C$14)+(S353*Settings!$C$15)</f>
        <v>-4.9060662674718944</v>
      </c>
      <c r="E353" s="67"/>
      <c r="F353" s="118">
        <f>(VLOOKUP($A353,Hitters!$A1:$R401,4,FALSE)-AVERAGE(Rankings!M2:M651))/STDEV(Rankings!M2:M651)</f>
        <v>-1.5481524426448121</v>
      </c>
      <c r="G353" s="118">
        <f>(VLOOKUP($A353,Hitters!$A1:$R401,5,FALSE)-AVERAGE(Rankings!N2:N651))/STDEV(Rankings!N2:N651)</f>
        <v>-1.329603103169321</v>
      </c>
      <c r="H353" s="118">
        <f>(VLOOKUP($A353,Hitters!$A1:$R401,6,FALSE)-AVERAGE(Rankings!O2:O651))/STDEV(Rankings!O2:O651)</f>
        <v>-0.85572298119840373</v>
      </c>
      <c r="I353" s="118">
        <f>(VLOOKUP($A353,Hitters!$A1:$R401,7,FALSE)-AVERAGE(Rankings!P2:P651))/STDEV(Rankings!P2:P651)</f>
        <v>-1.2155606942598753</v>
      </c>
      <c r="J353" s="118">
        <f>(VLOOKUP($A353,Hitters!$A1:$R401,8,FALSE)-AVERAGE(Rankings!Q2:Q651))/STDEV(Rankings!Q2:Q651)</f>
        <v>-0.66349082093783895</v>
      </c>
      <c r="K353" s="157">
        <f>(VLOOKUP($A353,Hitters!$A$1:$R$401,14,FALSE)-AVERAGE(Rankings!R$2:R$651))/STDEV(Rankings!R$2:R$651)</f>
        <v>-0.84168866790645502</v>
      </c>
      <c r="L353" s="157">
        <f>(VLOOKUP($A353,Hitters!$A$1:$R$401,15,FALSE)-AVERAGE(Rankings!S$2:S$651))/STDEV(Rankings!S$2:S$651)</f>
        <v>-0.62773911074293576</v>
      </c>
      <c r="M353" s="157">
        <f>(VLOOKUP($A353,Hitters!$A$1:$R$401,9,FALSE)-AVERAGE(Rankings!T$2:T$651))/STDEV(Rankings!T$2:T$651)</f>
        <v>-1.4694661460234373</v>
      </c>
      <c r="N353" s="157">
        <f>(VLOOKUP($A353,Hitters!$A$1:$R$401,10,FALSE)-AVERAGE(Rankings!U$2:U$651))/STDEV(Rankings!U$2:U$651)</f>
        <v>-1.3414243924268832</v>
      </c>
      <c r="O353" s="157">
        <f>(VLOOKUP($A353,Hitters!$A$1:$R$401,11,FALSE)-AVERAGE(Rankings!V$2:V$651))/STDEV(Rankings!V$2:V$651)</f>
        <v>-0.55404235972427129</v>
      </c>
      <c r="P353" s="157">
        <f>(VLOOKUP($A353,Hitters!$A$1:$R$401,12,FALSE)-AVERAGE(Rankings!W$2:W$651))/STDEV(Rankings!W$2:W$651)</f>
        <v>-1.0958919786744585</v>
      </c>
      <c r="Q353" s="157">
        <f>(VLOOKUP($A353,Hitters!$A$1:$R$401,13,FALSE)-AVERAGE(Rankings!X$2:X$651))/STDEV(Rankings!X$2:X$651)</f>
        <v>-1.0036048741481263</v>
      </c>
      <c r="R353" s="118">
        <f>(VLOOKUP($A353,Hitters!$A1:$R401,16,FALSE)-AVERAGE(Rankings!Y2:Y651))/STDEV(Rankings!Y2:Y651)</f>
        <v>-1.8175439779474577E-2</v>
      </c>
      <c r="S353" s="118">
        <f>(VLOOKUP($A353,Hitters!$A1:$R401,17,FALSE)-AVERAGE(Rankings!Z2:Z651))/STDEV(Rankings!Z2:Z651)</f>
        <v>-0.24956855527689428</v>
      </c>
      <c r="T353" s="118">
        <f>IFERROR((VLOOKUP($A353,Hitters!$A1:$R401,18,FALSE)-AVERAGE(Rankings!AA2:AA651))/STDEV(Rankings!AA2:AA651),0)</f>
        <v>0</v>
      </c>
      <c r="U353" s="67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</row>
    <row r="354" spans="1:37" ht="18.600000000000001" customHeight="1">
      <c r="A354" s="26" t="s">
        <v>699</v>
      </c>
      <c r="B354" s="27" t="s">
        <v>73</v>
      </c>
      <c r="C354" s="123" t="s">
        <v>23</v>
      </c>
      <c r="D354" s="67">
        <f>(F354*Settings!$C$2)+(G354*Settings!$C$3)+(H354*Settings!$C$4)+(I354*Settings!$C$5)+(J354*Settings!$C$6)+(M354*Settings!$C$9)+(N354*Settings!$C$10)+(O354*Settings!$C$11)+(P354*Settings!$C$12)+(Q354*Settings!$C$13)+(T354*Settings!$C$16)+(K354*Settings!$C$7)+(L354*Settings!$C$8)+(R354*Settings!$C$14)+(S354*Settings!$C$15)</f>
        <v>-5.0519810055146044</v>
      </c>
      <c r="E354" s="67"/>
      <c r="F354" s="118">
        <f>(VLOOKUP($A354,Hitters!$A1:$R401,4,FALSE)-AVERAGE(Rankings!M2:M651))/STDEV(Rankings!M2:M651)</f>
        <v>-1.5779352903126922</v>
      </c>
      <c r="G354" s="118">
        <f>(VLOOKUP($A354,Hitters!$A1:$R401,5,FALSE)-AVERAGE(Rankings!N2:N651))/STDEV(Rankings!N2:N651)</f>
        <v>-1.2070597371763638</v>
      </c>
      <c r="H354" s="118">
        <f>(VLOOKUP($A354,Hitters!$A1:$R401,6,FALSE)-AVERAGE(Rankings!O2:O651))/STDEV(Rankings!O2:O651)</f>
        <v>-0.63929414471412871</v>
      </c>
      <c r="I354" s="118">
        <f>(VLOOKUP($A354,Hitters!$A1:$R401,7,FALSE)-AVERAGE(Rankings!P2:P651))/STDEV(Rankings!P2:P651)</f>
        <v>-1.1369902279271564</v>
      </c>
      <c r="J354" s="118">
        <f>(VLOOKUP($A354,Hitters!$A1:$R401,8,FALSE)-AVERAGE(Rankings!Q2:Q651))/STDEV(Rankings!Q2:Q651)</f>
        <v>-0.54224365837979771</v>
      </c>
      <c r="K354" s="157">
        <f>(VLOOKUP($A354,Hitters!$A$1:$R$401,14,FALSE)-AVERAGE(Rankings!R$2:R$651))/STDEV(Rankings!R$2:R$651)</f>
        <v>-1.5263932373171576</v>
      </c>
      <c r="L354" s="157">
        <f>(VLOOKUP($A354,Hitters!$A$1:$R$401,15,FALSE)-AVERAGE(Rankings!S$2:S$651))/STDEV(Rankings!S$2:S$651)</f>
        <v>-0.30875845667451202</v>
      </c>
      <c r="M354" s="157">
        <f>(VLOOKUP($A354,Hitters!$A$1:$R$401,9,FALSE)-AVERAGE(Rankings!T$2:T$651))/STDEV(Rankings!T$2:T$651)</f>
        <v>-1.5562297556015587</v>
      </c>
      <c r="N354" s="157">
        <f>(VLOOKUP($A354,Hitters!$A$1:$R$401,10,FALSE)-AVERAGE(Rankings!U$2:U$651))/STDEV(Rankings!U$2:U$651)</f>
        <v>-1.465136072433856</v>
      </c>
      <c r="O354" s="157">
        <f>(VLOOKUP($A354,Hitters!$A$1:$R$401,11,FALSE)-AVERAGE(Rankings!V$2:V$651))/STDEV(Rankings!V$2:V$651)</f>
        <v>-0.57693317030426872</v>
      </c>
      <c r="P354" s="157">
        <f>(VLOOKUP($A354,Hitters!$A$1:$R$401,12,FALSE)-AVERAGE(Rankings!W$2:W$651))/STDEV(Rankings!W$2:W$651)</f>
        <v>-0.81187314655710585</v>
      </c>
      <c r="Q354" s="157">
        <f>(VLOOKUP($A354,Hitters!$A$1:$R$401,13,FALSE)-AVERAGE(Rankings!X$2:X$651))/STDEV(Rankings!X$2:X$651)</f>
        <v>-1.1811585227348549</v>
      </c>
      <c r="R354" s="118">
        <f>(VLOOKUP($A354,Hitters!$A1:$R401,16,FALSE)-AVERAGE(Rankings!Y2:Y651))/STDEV(Rankings!Y2:Y651)</f>
        <v>0.31719101404988087</v>
      </c>
      <c r="S354" s="118">
        <f>(VLOOKUP($A354,Hitters!$A1:$R401,17,FALSE)-AVERAGE(Rankings!Z2:Z651))/STDEV(Rankings!Z2:Z651)</f>
        <v>0.11568681807711444</v>
      </c>
      <c r="T354" s="118">
        <f>IFERROR((VLOOKUP($A354,Hitters!$A1:$R401,18,FALSE)-AVERAGE(Rankings!AA2:AA651))/STDEV(Rankings!AA2:AA651),0)</f>
        <v>0</v>
      </c>
      <c r="U354" s="67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</row>
    <row r="355" spans="1:37" ht="18.600000000000001" customHeight="1">
      <c r="A355" s="26" t="s">
        <v>715</v>
      </c>
      <c r="B355" s="27" t="s">
        <v>140</v>
      </c>
      <c r="C355" s="123" t="s">
        <v>23</v>
      </c>
      <c r="D355" s="67">
        <f>(F355*Settings!$C$2)+(G355*Settings!$C$3)+(H355*Settings!$C$4)+(I355*Settings!$C$5)+(J355*Settings!$C$6)+(M355*Settings!$C$9)+(N355*Settings!$C$10)+(O355*Settings!$C$11)+(P355*Settings!$C$12)+(Q355*Settings!$C$13)+(T355*Settings!$C$16)+(K355*Settings!$C$7)+(L355*Settings!$C$8)+(R355*Settings!$C$14)+(S355*Settings!$C$15)</f>
        <v>-5.5572903700774088</v>
      </c>
      <c r="E355" s="67"/>
      <c r="F355" s="118">
        <f>(VLOOKUP($A355,Hitters!$A1:$R401,4,FALSE)-AVERAGE(Rankings!M2:M651))/STDEV(Rankings!M2:M651)</f>
        <v>-1.0957488743110186</v>
      </c>
      <c r="G355" s="118">
        <f>(VLOOKUP($A355,Hitters!$A1:$R401,5,FALSE)-AVERAGE(Rankings!N2:N651))/STDEV(Rankings!N2:N651)</f>
        <v>-1.2621066330113959</v>
      </c>
      <c r="H355" s="118">
        <f>(VLOOKUP($A355,Hitters!$A1:$R401,6,FALSE)-AVERAGE(Rankings!O2:O651))/STDEV(Rankings!O2:O651)</f>
        <v>-1.1245349799086768</v>
      </c>
      <c r="I355" s="118">
        <f>(VLOOKUP($A355,Hitters!$A1:$R401,7,FALSE)-AVERAGE(Rankings!P2:P651))/STDEV(Rankings!P2:P651)</f>
        <v>-1.2394092614622589</v>
      </c>
      <c r="J355" s="118">
        <f>(VLOOKUP($A355,Hitters!$A1:$R401,8,FALSE)-AVERAGE(Rankings!Q2:Q651))/STDEV(Rankings!Q2:Q651)</f>
        <v>-0.4467347896371473</v>
      </c>
      <c r="K355" s="157">
        <f>(VLOOKUP($A355,Hitters!$A$1:$R$401,14,FALSE)-AVERAGE(Rankings!R$2:R$651))/STDEV(Rankings!R$2:R$651)</f>
        <v>-1.4845047060579293</v>
      </c>
      <c r="L355" s="157">
        <f>(VLOOKUP($A355,Hitters!$A$1:$R$401,15,FALSE)-AVERAGE(Rankings!S$2:S$651))/STDEV(Rankings!S$2:S$651)</f>
        <v>-1.8434240636234562</v>
      </c>
      <c r="M355" s="157">
        <f>(VLOOKUP($A355,Hitters!$A$1:$R$401,9,FALSE)-AVERAGE(Rankings!T$2:T$651))/STDEV(Rankings!T$2:T$651)</f>
        <v>-1.1787414048667113</v>
      </c>
      <c r="N355" s="157">
        <f>(VLOOKUP($A355,Hitters!$A$1:$R$401,10,FALSE)-AVERAGE(Rankings!U$2:U$651))/STDEV(Rankings!U$2:U$651)</f>
        <v>-1.1409756123576145</v>
      </c>
      <c r="O355" s="157">
        <f>(VLOOKUP($A355,Hitters!$A$1:$R$401,11,FALSE)-AVERAGE(Rankings!V$2:V$651))/STDEV(Rankings!V$2:V$651)</f>
        <v>-0.54545830575677234</v>
      </c>
      <c r="P355" s="157">
        <f>(VLOOKUP($A355,Hitters!$A$1:$R$401,12,FALSE)-AVERAGE(Rankings!W$2:W$651))/STDEV(Rankings!W$2:W$651)</f>
        <v>-1.1278332117651857</v>
      </c>
      <c r="Q355" s="157">
        <f>(VLOOKUP($A355,Hitters!$A$1:$R$401,13,FALSE)-AVERAGE(Rankings!X$2:X$651))/STDEV(Rankings!X$2:X$651)</f>
        <v>-0.75276130628998628</v>
      </c>
      <c r="R355" s="118">
        <f>(VLOOKUP($A355,Hitters!$A1:$R401,16,FALSE)-AVERAGE(Rankings!Y2:Y651))/STDEV(Rankings!Y2:Y651)</f>
        <v>-1.7946073610972224</v>
      </c>
      <c r="S355" s="118">
        <f>(VLOOKUP($A355,Hitters!$A1:$R401,17,FALSE)-AVERAGE(Rankings!Z2:Z651))/STDEV(Rankings!Z2:Z651)</f>
        <v>-2.0059173558976746</v>
      </c>
      <c r="T355" s="118">
        <f>IFERROR((VLOOKUP($A355,Hitters!$A1:$R401,18,FALSE)-AVERAGE(Rankings!AA2:AA651))/STDEV(Rankings!AA2:AA651),0)</f>
        <v>0</v>
      </c>
      <c r="U355" s="67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</row>
    <row r="356" spans="1:37" ht="18.600000000000001" customHeight="1">
      <c r="A356" s="26" t="s">
        <v>719</v>
      </c>
      <c r="B356" s="27" t="s">
        <v>137</v>
      </c>
      <c r="C356" s="123" t="s">
        <v>23</v>
      </c>
      <c r="D356" s="67">
        <f>(F356*Settings!$C$2)+(G356*Settings!$C$3)+(H356*Settings!$C$4)+(I356*Settings!$C$5)+(J356*Settings!$C$6)+(M356*Settings!$C$9)+(N356*Settings!$C$10)+(O356*Settings!$C$11)+(P356*Settings!$C$12)+(Q356*Settings!$C$13)+(T356*Settings!$C$16)+(K356*Settings!$C$7)+(L356*Settings!$C$8)+(R356*Settings!$C$14)+(S356*Settings!$C$15)</f>
        <v>-6.1389751661830996</v>
      </c>
      <c r="E356" s="67"/>
      <c r="F356" s="118">
        <f>(VLOOKUP($A356,Hitters!$A1:$R401,4,FALSE)-AVERAGE(Rankings!M2:M651))/STDEV(Rankings!M2:M651)</f>
        <v>-2.0485465286391893</v>
      </c>
      <c r="G356" s="118">
        <f>(VLOOKUP($A356,Hitters!$A1:$R401,5,FALSE)-AVERAGE(Rankings!N2:N651))/STDEV(Rankings!N2:N651)</f>
        <v>-1.7385881007828932</v>
      </c>
      <c r="H356" s="118">
        <f>(VLOOKUP($A356,Hitters!$A1:$R401,6,FALSE)-AVERAGE(Rankings!O2:O651))/STDEV(Rankings!O2:O651)</f>
        <v>-1.5110697767066308</v>
      </c>
      <c r="I356" s="118">
        <f>(VLOOKUP($A356,Hitters!$A1:$R401,7,FALSE)-AVERAGE(Rankings!P2:P651))/STDEV(Rankings!P2:P651)</f>
        <v>-1.8086188206021794</v>
      </c>
      <c r="J356" s="118">
        <f>(VLOOKUP($A356,Hitters!$A1:$R401,8,FALSE)-AVERAGE(Rankings!Q2:Q651))/STDEV(Rankings!Q2:Q651)</f>
        <v>-0.61304376505967295</v>
      </c>
      <c r="K356" s="157">
        <f>(VLOOKUP($A356,Hitters!$A$1:$R$401,14,FALSE)-AVERAGE(Rankings!R$2:R$651))/STDEV(Rankings!R$2:R$651)</f>
        <v>-0.46765470303172391</v>
      </c>
      <c r="L356" s="157">
        <f>(VLOOKUP($A356,Hitters!$A$1:$R$401,15,FALSE)-AVERAGE(Rankings!S$2:S$651))/STDEV(Rankings!S$2:S$651)</f>
        <v>-0.20388962399733301</v>
      </c>
      <c r="M356" s="157">
        <f>(VLOOKUP($A356,Hitters!$A$1:$R$401,9,FALSE)-AVERAGE(Rankings!T$2:T$651))/STDEV(Rankings!T$2:T$651)</f>
        <v>-1.8569743232398599</v>
      </c>
      <c r="N356" s="157">
        <f>(VLOOKUP($A356,Hitters!$A$1:$R$401,10,FALSE)-AVERAGE(Rankings!U$2:U$651))/STDEV(Rankings!U$2:U$651)</f>
        <v>-1.855132661348591</v>
      </c>
      <c r="O356" s="157">
        <f>(VLOOKUP($A356,Hitters!$A$1:$R$401,11,FALSE)-AVERAGE(Rankings!V$2:V$651))/STDEV(Rankings!V$2:V$651)</f>
        <v>-0.5559499272726045</v>
      </c>
      <c r="P356" s="157">
        <f>(VLOOKUP($A356,Hitters!$A$1:$R$401,12,FALSE)-AVERAGE(Rankings!W$2:W$651))/STDEV(Rankings!W$2:W$651)</f>
        <v>-1.4053207303975797</v>
      </c>
      <c r="Q356" s="157">
        <f>(VLOOKUP($A356,Hitters!$A$1:$R$401,13,FALSE)-AVERAGE(Rankings!X$2:X$651))/STDEV(Rankings!X$2:X$651)</f>
        <v>-1.9898945108271509</v>
      </c>
      <c r="R356" s="118">
        <f>(VLOOKUP($A356,Hitters!$A1:$R401,16,FALSE)-AVERAGE(Rankings!Y2:Y651))/STDEV(Rankings!Y2:Y651)</f>
        <v>-1.4828889018107396</v>
      </c>
      <c r="S356" s="118">
        <f>(VLOOKUP($A356,Hitters!$A1:$R401,17,FALSE)-AVERAGE(Rankings!Z2:Z651))/STDEV(Rankings!Z2:Z651)</f>
        <v>-1.1608694799076249</v>
      </c>
      <c r="T356" s="118">
        <f>IFERROR((VLOOKUP($A356,Hitters!$A1:$R401,18,FALSE)-AVERAGE(Rankings!AA2:AA651))/STDEV(Rankings!AA2:AA651),0)</f>
        <v>0</v>
      </c>
      <c r="U356" s="67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</row>
    <row r="357" spans="1:37" ht="18.600000000000001" customHeight="1">
      <c r="A357" s="26" t="s">
        <v>723</v>
      </c>
      <c r="B357" s="27" t="s">
        <v>134</v>
      </c>
      <c r="C357" s="123" t="s">
        <v>23</v>
      </c>
      <c r="D357" s="67">
        <f>(F357*Settings!$C$2)+(G357*Settings!$C$3)+(H357*Settings!$C$4)+(I357*Settings!$C$5)+(J357*Settings!$C$6)+(M357*Settings!$C$9)+(N357*Settings!$C$10)+(O357*Settings!$C$11)+(P357*Settings!$C$12)+(Q357*Settings!$C$13)+(T357*Settings!$C$16)+(K357*Settings!$C$7)+(L357*Settings!$C$8)+(R357*Settings!$C$14)+(S357*Settings!$C$15)</f>
        <v>-4.8684756779819001</v>
      </c>
      <c r="E357" s="67"/>
      <c r="F357" s="118">
        <f>(VLOOKUP($A357,Hitters!$A1:$R401,4,FALSE)-AVERAGE(Rankings!M2:M651))/STDEV(Rankings!M2:M651)</f>
        <v>-0.59320028444279471</v>
      </c>
      <c r="G357" s="118">
        <f>(VLOOKUP($A357,Hitters!$A1:$R401,5,FALSE)-AVERAGE(Rankings!N2:N651))/STDEV(Rankings!N2:N651)</f>
        <v>-0.7845095211050569</v>
      </c>
      <c r="H357" s="118">
        <f>(VLOOKUP($A357,Hitters!$A1:$R401,6,FALSE)-AVERAGE(Rankings!O2:O651))/STDEV(Rankings!O2:O651)</f>
        <v>-0.48186602419450769</v>
      </c>
      <c r="I357" s="118">
        <f>(VLOOKUP($A357,Hitters!$A1:$R401,7,FALSE)-AVERAGE(Rankings!P2:P651))/STDEV(Rankings!P2:P651)</f>
        <v>-0.71237374272185816</v>
      </c>
      <c r="J357" s="118">
        <f>(VLOOKUP($A357,Hitters!$A1:$R401,8,FALSE)-AVERAGE(Rankings!Q2:Q651))/STDEV(Rankings!Q2:Q651)</f>
        <v>-0.52022751782386334</v>
      </c>
      <c r="K357" s="157">
        <f>(VLOOKUP($A357,Hitters!$A$1:$R$401,14,FALSE)-AVERAGE(Rankings!R$2:R$651))/STDEV(Rankings!R$2:R$651)</f>
        <v>-2.3694988721366141</v>
      </c>
      <c r="L357" s="157">
        <f>(VLOOKUP($A357,Hitters!$A$1:$R$401,15,FALSE)-AVERAGE(Rankings!S$2:S$651))/STDEV(Rankings!S$2:S$651)</f>
        <v>-0.8751352711868523</v>
      </c>
      <c r="M357" s="157">
        <f>(VLOOKUP($A357,Hitters!$A$1:$R$401,9,FALSE)-AVERAGE(Rankings!T$2:T$651))/STDEV(Rankings!T$2:T$651)</f>
        <v>-0.9291144273354579</v>
      </c>
      <c r="N357" s="157">
        <f>(VLOOKUP($A357,Hitters!$A$1:$R$401,10,FALSE)-AVERAGE(Rankings!U$2:U$651))/STDEV(Rankings!U$2:U$651)</f>
        <v>-0.6107724527683106</v>
      </c>
      <c r="O357" s="157">
        <f>(VLOOKUP($A357,Hitters!$A$1:$R$401,11,FALSE)-AVERAGE(Rankings!V$2:V$651))/STDEV(Rankings!V$2:V$651)</f>
        <v>-0.29509006503805058</v>
      </c>
      <c r="P357" s="157">
        <f>(VLOOKUP($A357,Hitters!$A$1:$R$401,12,FALSE)-AVERAGE(Rankings!W$2:W$651))/STDEV(Rankings!W$2:W$651)</f>
        <v>0.12191807283529398</v>
      </c>
      <c r="Q357" s="157">
        <f>(VLOOKUP($A357,Hitters!$A$1:$R$401,13,FALSE)-AVERAGE(Rankings!X$2:X$651))/STDEV(Rankings!X$2:X$651)</f>
        <v>4.9251561644668894E-2</v>
      </c>
      <c r="R357" s="118">
        <f>(VLOOKUP($A357,Hitters!$A1:$R401,16,FALSE)-AVERAGE(Rankings!Y2:Y651))/STDEV(Rankings!Y2:Y651)</f>
        <v>-1.2293090178684529</v>
      </c>
      <c r="S357" s="118">
        <f>(VLOOKUP($A357,Hitters!$A1:$R401,17,FALSE)-AVERAGE(Rankings!Z2:Z651))/STDEV(Rankings!Z2:Z651)</f>
        <v>-1.2281478585038836</v>
      </c>
      <c r="T357" s="118">
        <f>IFERROR((VLOOKUP($A357,Hitters!$A1:$R401,18,FALSE)-AVERAGE(Rankings!AA2:AA651))/STDEV(Rankings!AA2:AA651),0)</f>
        <v>0</v>
      </c>
      <c r="U357" s="67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</row>
    <row r="358" spans="1:37" ht="18.600000000000001" customHeight="1">
      <c r="A358" s="26" t="s">
        <v>90</v>
      </c>
      <c r="B358" s="27" t="s">
        <v>91</v>
      </c>
      <c r="C358" s="124" t="s">
        <v>27</v>
      </c>
      <c r="D358" s="67">
        <f>(F358*Settings!$C$2)+(G358*Settings!$C$3)+(H358*Settings!$C$4)+(I358*Settings!$C$5)+(J358*Settings!$C$6)+(M358*Settings!$C$9)+(N358*Settings!$C$10)+(O358*Settings!$C$11)+(P358*Settings!$C$12)+(Q358*Settings!$C$13)+(T358*Settings!$C$16)+(K358*Settings!$C$7)+(L358*Settings!$C$8)+(R358*Settings!$C$14)+(S358*Settings!$C$15)</f>
        <v>10.195884408184432</v>
      </c>
      <c r="E358" s="67"/>
      <c r="F358" s="118">
        <f>(VLOOKUP($A358,Hitters!$A1:$R401,4,FALSE)-AVERAGE(Rankings!M2:M651))/STDEV(Rankings!M2:M651)</f>
        <v>1.7222577023323684</v>
      </c>
      <c r="G358" s="118">
        <f>(VLOOKUP($A358,Hitters!$A1:$R401,5,FALSE)-AVERAGE(Rankings!N2:N651))/STDEV(Rankings!N2:N651)</f>
        <v>2.139188067538822</v>
      </c>
      <c r="H358" s="118">
        <f>(VLOOKUP($A358,Hitters!$A1:$R401,6,FALSE)-AVERAGE(Rankings!O2:O651))/STDEV(Rankings!O2:O651)</f>
        <v>0.96605473382356222</v>
      </c>
      <c r="I358" s="118">
        <f>(VLOOKUP($A358,Hitters!$A1:$R401,7,FALSE)-AVERAGE(Rankings!P2:P651))/STDEV(Rankings!P2:P651)</f>
        <v>1.3178596191058118</v>
      </c>
      <c r="J358" s="118">
        <f>(VLOOKUP($A358,Hitters!$A1:$R401,8,FALSE)-AVERAGE(Rankings!Q2:Q651))/STDEV(Rankings!Q2:Q651)</f>
        <v>3.467703323307898</v>
      </c>
      <c r="K358" s="157">
        <f>(VLOOKUP($A358,Hitters!$A$1:$R$401,14,FALSE)-AVERAGE(Rankings!R$2:R$651))/STDEV(Rankings!R$2:R$651)</f>
        <v>2.3050786644083381</v>
      </c>
      <c r="L358" s="157">
        <f>(VLOOKUP($A358,Hitters!$A$1:$R$401,15,FALSE)-AVERAGE(Rankings!S$2:S$651))/STDEV(Rankings!S$2:S$651)</f>
        <v>1.2902673197993104</v>
      </c>
      <c r="M358" s="157">
        <f>(VLOOKUP($A358,Hitters!$A$1:$R$401,9,FALSE)-AVERAGE(Rankings!T$2:T$651))/STDEV(Rankings!T$2:T$651)</f>
        <v>2.1998122843122072</v>
      </c>
      <c r="N358" s="157">
        <f>(VLOOKUP($A358,Hitters!$A$1:$R$401,10,FALSE)-AVERAGE(Rankings!U$2:U$651))/STDEV(Rankings!U$2:U$651)</f>
        <v>1.887127729633348</v>
      </c>
      <c r="O358" s="157">
        <f>(VLOOKUP($A358,Hitters!$A$1:$R$401,11,FALSE)-AVERAGE(Rankings!V$2:V$651))/STDEV(Rankings!V$2:V$651)</f>
        <v>2.028327208831687</v>
      </c>
      <c r="P358" s="157">
        <f>(VLOOKUP($A358,Hitters!$A$1:$R$401,12,FALSE)-AVERAGE(Rankings!W$2:W$651))/STDEV(Rankings!W$2:W$651)</f>
        <v>0.51463662223803297</v>
      </c>
      <c r="Q358" s="157">
        <f>(VLOOKUP($A358,Hitters!$A$1:$R$401,13,FALSE)-AVERAGE(Rankings!X$2:X$651))/STDEV(Rankings!X$2:X$651)</f>
        <v>0.70631395898058991</v>
      </c>
      <c r="R358" s="118">
        <f>(VLOOKUP($A358,Hitters!$A1:$R401,16,FALSE)-AVERAGE(Rankings!Y2:Y651))/STDEV(Rankings!Y2:Y651)</f>
        <v>1.3305968233710301</v>
      </c>
      <c r="S358" s="118">
        <f>(VLOOKUP($A358,Hitters!$A1:$R401,17,FALSE)-AVERAGE(Rankings!Z2:Z651))/STDEV(Rankings!Z2:Z651)</f>
        <v>1.4584871587374808</v>
      </c>
      <c r="T358" s="118">
        <f>IFERROR((VLOOKUP($A358,Hitters!$A1:$R401,18,FALSE)-AVERAGE(Rankings!AA2:AA651))/STDEV(Rankings!AA2:AA651),0)</f>
        <v>0</v>
      </c>
      <c r="U358" s="67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</row>
    <row r="359" spans="1:37" ht="18.600000000000001" customHeight="1">
      <c r="A359" s="26" t="s">
        <v>124</v>
      </c>
      <c r="B359" s="27" t="s">
        <v>94</v>
      </c>
      <c r="C359" s="124" t="s">
        <v>27</v>
      </c>
      <c r="D359" s="67">
        <f>(F359*Settings!$C$2)+(G359*Settings!$C$3)+(H359*Settings!$C$4)+(I359*Settings!$C$5)+(J359*Settings!$C$6)+(M359*Settings!$C$9)+(N359*Settings!$C$10)+(O359*Settings!$C$11)+(P359*Settings!$C$12)+(Q359*Settings!$C$13)+(T359*Settings!$C$16)+(K359*Settings!$C$7)+(L359*Settings!$C$8)+(R359*Settings!$C$14)+(S359*Settings!$C$15)</f>
        <v>8.6361576871836458</v>
      </c>
      <c r="E359" s="67"/>
      <c r="F359" s="118">
        <f>(VLOOKUP($A359,Hitters!$A1:$R401,4,FALSE)-AVERAGE(Rankings!M2:M651))/STDEV(Rankings!M2:M651)</f>
        <v>1.6990228566340226</v>
      </c>
      <c r="G359" s="118">
        <f>(VLOOKUP($A359,Hitters!$A1:$R401,5,FALSE)-AVERAGE(Rankings!N2:N651))/STDEV(Rankings!N2:N651)</f>
        <v>1.9111402641577637</v>
      </c>
      <c r="H359" s="118">
        <f>(VLOOKUP($A359,Hitters!$A1:$R401,6,FALSE)-AVERAGE(Rankings!O2:O651))/STDEV(Rankings!O2:O651)</f>
        <v>1.3865132008396825</v>
      </c>
      <c r="I359" s="118">
        <f>(VLOOKUP($A359,Hitters!$A1:$R401,7,FALSE)-AVERAGE(Rankings!P2:P651))/STDEV(Rankings!P2:P651)</f>
        <v>1.7577727840214969</v>
      </c>
      <c r="J359" s="118">
        <f>(VLOOKUP($A359,Hitters!$A1:$R401,8,FALSE)-AVERAGE(Rankings!Q2:Q651))/STDEV(Rankings!Q2:Q651)</f>
        <v>1.6547771017019663</v>
      </c>
      <c r="K359" s="157">
        <f>(VLOOKUP($A359,Hitters!$A$1:$R$401,14,FALSE)-AVERAGE(Rankings!R$2:R$651))/STDEV(Rankings!R$2:R$651)</f>
        <v>1.9259543364627372</v>
      </c>
      <c r="L359" s="157">
        <f>(VLOOKUP($A359,Hitters!$A$1:$R$401,15,FALSE)-AVERAGE(Rankings!S$2:S$651))/STDEV(Rankings!S$2:S$651)</f>
        <v>0.80534163932440439</v>
      </c>
      <c r="M359" s="157">
        <f>(VLOOKUP($A359,Hitters!$A$1:$R$401,9,FALSE)-AVERAGE(Rankings!T$2:T$651))/STDEV(Rankings!T$2:T$651)</f>
        <v>2.0568987054075913</v>
      </c>
      <c r="N359" s="157">
        <f>(VLOOKUP($A359,Hitters!$A$1:$R$401,10,FALSE)-AVERAGE(Rankings!U$2:U$651))/STDEV(Rankings!U$2:U$651)</f>
        <v>2.2642869905937362</v>
      </c>
      <c r="O359" s="157">
        <f>(VLOOKUP($A359,Hitters!$A$1:$R$401,11,FALSE)-AVERAGE(Rankings!V$2:V$651))/STDEV(Rankings!V$2:V$651)</f>
        <v>0.29101006418729997</v>
      </c>
      <c r="P359" s="157">
        <f>(VLOOKUP($A359,Hitters!$A$1:$R$401,12,FALSE)-AVERAGE(Rankings!W$2:W$651))/STDEV(Rankings!W$2:W$651)</f>
        <v>0.25724066794508388</v>
      </c>
      <c r="Q359" s="157">
        <f>(VLOOKUP($A359,Hitters!$A$1:$R$401,13,FALSE)-AVERAGE(Rankings!X$2:X$651))/STDEV(Rankings!X$2:X$651)</f>
        <v>1.1722815527769801</v>
      </c>
      <c r="R359" s="118">
        <f>(VLOOKUP($A359,Hitters!$A1:$R401,16,FALSE)-AVERAGE(Rankings!Y2:Y651))/STDEV(Rankings!Y2:Y651)</f>
        <v>1.5241038594052443</v>
      </c>
      <c r="S359" s="118">
        <f>(VLOOKUP($A359,Hitters!$A1:$R401,17,FALSE)-AVERAGE(Rankings!Z2:Z651))/STDEV(Rankings!Z2:Z651)</f>
        <v>1.4174241356796429</v>
      </c>
      <c r="T359" s="118">
        <f>IFERROR((VLOOKUP($A359,Hitters!$A1:$R401,18,FALSE)-AVERAGE(Rankings!AA2:AA651))/STDEV(Rankings!AA2:AA651),0)</f>
        <v>0</v>
      </c>
      <c r="U359" s="67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</row>
    <row r="360" spans="1:37" ht="18.600000000000001" customHeight="1">
      <c r="A360" s="26" t="s">
        <v>116</v>
      </c>
      <c r="B360" s="27" t="s">
        <v>117</v>
      </c>
      <c r="C360" s="124" t="s">
        <v>27</v>
      </c>
      <c r="D360" s="67">
        <f>(F360*Settings!$C$2)+(G360*Settings!$C$3)+(H360*Settings!$C$4)+(I360*Settings!$C$5)+(J360*Settings!$C$6)+(M360*Settings!$C$9)+(N360*Settings!$C$10)+(O360*Settings!$C$11)+(P360*Settings!$C$12)+(Q360*Settings!$C$13)+(T360*Settings!$C$16)+(K360*Settings!$C$7)+(L360*Settings!$C$8)+(R360*Settings!$C$14)+(S360*Settings!$C$15)</f>
        <v>8.2776510004937585</v>
      </c>
      <c r="E360" s="67"/>
      <c r="F360" s="118">
        <f>(VLOOKUP($A360,Hitters!$A1:$R401,4,FALSE)-AVERAGE(Rankings!M2:M651))/STDEV(Rankings!M2:M651)</f>
        <v>1.5680628172433451</v>
      </c>
      <c r="G360" s="118">
        <f>(VLOOKUP($A360,Hitters!$A1:$R401,5,FALSE)-AVERAGE(Rankings!N2:N651))/STDEV(Rankings!N2:N651)</f>
        <v>1.6167623458506613</v>
      </c>
      <c r="H360" s="118">
        <f>(VLOOKUP($A360,Hitters!$A1:$R401,6,FALSE)-AVERAGE(Rankings!O2:O651))/STDEV(Rankings!O2:O651)</f>
        <v>1.1436838078611877</v>
      </c>
      <c r="I360" s="118">
        <f>(VLOOKUP($A360,Hitters!$A1:$R401,7,FALSE)-AVERAGE(Rankings!P2:P651))/STDEV(Rankings!P2:P651)</f>
        <v>1.2760164553056856</v>
      </c>
      <c r="J360" s="118">
        <f>(VLOOKUP($A360,Hitters!$A1:$R401,8,FALSE)-AVERAGE(Rankings!Q2:Q651))/STDEV(Rankings!Q2:Q651)</f>
        <v>3.4380844867326479</v>
      </c>
      <c r="K360" s="157">
        <f>(VLOOKUP($A360,Hitters!$A$1:$R$401,14,FALSE)-AVERAGE(Rankings!R$2:R$651))/STDEV(Rankings!R$2:R$651)</f>
        <v>0.80310390474357629</v>
      </c>
      <c r="L360" s="157">
        <f>(VLOOKUP($A360,Hitters!$A$1:$R$401,15,FALSE)-AVERAGE(Rankings!S$2:S$651))/STDEV(Rankings!S$2:S$651)</f>
        <v>-0.18804018057251937</v>
      </c>
      <c r="M360" s="157">
        <f>(VLOOKUP($A360,Hitters!$A$1:$R$401,9,FALSE)-AVERAGE(Rankings!T$2:T$651))/STDEV(Rankings!T$2:T$651)</f>
        <v>1.582836601080525</v>
      </c>
      <c r="N360" s="157">
        <f>(VLOOKUP($A360,Hitters!$A$1:$R$401,10,FALSE)-AVERAGE(Rankings!U$2:U$651))/STDEV(Rankings!U$2:U$651)</f>
        <v>1.7440524823209358</v>
      </c>
      <c r="O360" s="157">
        <f>(VLOOKUP($A360,Hitters!$A$1:$R$401,11,FALSE)-AVERAGE(Rankings!V$2:V$651))/STDEV(Rankings!V$2:V$651)</f>
        <v>2.8895939569040907</v>
      </c>
      <c r="P360" s="157">
        <f>(VLOOKUP($A360,Hitters!$A$1:$R$401,12,FALSE)-AVERAGE(Rankings!W$2:W$651))/STDEV(Rankings!W$2:W$651)</f>
        <v>4.9140579717181422E-2</v>
      </c>
      <c r="Q360" s="157">
        <f>(VLOOKUP($A360,Hitters!$A$1:$R$401,13,FALSE)-AVERAGE(Rankings!X$2:X$651))/STDEV(Rankings!X$2:X$651)</f>
        <v>1.1794317888034589</v>
      </c>
      <c r="R360" s="118">
        <f>(VLOOKUP($A360,Hitters!$A1:$R401,16,FALSE)-AVERAGE(Rankings!Y2:Y651))/STDEV(Rankings!Y2:Y651)</f>
        <v>1.003814519841955</v>
      </c>
      <c r="S360" s="118">
        <f>(VLOOKUP($A360,Hitters!$A1:$R401,17,FALSE)-AVERAGE(Rankings!Z2:Z651))/STDEV(Rankings!Z2:Z651)</f>
        <v>0.66311504225530471</v>
      </c>
      <c r="T360" s="118">
        <f>IFERROR((VLOOKUP($A360,Hitters!$A1:$R401,18,FALSE)-AVERAGE(Rankings!AA2:AA651))/STDEV(Rankings!AA2:AA651),0)</f>
        <v>0</v>
      </c>
      <c r="U360" s="67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</row>
    <row r="361" spans="1:37" ht="18.600000000000001" customHeight="1">
      <c r="A361" s="26" t="s">
        <v>126</v>
      </c>
      <c r="B361" s="27" t="s">
        <v>63</v>
      </c>
      <c r="C361" s="124" t="s">
        <v>27</v>
      </c>
      <c r="D361" s="67">
        <f>(F361*Settings!$C$2)+(G361*Settings!$C$3)+(H361*Settings!$C$4)+(I361*Settings!$C$5)+(J361*Settings!$C$6)+(M361*Settings!$C$9)+(N361*Settings!$C$10)+(O361*Settings!$C$11)+(P361*Settings!$C$12)+(Q361*Settings!$C$13)+(T361*Settings!$C$16)+(K361*Settings!$C$7)+(L361*Settings!$C$8)+(R361*Settings!$C$14)+(S361*Settings!$C$15)</f>
        <v>9.1767930609302155</v>
      </c>
      <c r="E361" s="67"/>
      <c r="F361" s="118">
        <f>(VLOOKUP($A361,Hitters!$A1:$R401,4,FALSE)-AVERAGE(Rankings!M2:M651))/STDEV(Rankings!M2:M651)</f>
        <v>0.51117305418658465</v>
      </c>
      <c r="G361" s="118">
        <f>(VLOOKUP($A361,Hitters!$A1:$R401,5,FALSE)-AVERAGE(Rankings!N2:N651))/STDEV(Rankings!N2:N651)</f>
        <v>1.5311873695985962</v>
      </c>
      <c r="H361" s="118">
        <f>(VLOOKUP($A361,Hitters!$A1:$R401,6,FALSE)-AVERAGE(Rankings!O2:O651))/STDEV(Rankings!O2:O651)</f>
        <v>2.3046117090027805</v>
      </c>
      <c r="I361" s="118">
        <f>(VLOOKUP($A361,Hitters!$A1:$R401,7,FALSE)-AVERAGE(Rankings!P2:P651))/STDEV(Rankings!P2:P651)</f>
        <v>1.5399032693444392</v>
      </c>
      <c r="J361" s="118">
        <f>(VLOOKUP($A361,Hitters!$A1:$R401,8,FALSE)-AVERAGE(Rankings!Q2:Q651))/STDEV(Rankings!Q2:Q651)</f>
        <v>2.2338491151731605</v>
      </c>
      <c r="K361" s="157">
        <f>(VLOOKUP($A361,Hitters!$A$1:$R$401,14,FALSE)-AVERAGE(Rankings!R$2:R$651))/STDEV(Rankings!R$2:R$651)</f>
        <v>1.5672415978112406</v>
      </c>
      <c r="L361" s="157">
        <f>(VLOOKUP($A361,Hitters!$A$1:$R$401,15,FALSE)-AVERAGE(Rankings!S$2:S$651))/STDEV(Rankings!S$2:S$651)</f>
        <v>1.8541376860202892</v>
      </c>
      <c r="M361" s="157">
        <f>(VLOOKUP($A361,Hitters!$A$1:$R$401,9,FALSE)-AVERAGE(Rankings!T$2:T$651))/STDEV(Rankings!T$2:T$651)</f>
        <v>0.77762597133100586</v>
      </c>
      <c r="N361" s="157">
        <f>(VLOOKUP($A361,Hitters!$A$1:$R$401,10,FALSE)-AVERAGE(Rankings!U$2:U$651))/STDEV(Rankings!U$2:U$651)</f>
        <v>0.7373621331859348</v>
      </c>
      <c r="O361" s="157">
        <f>(VLOOKUP($A361,Hitters!$A$1:$R$401,11,FALSE)-AVERAGE(Rankings!V$2:V$651))/STDEV(Rankings!V$2:V$651)</f>
        <v>0.30245546947729873</v>
      </c>
      <c r="P361" s="157">
        <f>(VLOOKUP($A361,Hitters!$A$1:$R$401,12,FALSE)-AVERAGE(Rankings!W$2:W$651))/STDEV(Rankings!W$2:W$651)</f>
        <v>0.96184498700100052</v>
      </c>
      <c r="Q361" s="157">
        <f>(VLOOKUP($A361,Hitters!$A$1:$R$401,13,FALSE)-AVERAGE(Rankings!X$2:X$651))/STDEV(Rankings!X$2:X$651)</f>
        <v>0.97251787901065645</v>
      </c>
      <c r="R361" s="118">
        <f>(VLOOKUP($A361,Hitters!$A1:$R401,16,FALSE)-AVERAGE(Rankings!Y2:Y651))/STDEV(Rankings!Y2:Y651)</f>
        <v>3.4177865674427927</v>
      </c>
      <c r="S361" s="118">
        <f>(VLOOKUP($A361,Hitters!$A1:$R401,17,FALSE)-AVERAGE(Rankings!Z2:Z651))/STDEV(Rankings!Z2:Z651)</f>
        <v>3.196674352310851</v>
      </c>
      <c r="T361" s="118">
        <f>IFERROR((VLOOKUP($A361,Hitters!$A1:$R401,18,FALSE)-AVERAGE(Rankings!AA2:AA651))/STDEV(Rankings!AA2:AA651),0)</f>
        <v>0</v>
      </c>
      <c r="U361" s="67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</row>
    <row r="362" spans="1:37" ht="18.600000000000001" customHeight="1">
      <c r="A362" s="26" t="s">
        <v>183</v>
      </c>
      <c r="B362" s="27" t="s">
        <v>114</v>
      </c>
      <c r="C362" s="124" t="s">
        <v>27</v>
      </c>
      <c r="D362" s="67">
        <f>(F362*Settings!$C$2)+(G362*Settings!$C$3)+(H362*Settings!$C$4)+(I362*Settings!$C$5)+(J362*Settings!$C$6)+(M362*Settings!$C$9)+(N362*Settings!$C$10)+(O362*Settings!$C$11)+(P362*Settings!$C$12)+(Q362*Settings!$C$13)+(T362*Settings!$C$16)+(K362*Settings!$C$7)+(L362*Settings!$C$8)+(R362*Settings!$C$14)+(S362*Settings!$C$15)</f>
        <v>5.9808437390515738</v>
      </c>
      <c r="E362" s="67"/>
      <c r="F362" s="118">
        <f>(VLOOKUP($A362,Hitters!$A1:$R401,4,FALSE)-AVERAGE(Rankings!M2:M651))/STDEV(Rankings!M2:M651)</f>
        <v>1.3820150709605903</v>
      </c>
      <c r="G362" s="118">
        <f>(VLOOKUP($A362,Hitters!$A1:$R401,5,FALSE)-AVERAGE(Rankings!N2:N651))/STDEV(Rankings!N2:N651)</f>
        <v>1.4033193384166223</v>
      </c>
      <c r="H362" s="118">
        <f>(VLOOKUP($A362,Hitters!$A1:$R401,6,FALSE)-AVERAGE(Rankings!O2:O651))/STDEV(Rankings!O2:O651)</f>
        <v>4.2244231907097259E-2</v>
      </c>
      <c r="I362" s="118">
        <f>(VLOOKUP($A362,Hitters!$A1:$R401,7,FALSE)-AVERAGE(Rankings!P2:P651))/STDEV(Rankings!P2:P651)</f>
        <v>0.40937428535781034</v>
      </c>
      <c r="J362" s="118">
        <f>(VLOOKUP($A362,Hitters!$A1:$R401,8,FALSE)-AVERAGE(Rankings!Q2:Q651))/STDEV(Rankings!Q2:Q651)</f>
        <v>1.900280827325695</v>
      </c>
      <c r="K362" s="157">
        <f>(VLOOKUP($A362,Hitters!$A$1:$R$401,14,FALSE)-AVERAGE(Rankings!R$2:R$651))/STDEV(Rankings!R$2:R$651)</f>
        <v>2.2256250560443491</v>
      </c>
      <c r="L362" s="157">
        <f>(VLOOKUP($A362,Hitters!$A$1:$R$401,15,FALSE)-AVERAGE(Rankings!S$2:S$651))/STDEV(Rankings!S$2:S$651)</f>
        <v>0.43348368224857309</v>
      </c>
      <c r="M362" s="157">
        <f>(VLOOKUP($A362,Hitters!$A$1:$R$401,9,FALSE)-AVERAGE(Rankings!T$2:T$651))/STDEV(Rankings!T$2:T$651)</f>
        <v>1.8253493520366686</v>
      </c>
      <c r="N362" s="157">
        <f>(VLOOKUP($A362,Hitters!$A$1:$R$401,10,FALSE)-AVERAGE(Rankings!U$2:U$651))/STDEV(Rankings!U$2:U$651)</f>
        <v>1.2936702501796093</v>
      </c>
      <c r="O362" s="157">
        <f>(VLOOKUP($A362,Hitters!$A$1:$R$401,11,FALSE)-AVERAGE(Rankings!V$2:V$651))/STDEV(Rankings!V$2:V$651)</f>
        <v>-0.11911695870432053</v>
      </c>
      <c r="P362" s="157">
        <f>(VLOOKUP($A362,Hitters!$A$1:$R$401,12,FALSE)-AVERAGE(Rankings!W$2:W$651))/STDEV(Rankings!W$2:W$651)</f>
        <v>-0.60445729117048475</v>
      </c>
      <c r="Q362" s="157">
        <f>(VLOOKUP($A362,Hitters!$A$1:$R$401,13,FALSE)-AVERAGE(Rankings!X$2:X$651))/STDEV(Rankings!X$2:X$651)</f>
        <v>0.56883010653339905</v>
      </c>
      <c r="R362" s="118">
        <f>(VLOOKUP($A362,Hitters!$A1:$R401,16,FALSE)-AVERAGE(Rankings!Y2:Y651))/STDEV(Rankings!Y2:Y651)</f>
        <v>0.31303967388076837</v>
      </c>
      <c r="S362" s="118">
        <f>(VLOOKUP($A362,Hitters!$A1:$R401,17,FALSE)-AVERAGE(Rankings!Z2:Z651))/STDEV(Rankings!Z2:Z651)</f>
        <v>0.39204578783228577</v>
      </c>
      <c r="T362" s="118">
        <f>IFERROR((VLOOKUP($A362,Hitters!$A1:$R401,18,FALSE)-AVERAGE(Rankings!AA2:AA651))/STDEV(Rankings!AA2:AA651),0)</f>
        <v>0</v>
      </c>
      <c r="U362" s="67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</row>
    <row r="363" spans="1:37" ht="18.600000000000001" customHeight="1">
      <c r="A363" s="26" t="s">
        <v>202</v>
      </c>
      <c r="B363" s="27" t="s">
        <v>95</v>
      </c>
      <c r="C363" s="124" t="s">
        <v>27</v>
      </c>
      <c r="D363" s="67">
        <f>(F363*Settings!$C$2)+(G363*Settings!$C$3)+(H363*Settings!$C$4)+(I363*Settings!$C$5)+(J363*Settings!$C$6)+(M363*Settings!$C$9)+(N363*Settings!$C$10)+(O363*Settings!$C$11)+(P363*Settings!$C$12)+(Q363*Settings!$C$13)+(T363*Settings!$C$16)+(K363*Settings!$C$7)+(L363*Settings!$C$8)+(R363*Settings!$C$14)+(S363*Settings!$C$15)</f>
        <v>5.8731723908950242</v>
      </c>
      <c r="E363" s="67"/>
      <c r="F363" s="118">
        <f>(VLOOKUP($A363,Hitters!$A1:$R401,4,FALSE)-AVERAGE(Rankings!M2:M651))/STDEV(Rankings!M2:M651)</f>
        <v>1.5133975620912368</v>
      </c>
      <c r="G363" s="118">
        <f>(VLOOKUP($A363,Hitters!$A1:$R401,5,FALSE)-AVERAGE(Rankings!N2:N651))/STDEV(Rankings!N2:N651)</f>
        <v>1.5151880184830249</v>
      </c>
      <c r="H363" s="118">
        <f>(VLOOKUP($A363,Hitters!$A1:$R401,6,FALSE)-AVERAGE(Rankings!O2:O651))/STDEV(Rankings!O2:O651)</f>
        <v>1.2304782495282005</v>
      </c>
      <c r="I363" s="118">
        <f>(VLOOKUP($A363,Hitters!$A1:$R401,7,FALSE)-AVERAGE(Rankings!P2:P651))/STDEV(Rankings!P2:P651)</f>
        <v>1.6319378680678318</v>
      </c>
      <c r="J363" s="118">
        <f>(VLOOKUP($A363,Hitters!$A1:$R401,8,FALSE)-AVERAGE(Rankings!Q2:Q651))/STDEV(Rankings!Q2:Q651)</f>
        <v>1.1913294235245286</v>
      </c>
      <c r="K363" s="157">
        <f>(VLOOKUP($A363,Hitters!$A$1:$R$401,14,FALSE)-AVERAGE(Rankings!R$2:R$651))/STDEV(Rankings!R$2:R$651)</f>
        <v>0.30423883129143808</v>
      </c>
      <c r="L363" s="157">
        <f>(VLOOKUP($A363,Hitters!$A$1:$R$401,15,FALSE)-AVERAGE(Rankings!S$2:S$651))/STDEV(Rankings!S$2:S$651)</f>
        <v>0.38834173523317977</v>
      </c>
      <c r="M363" s="157">
        <f>(VLOOKUP($A363,Hitters!$A$1:$R$401,9,FALSE)-AVERAGE(Rankings!T$2:T$651))/STDEV(Rankings!T$2:T$651)</f>
        <v>1.3817810694083861</v>
      </c>
      <c r="N363" s="157">
        <f>(VLOOKUP($A363,Hitters!$A$1:$R$401,10,FALSE)-AVERAGE(Rankings!U$2:U$651))/STDEV(Rankings!U$2:U$651)</f>
        <v>0.9208857210919309</v>
      </c>
      <c r="O363" s="157">
        <f>(VLOOKUP($A363,Hitters!$A$1:$R$401,11,FALSE)-AVERAGE(Rankings!V$2:V$651))/STDEV(Rankings!V$2:V$651)</f>
        <v>1.1756445147267836</v>
      </c>
      <c r="P363" s="157">
        <f>(VLOOKUP($A363,Hitters!$A$1:$R$401,12,FALSE)-AVERAGE(Rankings!W$2:W$651))/STDEV(Rankings!W$2:W$651)</f>
        <v>1.1766318961777888</v>
      </c>
      <c r="Q363" s="157">
        <f>(VLOOKUP($A363,Hitters!$A$1:$R$401,13,FALSE)-AVERAGE(Rankings!X$2:X$651))/STDEV(Rankings!X$2:X$651)</f>
        <v>0.75566957049079919</v>
      </c>
      <c r="R363" s="118">
        <f>(VLOOKUP($A363,Hitters!$A1:$R401,16,FALSE)-AVERAGE(Rankings!Y2:Y651))/STDEV(Rankings!Y2:Y651)</f>
        <v>0.50513166686565492</v>
      </c>
      <c r="S363" s="118">
        <f>(VLOOKUP($A363,Hitters!$A1:$R401,17,FALSE)-AVERAGE(Rankings!Z2:Z651))/STDEV(Rankings!Z2:Z651)</f>
        <v>0.51549115834079839</v>
      </c>
      <c r="T363" s="118">
        <f>IFERROR((VLOOKUP($A363,Hitters!$A1:$R401,18,FALSE)-AVERAGE(Rankings!AA2:AA651))/STDEV(Rankings!AA2:AA651),0)</f>
        <v>0</v>
      </c>
      <c r="U363" s="67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</row>
    <row r="364" spans="1:37" ht="18.600000000000001" customHeight="1">
      <c r="A364" s="26" t="s">
        <v>211</v>
      </c>
      <c r="B364" s="27" t="s">
        <v>86</v>
      </c>
      <c r="C364" s="124" t="s">
        <v>27</v>
      </c>
      <c r="D364" s="67">
        <f>(F364*Settings!$C$2)+(G364*Settings!$C$3)+(H364*Settings!$C$4)+(I364*Settings!$C$5)+(J364*Settings!$C$6)+(M364*Settings!$C$9)+(N364*Settings!$C$10)+(O364*Settings!$C$11)+(P364*Settings!$C$12)+(Q364*Settings!$C$13)+(T364*Settings!$C$16)+(K364*Settings!$C$7)+(L364*Settings!$C$8)+(R364*Settings!$C$14)+(S364*Settings!$C$15)</f>
        <v>5.6621332256307397</v>
      </c>
      <c r="E364" s="67"/>
      <c r="F364" s="118">
        <f>(VLOOKUP($A364,Hitters!$A1:$R401,4,FALSE)-AVERAGE(Rankings!M2:M651))/STDEV(Rankings!M2:M651)</f>
        <v>1.2675306494287406</v>
      </c>
      <c r="G364" s="118">
        <f>(VLOOKUP($A364,Hitters!$A1:$R401,5,FALSE)-AVERAGE(Rankings!N2:N651))/STDEV(Rankings!N2:N651)</f>
        <v>1.5047922435901817</v>
      </c>
      <c r="H364" s="118">
        <f>(VLOOKUP($A364,Hitters!$A1:$R401,6,FALSE)-AVERAGE(Rankings!O2:O651))/STDEV(Rankings!O2:O651)</f>
        <v>1.6131818310037742</v>
      </c>
      <c r="I364" s="118">
        <f>(VLOOKUP($A364,Hitters!$A1:$R401,7,FALSE)-AVERAGE(Rankings!P2:P651))/STDEV(Rankings!P2:P651)</f>
        <v>1.5072737462350947</v>
      </c>
      <c r="J364" s="118">
        <f>(VLOOKUP($A364,Hitters!$A1:$R401,8,FALSE)-AVERAGE(Rankings!Q2:Q651))/STDEV(Rankings!Q2:Q651)</f>
        <v>-0.58896856099850725</v>
      </c>
      <c r="K364" s="157">
        <f>(VLOOKUP($A364,Hitters!$A$1:$R$401,14,FALSE)-AVERAGE(Rankings!R$2:R$651))/STDEV(Rankings!R$2:R$651)</f>
        <v>1.6258539658001969</v>
      </c>
      <c r="L364" s="157">
        <f>(VLOOKUP($A364,Hitters!$A$1:$R$401,15,FALSE)-AVERAGE(Rankings!S$2:S$651))/STDEV(Rankings!S$2:S$651)</f>
        <v>1.5754997773844985</v>
      </c>
      <c r="M364" s="157">
        <f>(VLOOKUP($A364,Hitters!$A$1:$R$401,9,FALSE)-AVERAGE(Rankings!T$2:T$651))/STDEV(Rankings!T$2:T$651)</f>
        <v>1.5372156870851932</v>
      </c>
      <c r="N364" s="157">
        <f>(VLOOKUP($A364,Hitters!$A$1:$R$401,10,FALSE)-AVERAGE(Rankings!U$2:U$651))/STDEV(Rankings!U$2:U$651)</f>
        <v>1.5267502270043403</v>
      </c>
      <c r="O364" s="157">
        <f>(VLOOKUP($A364,Hitters!$A$1:$R$401,11,FALSE)-AVERAGE(Rankings!V$2:V$651))/STDEV(Rankings!V$2:V$651)</f>
        <v>0.30722438834813154</v>
      </c>
      <c r="P364" s="157">
        <f>(VLOOKUP($A364,Hitters!$A$1:$R$401,12,FALSE)-AVERAGE(Rankings!W$2:W$651))/STDEV(Rankings!W$2:W$651)</f>
        <v>1.2253368338799107</v>
      </c>
      <c r="Q364" s="157">
        <f>(VLOOKUP($A364,Hitters!$A$1:$R$401,13,FALSE)-AVERAGE(Rankings!X$2:X$651))/STDEV(Rankings!X$2:X$651)</f>
        <v>0.17292533433275178</v>
      </c>
      <c r="R364" s="118">
        <f>(VLOOKUP($A364,Hitters!$A1:$R401,16,FALSE)-AVERAGE(Rankings!Y2:Y651))/STDEV(Rankings!Y2:Y651)</f>
        <v>1.8350688944679638</v>
      </c>
      <c r="S364" s="118">
        <f>(VLOOKUP($A364,Hitters!$A1:$R401,17,FALSE)-AVERAGE(Rankings!Z2:Z651))/STDEV(Rankings!Z2:Z651)</f>
        <v>1.9346714827316571</v>
      </c>
      <c r="T364" s="118">
        <f>IFERROR((VLOOKUP($A364,Hitters!$A1:$R401,18,FALSE)-AVERAGE(Rankings!AA2:AA651))/STDEV(Rankings!AA2:AA651),0)</f>
        <v>0</v>
      </c>
      <c r="U364" s="67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</row>
    <row r="365" spans="1:37" ht="18.600000000000001" customHeight="1">
      <c r="A365" s="26" t="s">
        <v>209</v>
      </c>
      <c r="B365" s="27" t="s">
        <v>158</v>
      </c>
      <c r="C365" s="124" t="s">
        <v>27</v>
      </c>
      <c r="D365" s="67">
        <f>(F365*Settings!$C$2)+(G365*Settings!$C$3)+(H365*Settings!$C$4)+(I365*Settings!$C$5)+(J365*Settings!$C$6)+(M365*Settings!$C$9)+(N365*Settings!$C$10)+(O365*Settings!$C$11)+(P365*Settings!$C$12)+(Q365*Settings!$C$13)+(T365*Settings!$C$16)+(K365*Settings!$C$7)+(L365*Settings!$C$8)+(R365*Settings!$C$14)+(S365*Settings!$C$15)</f>
        <v>5.255913281228044</v>
      </c>
      <c r="E365" s="67"/>
      <c r="F365" s="118">
        <f>(VLOOKUP($A365,Hitters!$A1:$R401,4,FALSE)-AVERAGE(Rankings!M2:M651))/STDEV(Rankings!M2:M651)</f>
        <v>1.548123095116765</v>
      </c>
      <c r="G365" s="118">
        <f>(VLOOKUP($A365,Hitters!$A1:$R401,5,FALSE)-AVERAGE(Rankings!N2:N651))/STDEV(Rankings!N2:N651)</f>
        <v>1.3895259200222152</v>
      </c>
      <c r="H365" s="118">
        <f>(VLOOKUP($A365,Hitters!$A1:$R401,6,FALSE)-AVERAGE(Rankings!O2:O651))/STDEV(Rankings!O2:O651)</f>
        <v>1.0626710184079493</v>
      </c>
      <c r="I365" s="118">
        <f>(VLOOKUP($A365,Hitters!$A1:$R401,7,FALSE)-AVERAGE(Rankings!P2:P651))/STDEV(Rankings!P2:P651)</f>
        <v>1.2658356368628323</v>
      </c>
      <c r="J365" s="118">
        <f>(VLOOKUP($A365,Hitters!$A1:$R401,8,FALSE)-AVERAGE(Rankings!Q2:Q651))/STDEV(Rankings!Q2:Q651)</f>
        <v>1.2001992355470632</v>
      </c>
      <c r="K365" s="157">
        <f>(VLOOKUP($A365,Hitters!$A$1:$R$401,14,FALSE)-AVERAGE(Rankings!R$2:R$651))/STDEV(Rankings!R$2:R$651)</f>
        <v>0.33768147038798324</v>
      </c>
      <c r="L365" s="157">
        <f>(VLOOKUP($A365,Hitters!$A$1:$R$401,15,FALSE)-AVERAGE(Rankings!S$2:S$651))/STDEV(Rankings!S$2:S$651)</f>
        <v>6.1921325339753391E-2</v>
      </c>
      <c r="M365" s="157">
        <f>(VLOOKUP($A365,Hitters!$A$1:$R$401,9,FALSE)-AVERAGE(Rankings!T$2:T$651))/STDEV(Rankings!T$2:T$651)</f>
        <v>1.4230585608631248</v>
      </c>
      <c r="N365" s="157">
        <f>(VLOOKUP($A365,Hitters!$A$1:$R$401,10,FALSE)-AVERAGE(Rankings!U$2:U$651))/STDEV(Rankings!U$2:U$651)</f>
        <v>1.3579286068672884</v>
      </c>
      <c r="O365" s="157">
        <f>(VLOOKUP($A365,Hitters!$A$1:$R$401,11,FALSE)-AVERAGE(Rankings!V$2:V$651))/STDEV(Rankings!V$2:V$651)</f>
        <v>0.29291763173563318</v>
      </c>
      <c r="P365" s="157">
        <f>(VLOOKUP($A365,Hitters!$A$1:$R$401,12,FALSE)-AVERAGE(Rankings!W$2:W$651))/STDEV(Rankings!W$2:W$651)</f>
        <v>0.76982437054321051</v>
      </c>
      <c r="Q365" s="157">
        <f>(VLOOKUP($A365,Hitters!$A$1:$R$401,13,FALSE)-AVERAGE(Rankings!X$2:X$651))/STDEV(Rankings!X$2:X$651)</f>
        <v>1.9708300364421687</v>
      </c>
      <c r="R365" s="118">
        <f>(VLOOKUP($A365,Hitters!$A1:$R401,16,FALSE)-AVERAGE(Rankings!Y2:Y651))/STDEV(Rankings!Y2:Y651)</f>
        <v>0.38170711681408293</v>
      </c>
      <c r="S365" s="118">
        <f>(VLOOKUP($A365,Hitters!$A1:$R401,17,FALSE)-AVERAGE(Rankings!Z2:Z651))/STDEV(Rankings!Z2:Z651)</f>
        <v>0.30238516116339192</v>
      </c>
      <c r="T365" s="118">
        <f>IFERROR((VLOOKUP($A365,Hitters!$A1:$R401,18,FALSE)-AVERAGE(Rankings!AA2:AA651))/STDEV(Rankings!AA2:AA651),0)</f>
        <v>0</v>
      </c>
      <c r="U365" s="67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</row>
    <row r="366" spans="1:37" ht="18.600000000000001" customHeight="1">
      <c r="A366" s="26" t="s">
        <v>226</v>
      </c>
      <c r="B366" s="27" t="s">
        <v>63</v>
      </c>
      <c r="C366" s="124" t="s">
        <v>27</v>
      </c>
      <c r="D366" s="67">
        <f>(F366*Settings!$C$2)+(G366*Settings!$C$3)+(H366*Settings!$C$4)+(I366*Settings!$C$5)+(J366*Settings!$C$6)+(M366*Settings!$C$9)+(N366*Settings!$C$10)+(O366*Settings!$C$11)+(P366*Settings!$C$12)+(Q366*Settings!$C$13)+(T366*Settings!$C$16)+(K366*Settings!$C$7)+(L366*Settings!$C$8)+(R366*Settings!$C$14)+(S366*Settings!$C$15)</f>
        <v>4.9307025421826864</v>
      </c>
      <c r="E366" s="67"/>
      <c r="F366" s="118">
        <f>(VLOOKUP($A366,Hitters!$A1:$R401,4,FALSE)-AVERAGE(Rankings!M2:M651))/STDEV(Rankings!M2:M651)</f>
        <v>1.3649480206658056</v>
      </c>
      <c r="G366" s="118">
        <f>(VLOOKUP($A366,Hitters!$A1:$R401,5,FALSE)-AVERAGE(Rankings!N2:N651))/STDEV(Rankings!N2:N651)</f>
        <v>1.44799581490733</v>
      </c>
      <c r="H366" s="118">
        <f>(VLOOKUP($A366,Hitters!$A1:$R401,6,FALSE)-AVERAGE(Rankings!O2:O651))/STDEV(Rankings!O2:O651)</f>
        <v>0.65621390193361828</v>
      </c>
      <c r="I366" s="118">
        <f>(VLOOKUP($A366,Hitters!$A1:$R401,7,FALSE)-AVERAGE(Rankings!P2:P651))/STDEV(Rankings!P2:P651)</f>
        <v>1.2747184009542218</v>
      </c>
      <c r="J366" s="118">
        <f>(VLOOKUP($A366,Hitters!$A1:$R401,8,FALSE)-AVERAGE(Rankings!Q2:Q651))/STDEV(Rankings!Q2:Q651)</f>
        <v>0.13471306634008254</v>
      </c>
      <c r="K366" s="157">
        <f>(VLOOKUP($A366,Hitters!$A$1:$R$401,14,FALSE)-AVERAGE(Rankings!R$2:R$651))/STDEV(Rankings!R$2:R$651)</f>
        <v>1.4170613580474334</v>
      </c>
      <c r="L366" s="157">
        <f>(VLOOKUP($A366,Hitters!$A$1:$R$401,15,FALSE)-AVERAGE(Rankings!S$2:S$651))/STDEV(Rankings!S$2:S$651)</f>
        <v>1.4950946680815707</v>
      </c>
      <c r="M366" s="157">
        <f>(VLOOKUP($A366,Hitters!$A$1:$R$401,9,FALSE)-AVERAGE(Rankings!T$2:T$651))/STDEV(Rankings!T$2:T$651)</f>
        <v>1.572532205535945</v>
      </c>
      <c r="N366" s="157">
        <f>(VLOOKUP($A366,Hitters!$A$1:$R$401,10,FALSE)-AVERAGE(Rankings!U$2:U$651))/STDEV(Rankings!U$2:U$651)</f>
        <v>1.6129539599715179</v>
      </c>
      <c r="O366" s="157">
        <f>(VLOOKUP($A366,Hitters!$A$1:$R$401,11,FALSE)-AVERAGE(Rankings!V$2:V$651))/STDEV(Rankings!V$2:V$651)</f>
        <v>-0.56453398124010357</v>
      </c>
      <c r="P366" s="157">
        <f>(VLOOKUP($A366,Hitters!$A$1:$R$401,12,FALSE)-AVERAGE(Rankings!W$2:W$651))/STDEV(Rankings!W$2:W$651)</f>
        <v>1.3963639427074759</v>
      </c>
      <c r="Q366" s="157">
        <f>(VLOOKUP($A366,Hitters!$A$1:$R$401,13,FALSE)-AVERAGE(Rankings!X$2:X$651))/STDEV(Rankings!X$2:X$651)</f>
        <v>0.74807639948922855</v>
      </c>
      <c r="R366" s="118">
        <f>(VLOOKUP($A366,Hitters!$A1:$R401,16,FALSE)-AVERAGE(Rankings!Y2:Y651))/STDEV(Rankings!Y2:Y651)</f>
        <v>0.63052715621801647</v>
      </c>
      <c r="S366" s="118">
        <f>(VLOOKUP($A366,Hitters!$A1:$R401,17,FALSE)-AVERAGE(Rankings!Z2:Z651))/STDEV(Rankings!Z2:Z651)</f>
        <v>1.0237700401203427</v>
      </c>
      <c r="T366" s="118">
        <f>IFERROR((VLOOKUP($A366,Hitters!$A1:$R401,18,FALSE)-AVERAGE(Rankings!AA2:AA651))/STDEV(Rankings!AA2:AA651),0)</f>
        <v>0</v>
      </c>
      <c r="U366" s="67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</row>
    <row r="367" spans="1:37" ht="18.600000000000001" customHeight="1">
      <c r="A367" s="26" t="s">
        <v>206</v>
      </c>
      <c r="B367" s="27" t="s">
        <v>137</v>
      </c>
      <c r="C367" s="124" t="s">
        <v>27</v>
      </c>
      <c r="D367" s="67">
        <f>(F367*Settings!$C$2)+(G367*Settings!$C$3)+(H367*Settings!$C$4)+(I367*Settings!$C$5)+(J367*Settings!$C$6)+(M367*Settings!$C$9)+(N367*Settings!$C$10)+(O367*Settings!$C$11)+(P367*Settings!$C$12)+(Q367*Settings!$C$13)+(T367*Settings!$C$16)+(K367*Settings!$C$7)+(L367*Settings!$C$8)+(R367*Settings!$C$14)+(S367*Settings!$C$15)</f>
        <v>5.0758146228852361</v>
      </c>
      <c r="E367" s="67"/>
      <c r="F367" s="118">
        <f>(VLOOKUP($A367,Hitters!$A1:$R401,4,FALSE)-AVERAGE(Rankings!M2:M651))/STDEV(Rankings!M2:M651)</f>
        <v>1.0079763003912181</v>
      </c>
      <c r="G367" s="118">
        <f>(VLOOKUP($A367,Hitters!$A1:$R401,5,FALSE)-AVERAGE(Rankings!N2:N651))/STDEV(Rankings!N2:N651)</f>
        <v>1.2233456550278348</v>
      </c>
      <c r="H367" s="118">
        <f>(VLOOKUP($A367,Hitters!$A1:$R401,6,FALSE)-AVERAGE(Rankings!O2:O651))/STDEV(Rankings!O2:O651)</f>
        <v>1.1522169692610349</v>
      </c>
      <c r="I367" s="118">
        <f>(VLOOKUP($A367,Hitters!$A1:$R401,7,FALSE)-AVERAGE(Rankings!P2:P651))/STDEV(Rankings!P2:P651)</f>
        <v>0.88125522018405411</v>
      </c>
      <c r="J367" s="118">
        <f>(VLOOKUP($A367,Hitters!$A1:$R401,8,FALSE)-AVERAGE(Rankings!Q2:Q651))/STDEV(Rankings!Q2:Q651)</f>
        <v>1.7743611745057828</v>
      </c>
      <c r="K367" s="157">
        <f>(VLOOKUP($A367,Hitters!$A$1:$R$401,14,FALSE)-AVERAGE(Rankings!R$2:R$651))/STDEV(Rankings!R$2:R$651)</f>
        <v>4.4635603906529375E-2</v>
      </c>
      <c r="L367" s="157">
        <f>(VLOOKUP($A367,Hitters!$A$1:$R$401,15,FALSE)-AVERAGE(Rankings!S$2:S$651))/STDEV(Rankings!S$2:S$651)</f>
        <v>-8.4922205951951987E-3</v>
      </c>
      <c r="M367" s="157">
        <f>(VLOOKUP($A367,Hitters!$A$1:$R$401,9,FALSE)-AVERAGE(Rankings!T$2:T$651))/STDEV(Rankings!T$2:T$651)</f>
        <v>0.85944706560431483</v>
      </c>
      <c r="N367" s="157">
        <f>(VLOOKUP($A367,Hitters!$A$1:$R$401,10,FALSE)-AVERAGE(Rankings!U$2:U$651))/STDEV(Rankings!U$2:U$651)</f>
        <v>0.65517454751173776</v>
      </c>
      <c r="O367" s="157">
        <f>(VLOOKUP($A367,Hitters!$A$1:$R$401,11,FALSE)-AVERAGE(Rankings!V$2:V$651))/STDEV(Rankings!V$2:V$651)</f>
        <v>2.8931706460572149</v>
      </c>
      <c r="P367" s="157">
        <f>(VLOOKUP($A367,Hitters!$A$1:$R$401,12,FALSE)-AVERAGE(Rankings!W$2:W$651))/STDEV(Rankings!W$2:W$651)</f>
        <v>0.5946452124287791</v>
      </c>
      <c r="Q367" s="157">
        <f>(VLOOKUP($A367,Hitters!$A$1:$R$401,13,FALSE)-AVERAGE(Rankings!X$2:X$651))/STDEV(Rankings!X$2:X$651)</f>
        <v>1.9242585876325351</v>
      </c>
      <c r="R367" s="118">
        <f>(VLOOKUP($A367,Hitters!$A1:$R401,16,FALSE)-AVERAGE(Rankings!Y2:Y651))/STDEV(Rankings!Y2:Y651)</f>
        <v>0.92303304847541778</v>
      </c>
      <c r="S367" s="118">
        <f>(VLOOKUP($A367,Hitters!$A1:$R401,17,FALSE)-AVERAGE(Rankings!Z2:Z651))/STDEV(Rankings!Z2:Z651)</f>
        <v>0.67164129804560724</v>
      </c>
      <c r="T367" s="118">
        <f>IFERROR((VLOOKUP($A367,Hitters!$A1:$R401,18,FALSE)-AVERAGE(Rankings!AA2:AA651))/STDEV(Rankings!AA2:AA651),0)</f>
        <v>0</v>
      </c>
      <c r="U367" s="67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</row>
    <row r="368" spans="1:37" ht="18.600000000000001" customHeight="1">
      <c r="A368" s="26" t="s">
        <v>243</v>
      </c>
      <c r="B368" s="27" t="s">
        <v>97</v>
      </c>
      <c r="C368" s="124" t="s">
        <v>27</v>
      </c>
      <c r="D368" s="67">
        <f>(F368*Settings!$C$2)+(G368*Settings!$C$3)+(H368*Settings!$C$4)+(I368*Settings!$C$5)+(J368*Settings!$C$6)+(M368*Settings!$C$9)+(N368*Settings!$C$10)+(O368*Settings!$C$11)+(P368*Settings!$C$12)+(Q368*Settings!$C$13)+(T368*Settings!$C$16)+(K368*Settings!$C$7)+(L368*Settings!$C$8)+(R368*Settings!$C$14)+(S368*Settings!$C$15)</f>
        <v>4.9253203962324612</v>
      </c>
      <c r="E368" s="67"/>
      <c r="F368" s="118">
        <f>(VLOOKUP($A368,Hitters!$A1:$R401,4,FALSE)-AVERAGE(Rankings!M2:M651))/STDEV(Rankings!M2:M651)</f>
        <v>1.3614416712240545</v>
      </c>
      <c r="G368" s="118">
        <f>(VLOOKUP($A368,Hitters!$A1:$R401,5,FALSE)-AVERAGE(Rankings!N2:N651))/STDEV(Rankings!N2:N651)</f>
        <v>1.442113327650892</v>
      </c>
      <c r="H368" s="118">
        <f>(VLOOKUP($A368,Hitters!$A1:$R401,6,FALSE)-AVERAGE(Rankings!O2:O651))/STDEV(Rankings!O2:O651)</f>
        <v>1.7824518897925701</v>
      </c>
      <c r="I368" s="118">
        <f>(VLOOKUP($A368,Hitters!$A1:$R401,7,FALSE)-AVERAGE(Rankings!P2:P651))/STDEV(Rankings!P2:P651)</f>
        <v>1.4893046016834586</v>
      </c>
      <c r="J368" s="118">
        <f>(VLOOKUP($A368,Hitters!$A1:$R401,8,FALSE)-AVERAGE(Rankings!Q2:Q651))/STDEV(Rankings!Q2:Q651)</f>
        <v>0.24115081061049895</v>
      </c>
      <c r="K368" s="157">
        <f>(VLOOKUP($A368,Hitters!$A$1:$R$401,14,FALSE)-AVERAGE(Rankings!R$2:R$651))/STDEV(Rankings!R$2:R$651)</f>
        <v>-2.9700233504958606E-2</v>
      </c>
      <c r="L368" s="157">
        <f>(VLOOKUP($A368,Hitters!$A$1:$R$401,15,FALSE)-AVERAGE(Rankings!S$2:S$651))/STDEV(Rankings!S$2:S$651)</f>
        <v>0.17785182471473859</v>
      </c>
      <c r="M368" s="157">
        <f>(VLOOKUP($A368,Hitters!$A$1:$R$401,9,FALSE)-AVERAGE(Rankings!T$2:T$651))/STDEV(Rankings!T$2:T$651)</f>
        <v>1.1484643923830151</v>
      </c>
      <c r="N368" s="157">
        <f>(VLOOKUP($A368,Hitters!$A$1:$R$401,10,FALSE)-AVERAGE(Rankings!U$2:U$651))/STDEV(Rankings!U$2:U$651)</f>
        <v>1.2829127127876987</v>
      </c>
      <c r="O368" s="157">
        <f>(VLOOKUP($A368,Hitters!$A$1:$R$401,11,FALSE)-AVERAGE(Rankings!V$2:V$651))/STDEV(Rankings!V$2:V$651)</f>
        <v>-0.55308857595010485</v>
      </c>
      <c r="P368" s="157">
        <f>(VLOOKUP($A368,Hitters!$A$1:$R$401,12,FALSE)-AVERAGE(Rankings!W$2:W$651))/STDEV(Rankings!W$2:W$651)</f>
        <v>1.1163572031594546</v>
      </c>
      <c r="Q368" s="157">
        <f>(VLOOKUP($A368,Hitters!$A$1:$R$401,13,FALSE)-AVERAGE(Rankings!X$2:X$651))/STDEV(Rankings!X$2:X$651)</f>
        <v>2.1188335945477852</v>
      </c>
      <c r="R368" s="118">
        <f>(VLOOKUP($A368,Hitters!$A1:$R401,16,FALSE)-AVERAGE(Rankings!Y2:Y651))/STDEV(Rankings!Y2:Y651)</f>
        <v>0.99753442746597432</v>
      </c>
      <c r="S368" s="118">
        <f>(VLOOKUP($A368,Hitters!$A1:$R401,17,FALSE)-AVERAGE(Rankings!Z2:Z651))/STDEV(Rankings!Z2:Z651)</f>
        <v>0.79625237276577399</v>
      </c>
      <c r="T368" s="118">
        <f>IFERROR((VLOOKUP($A368,Hitters!$A1:$R401,18,FALSE)-AVERAGE(Rankings!AA2:AA651))/STDEV(Rankings!AA2:AA651),0)</f>
        <v>0</v>
      </c>
      <c r="U368" s="67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</row>
    <row r="369" spans="1:37" ht="18.600000000000001" customHeight="1">
      <c r="A369" s="26" t="s">
        <v>246</v>
      </c>
      <c r="B369" s="27" t="s">
        <v>76</v>
      </c>
      <c r="C369" s="124" t="s">
        <v>27</v>
      </c>
      <c r="D369" s="67">
        <f>(F369*Settings!$C$2)+(G369*Settings!$C$3)+(H369*Settings!$C$4)+(I369*Settings!$C$5)+(J369*Settings!$C$6)+(M369*Settings!$C$9)+(N369*Settings!$C$10)+(O369*Settings!$C$11)+(P369*Settings!$C$12)+(Q369*Settings!$C$13)+(T369*Settings!$C$16)+(K369*Settings!$C$7)+(L369*Settings!$C$8)+(R369*Settings!$C$14)+(S369*Settings!$C$15)</f>
        <v>4.5938655439743599</v>
      </c>
      <c r="E369" s="67"/>
      <c r="F369" s="118">
        <f>(VLOOKUP($A369,Hitters!$A1:$R401,4,FALSE)-AVERAGE(Rankings!M2:M651))/STDEV(Rankings!M2:M651)</f>
        <v>1.5609656280118507</v>
      </c>
      <c r="G369" s="118">
        <f>(VLOOKUP($A369,Hitters!$A1:$R401,5,FALSE)-AVERAGE(Rankings!N2:N651))/STDEV(Rankings!N2:N651)</f>
        <v>1.183537443852801</v>
      </c>
      <c r="H369" s="118">
        <f>(VLOOKUP($A369,Hitters!$A1:$R401,6,FALSE)-AVERAGE(Rankings!O2:O651))/STDEV(Rankings!O2:O651)</f>
        <v>-0.27052225531993723</v>
      </c>
      <c r="I369" s="118">
        <f>(VLOOKUP($A369,Hitters!$A1:$R401,7,FALSE)-AVERAGE(Rankings!P2:P651))/STDEV(Rankings!P2:P651)</f>
        <v>0.73327702411718332</v>
      </c>
      <c r="J369" s="118">
        <f>(VLOOKUP($A369,Hitters!$A1:$R401,8,FALSE)-AVERAGE(Rankings!Q2:Q651))/STDEV(Rankings!Q2:Q651)</f>
        <v>1.3620733049583216</v>
      </c>
      <c r="K369" s="157">
        <f>(VLOOKUP($A369,Hitters!$A$1:$R$401,14,FALSE)-AVERAGE(Rankings!R$2:R$651))/STDEV(Rankings!R$2:R$651)</f>
        <v>1.5855000263659906</v>
      </c>
      <c r="L369" s="157">
        <f>(VLOOKUP($A369,Hitters!$A$1:$R$401,15,FALSE)-AVERAGE(Rankings!S$2:S$651))/STDEV(Rankings!S$2:S$651)</f>
        <v>3.824229448028782E-2</v>
      </c>
      <c r="M369" s="157">
        <f>(VLOOKUP($A369,Hitters!$A$1:$R$401,9,FALSE)-AVERAGE(Rankings!T$2:T$651))/STDEV(Rankings!T$2:T$651)</f>
        <v>1.8143260451750256</v>
      </c>
      <c r="N369" s="157">
        <f>(VLOOKUP($A369,Hitters!$A$1:$R$401,10,FALSE)-AVERAGE(Rankings!U$2:U$651))/STDEV(Rankings!U$2:U$651)</f>
        <v>1.0588690673721719</v>
      </c>
      <c r="O369" s="157">
        <f>(VLOOKUP($A369,Hitters!$A$1:$R$401,11,FALSE)-AVERAGE(Rankings!V$2:V$651))/STDEV(Rankings!V$2:V$651)</f>
        <v>3.7637367859277413</v>
      </c>
      <c r="P369" s="157">
        <f>(VLOOKUP($A369,Hitters!$A$1:$R$401,12,FALSE)-AVERAGE(Rankings!W$2:W$651))/STDEV(Rankings!W$2:W$651)</f>
        <v>-0.41274768964055025</v>
      </c>
      <c r="Q369" s="157">
        <f>(VLOOKUP($A369,Hitters!$A$1:$R$401,13,FALSE)-AVERAGE(Rankings!X$2:X$651))/STDEV(Rankings!X$2:X$651)</f>
        <v>0.47674708903310115</v>
      </c>
      <c r="R369" s="118">
        <f>(VLOOKUP($A369,Hitters!$A1:$R401,16,FALSE)-AVERAGE(Rankings!Y2:Y651))/STDEV(Rankings!Y2:Y651)</f>
        <v>-0.10487991530383672</v>
      </c>
      <c r="S369" s="118">
        <f>(VLOOKUP($A369,Hitters!$A1:$R401,17,FALSE)-AVERAGE(Rankings!Z2:Z651))/STDEV(Rankings!Z2:Z651)</f>
        <v>-6.2269822528948277E-2</v>
      </c>
      <c r="T369" s="118">
        <f>IFERROR((VLOOKUP($A369,Hitters!$A1:$R401,18,FALSE)-AVERAGE(Rankings!AA2:AA651))/STDEV(Rankings!AA2:AA651),0)</f>
        <v>0</v>
      </c>
      <c r="U369" s="67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</row>
    <row r="370" spans="1:37" ht="18.600000000000001" customHeight="1">
      <c r="A370" s="26" t="s">
        <v>272</v>
      </c>
      <c r="B370" s="27" t="s">
        <v>101</v>
      </c>
      <c r="C370" s="124" t="s">
        <v>27</v>
      </c>
      <c r="D370" s="67">
        <f>(F370*Settings!$C$2)+(G370*Settings!$C$3)+(H370*Settings!$C$4)+(I370*Settings!$C$5)+(J370*Settings!$C$6)+(M370*Settings!$C$9)+(N370*Settings!$C$10)+(O370*Settings!$C$11)+(P370*Settings!$C$12)+(Q370*Settings!$C$13)+(T370*Settings!$C$16)+(K370*Settings!$C$7)+(L370*Settings!$C$8)+(R370*Settings!$C$14)+(S370*Settings!$C$15)</f>
        <v>5.074437781971282</v>
      </c>
      <c r="E370" s="67"/>
      <c r="F370" s="118">
        <f>(VLOOKUP($A370,Hitters!$A1:$R401,4,FALSE)-AVERAGE(Rankings!M2:M651))/STDEV(Rankings!M2:M651)</f>
        <v>1.2762331552721207</v>
      </c>
      <c r="G370" s="118">
        <f>(VLOOKUP($A370,Hitters!$A1:$R401,5,FALSE)-AVERAGE(Rankings!N2:N651))/STDEV(Rankings!N2:N651)</f>
        <v>1.3063597208794677</v>
      </c>
      <c r="H370" s="118">
        <f>(VLOOKUP($A370,Hitters!$A1:$R401,6,FALSE)-AVERAGE(Rankings!O2:O651))/STDEV(Rankings!O2:O651)</f>
        <v>-2.8944504365815723E-3</v>
      </c>
      <c r="I370" s="118">
        <f>(VLOOKUP($A370,Hitters!$A1:$R401,7,FALSE)-AVERAGE(Rankings!P2:P651))/STDEV(Rankings!P2:P651)</f>
        <v>0.92060408346568146</v>
      </c>
      <c r="J370" s="118">
        <f>(VLOOKUP($A370,Hitters!$A1:$R401,8,FALSE)-AVERAGE(Rankings!Q2:Q651))/STDEV(Rankings!Q2:Q651)</f>
        <v>0.94139079188953267</v>
      </c>
      <c r="K370" s="157">
        <f>(VLOOKUP($A370,Hitters!$A$1:$R$401,14,FALSE)-AVERAGE(Rankings!R$2:R$651))/STDEV(Rankings!R$2:R$651)</f>
        <v>1.9089776361731823</v>
      </c>
      <c r="L370" s="157">
        <f>(VLOOKUP($A370,Hitters!$A$1:$R$401,15,FALSE)-AVERAGE(Rankings!S$2:S$651))/STDEV(Rankings!S$2:S$651)</f>
        <v>1.3027984645481141</v>
      </c>
      <c r="M370" s="157">
        <f>(VLOOKUP($A370,Hitters!$A$1:$R$401,9,FALSE)-AVERAGE(Rankings!T$2:T$651))/STDEV(Rankings!T$2:T$651)</f>
        <v>1.6264805089539316</v>
      </c>
      <c r="N370" s="157">
        <f>(VLOOKUP($A370,Hitters!$A$1:$R$401,10,FALSE)-AVERAGE(Rankings!U$2:U$651))/STDEV(Rankings!U$2:U$651)</f>
        <v>1.8593732831622181</v>
      </c>
      <c r="O370" s="157">
        <f>(VLOOKUP($A370,Hitters!$A$1:$R$401,11,FALSE)-AVERAGE(Rankings!V$2:V$651))/STDEV(Rankings!V$2:V$651)</f>
        <v>3.6740811111560845</v>
      </c>
      <c r="P370" s="157">
        <f>(VLOOKUP($A370,Hitters!$A$1:$R$401,12,FALSE)-AVERAGE(Rankings!W$2:W$651))/STDEV(Rankings!W$2:W$651)</f>
        <v>0.64470306506707054</v>
      </c>
      <c r="Q370" s="157">
        <f>(VLOOKUP($A370,Hitters!$A$1:$R$401,13,FALSE)-AVERAGE(Rankings!X$2:X$651))/STDEV(Rankings!X$2:X$651)</f>
        <v>-0.82545009952377268</v>
      </c>
      <c r="R370" s="118">
        <f>(VLOOKUP($A370,Hitters!$A1:$R401,16,FALSE)-AVERAGE(Rankings!Y2:Y651))/STDEV(Rankings!Y2:Y651)</f>
        <v>0.76099470504848377</v>
      </c>
      <c r="S370" s="118">
        <f>(VLOOKUP($A370,Hitters!$A1:$R401,17,FALSE)-AVERAGE(Rankings!Z2:Z651))/STDEV(Rankings!Z2:Z651)</f>
        <v>1.0467703878699861</v>
      </c>
      <c r="T370" s="118">
        <f>IFERROR((VLOOKUP($A370,Hitters!$A1:$R401,18,FALSE)-AVERAGE(Rankings!AA2:AA651))/STDEV(Rankings!AA2:AA651),0)</f>
        <v>0</v>
      </c>
      <c r="U370" s="67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</row>
    <row r="371" spans="1:37" ht="18.600000000000001" customHeight="1">
      <c r="A371" s="26" t="s">
        <v>290</v>
      </c>
      <c r="B371" s="27" t="s">
        <v>156</v>
      </c>
      <c r="C371" s="124" t="s">
        <v>27</v>
      </c>
      <c r="D371" s="67">
        <f>(F371*Settings!$C$2)+(G371*Settings!$C$3)+(H371*Settings!$C$4)+(I371*Settings!$C$5)+(J371*Settings!$C$6)+(M371*Settings!$C$9)+(N371*Settings!$C$10)+(O371*Settings!$C$11)+(P371*Settings!$C$12)+(Q371*Settings!$C$13)+(T371*Settings!$C$16)+(K371*Settings!$C$7)+(L371*Settings!$C$8)+(R371*Settings!$C$14)+(S371*Settings!$C$15)</f>
        <v>4.2290953140247201</v>
      </c>
      <c r="E371" s="67"/>
      <c r="F371" s="118">
        <f>(VLOOKUP($A371,Hitters!$A1:$R401,4,FALSE)-AVERAGE(Rankings!M2:M651))/STDEV(Rankings!M2:M651)</f>
        <v>1.2253699657797417</v>
      </c>
      <c r="G371" s="118">
        <f>(VLOOKUP($A371,Hitters!$A1:$R401,5,FALSE)-AVERAGE(Rankings!N2:N651))/STDEV(Rankings!N2:N651)</f>
        <v>1.3402347337010259</v>
      </c>
      <c r="H371" s="118">
        <f>(VLOOKUP($A371,Hitters!$A1:$R401,6,FALSE)-AVERAGE(Rankings!O2:O651))/STDEV(Rankings!O2:O651)</f>
        <v>1.1539932600014104</v>
      </c>
      <c r="I371" s="118">
        <f>(VLOOKUP($A371,Hitters!$A1:$R401,7,FALSE)-AVERAGE(Rankings!P2:P651))/STDEV(Rankings!P2:P651)</f>
        <v>1.2082122044762829</v>
      </c>
      <c r="J371" s="118">
        <f>(VLOOKUP($A371,Hitters!$A1:$R401,8,FALSE)-AVERAGE(Rankings!Q2:Q651))/STDEV(Rankings!Q2:Q651)</f>
        <v>-0.8273447591041273</v>
      </c>
      <c r="K371" s="157">
        <f>(VLOOKUP($A371,Hitters!$A$1:$R$401,14,FALSE)-AVERAGE(Rankings!R$2:R$651))/STDEV(Rankings!R$2:R$651)</f>
        <v>1.3539998749501281</v>
      </c>
      <c r="L371" s="157">
        <f>(VLOOKUP($A371,Hitters!$A$1:$R$401,15,FALSE)-AVERAGE(Rankings!S$2:S$651))/STDEV(Rankings!S$2:S$651)</f>
        <v>1.6494986877652731</v>
      </c>
      <c r="M371" s="157">
        <f>(VLOOKUP($A371,Hitters!$A$1:$R$401,9,FALSE)-AVERAGE(Rankings!T$2:T$651))/STDEV(Rankings!T$2:T$651)</f>
        <v>1.419104548619275</v>
      </c>
      <c r="N371" s="157">
        <f>(VLOOKUP($A371,Hitters!$A$1:$R$401,10,FALSE)-AVERAGE(Rankings!U$2:U$651))/STDEV(Rankings!U$2:U$651)</f>
        <v>1.3081570672007152</v>
      </c>
      <c r="O371" s="157">
        <f>(VLOOKUP($A371,Hitters!$A$1:$R$401,11,FALSE)-AVERAGE(Rankings!V$2:V$651))/STDEV(Rankings!V$2:V$651)</f>
        <v>-0.54688898141802222</v>
      </c>
      <c r="P371" s="157">
        <f>(VLOOKUP($A371,Hitters!$A$1:$R$401,12,FALSE)-AVERAGE(Rankings!W$2:W$651))/STDEV(Rankings!W$2:W$651)</f>
        <v>1.5291673169016382</v>
      </c>
      <c r="Q371" s="157">
        <f>(VLOOKUP($A371,Hitters!$A$1:$R$401,13,FALSE)-AVERAGE(Rankings!X$2:X$651))/STDEV(Rankings!X$2:X$651)</f>
        <v>0.79140493151694136</v>
      </c>
      <c r="R371" s="118">
        <f>(VLOOKUP($A371,Hitters!$A1:$R401,16,FALSE)-AVERAGE(Rankings!Y2:Y651))/STDEV(Rankings!Y2:Y651)</f>
        <v>1.1377682412601007</v>
      </c>
      <c r="S371" s="118">
        <f>(VLOOKUP($A371,Hitters!$A1:$R401,17,FALSE)-AVERAGE(Rankings!Z2:Z651))/STDEV(Rankings!Z2:Z651)</f>
        <v>1.4527324770752386</v>
      </c>
      <c r="T371" s="118">
        <f>IFERROR((VLOOKUP($A371,Hitters!$A1:$R401,18,FALSE)-AVERAGE(Rankings!AA2:AA651))/STDEV(Rankings!AA2:AA651),0)</f>
        <v>0</v>
      </c>
      <c r="U371" s="67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</row>
    <row r="372" spans="1:37" ht="18.600000000000001" customHeight="1">
      <c r="A372" s="26" t="s">
        <v>300</v>
      </c>
      <c r="B372" s="27" t="s">
        <v>78</v>
      </c>
      <c r="C372" s="124" t="s">
        <v>27</v>
      </c>
      <c r="D372" s="67">
        <f>(F372*Settings!$C$2)+(G372*Settings!$C$3)+(H372*Settings!$C$4)+(I372*Settings!$C$5)+(J372*Settings!$C$6)+(M372*Settings!$C$9)+(N372*Settings!$C$10)+(O372*Settings!$C$11)+(P372*Settings!$C$12)+(Q372*Settings!$C$13)+(T372*Settings!$C$16)+(K372*Settings!$C$7)+(L372*Settings!$C$8)+(R372*Settings!$C$14)+(S372*Settings!$C$15)</f>
        <v>3.8937282389953412</v>
      </c>
      <c r="E372" s="67"/>
      <c r="F372" s="118">
        <f>(VLOOKUP($A372,Hitters!$A1:$R401,4,FALSE)-AVERAGE(Rankings!M2:M651))/STDEV(Rankings!M2:M651)</f>
        <v>1.2631371513330534</v>
      </c>
      <c r="G372" s="118">
        <f>(VLOOKUP($A372,Hitters!$A1:$R401,5,FALSE)-AVERAGE(Rankings!N2:N651))/STDEV(Rankings!N2:N651)</f>
        <v>0.99428362970601181</v>
      </c>
      <c r="H372" s="118">
        <f>(VLOOKUP($A372,Hitters!$A1:$R401,6,FALSE)-AVERAGE(Rankings!O2:O651))/STDEV(Rankings!O2:O651)</f>
        <v>0.89848602722885784</v>
      </c>
      <c r="I372" s="118">
        <f>(VLOOKUP($A372,Hitters!$A1:$R401,7,FALSE)-AVERAGE(Rankings!P2:P651))/STDEV(Rankings!P2:P651)</f>
        <v>0.89235231228676415</v>
      </c>
      <c r="J372" s="118">
        <f>(VLOOKUP($A372,Hitters!$A1:$R401,8,FALSE)-AVERAGE(Rankings!Q2:Q651))/STDEV(Rankings!Q2:Q651)</f>
        <v>0.90321892229255329</v>
      </c>
      <c r="K372" s="157">
        <f>(VLOOKUP($A372,Hitters!$A$1:$R$401,14,FALSE)-AVERAGE(Rankings!R$2:R$651))/STDEV(Rankings!R$2:R$651)</f>
        <v>0.20538734748115423</v>
      </c>
      <c r="L372" s="157">
        <f>(VLOOKUP($A372,Hitters!$A$1:$R$401,15,FALSE)-AVERAGE(Rankings!S$2:S$651))/STDEV(Rankings!S$2:S$651)</f>
        <v>-0.87058777276492305</v>
      </c>
      <c r="M372" s="157">
        <f>(VLOOKUP($A372,Hitters!$A$1:$R$401,9,FALSE)-AVERAGE(Rankings!T$2:T$651))/STDEV(Rankings!T$2:T$651)</f>
        <v>1.1293533332044055</v>
      </c>
      <c r="N372" s="157">
        <f>(VLOOKUP($A372,Hitters!$A$1:$R$401,10,FALSE)-AVERAGE(Rankings!U$2:U$651))/STDEV(Rankings!U$2:U$651)</f>
        <v>0.49732561551443494</v>
      </c>
      <c r="O372" s="157">
        <f>(VLOOKUP($A372,Hitters!$A$1:$R$401,11,FALSE)-AVERAGE(Rankings!V$2:V$651))/STDEV(Rankings!V$2:V$651)</f>
        <v>1.15036924471137</v>
      </c>
      <c r="P372" s="157">
        <f>(VLOOKUP($A372,Hitters!$A$1:$R$401,12,FALSE)-AVERAGE(Rankings!W$2:W$651))/STDEV(Rankings!W$2:W$651)</f>
        <v>-0.32591232178338325</v>
      </c>
      <c r="Q372" s="157">
        <f>(VLOOKUP($A372,Hitters!$A$1:$R$401,13,FALSE)-AVERAGE(Rankings!X$2:X$651))/STDEV(Rankings!X$2:X$651)</f>
        <v>1.3332251397977726</v>
      </c>
      <c r="R372" s="118">
        <f>(VLOOKUP($A372,Hitters!$A1:$R401,16,FALSE)-AVERAGE(Rankings!Y2:Y651))/STDEV(Rankings!Y2:Y651)</f>
        <v>0.23078622742199661</v>
      </c>
      <c r="S372" s="118">
        <f>(VLOOKUP($A372,Hitters!$A1:$R401,17,FALSE)-AVERAGE(Rankings!Z2:Z651))/STDEV(Rankings!Z2:Z651)</f>
        <v>-0.15896655491434877</v>
      </c>
      <c r="T372" s="118">
        <f>IFERROR((VLOOKUP($A372,Hitters!$A1:$R401,18,FALSE)-AVERAGE(Rankings!AA2:AA651))/STDEV(Rankings!AA2:AA651),0)</f>
        <v>0</v>
      </c>
      <c r="U372" s="67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</row>
    <row r="373" spans="1:37" ht="18.600000000000001" customHeight="1">
      <c r="A373" s="26" t="s">
        <v>332</v>
      </c>
      <c r="B373" s="27" t="s">
        <v>258</v>
      </c>
      <c r="C373" s="124" t="s">
        <v>27</v>
      </c>
      <c r="D373" s="67">
        <f>(F373*Settings!$C$2)+(G373*Settings!$C$3)+(H373*Settings!$C$4)+(I373*Settings!$C$5)+(J373*Settings!$C$6)+(M373*Settings!$C$9)+(N373*Settings!$C$10)+(O373*Settings!$C$11)+(P373*Settings!$C$12)+(Q373*Settings!$C$13)+(T373*Settings!$C$16)+(K373*Settings!$C$7)+(L373*Settings!$C$8)+(R373*Settings!$C$14)+(S373*Settings!$C$15)</f>
        <v>3.8460937939828734</v>
      </c>
      <c r="E373" s="67"/>
      <c r="F373" s="118">
        <f>(VLOOKUP($A373,Hitters!$A1:$R401,4,FALSE)-AVERAGE(Rankings!M2:M651))/STDEV(Rankings!M2:M651)</f>
        <v>1.3458532020191645</v>
      </c>
      <c r="G373" s="118">
        <f>(VLOOKUP($A373,Hitters!$A1:$R401,5,FALSE)-AVERAGE(Rankings!N2:N651))/STDEV(Rankings!N2:N651)</f>
        <v>0.92937342549703839</v>
      </c>
      <c r="H373" s="118">
        <f>(VLOOKUP($A373,Hitters!$A1:$R401,6,FALSE)-AVERAGE(Rankings!O2:O651))/STDEV(Rankings!O2:O651)</f>
        <v>0.97343853062669516</v>
      </c>
      <c r="I373" s="118">
        <f>(VLOOKUP($A373,Hitters!$A1:$R401,7,FALSE)-AVERAGE(Rankings!P2:P651))/STDEV(Rankings!P2:P651)</f>
        <v>1.0480170262779889</v>
      </c>
      <c r="J373" s="118">
        <f>(VLOOKUP($A373,Hitters!$A1:$R401,8,FALSE)-AVERAGE(Rankings!Q2:Q651))/STDEV(Rankings!Q2:Q651)</f>
        <v>0.93109547436337647</v>
      </c>
      <c r="K373" s="157">
        <f>(VLOOKUP($A373,Hitters!$A$1:$R$401,14,FALSE)-AVERAGE(Rankings!R$2:R$651))/STDEV(Rankings!R$2:R$651)</f>
        <v>-3.5830662782225235E-2</v>
      </c>
      <c r="L373" s="157">
        <f>(VLOOKUP($A373,Hitters!$A$1:$R$401,15,FALSE)-AVERAGE(Rankings!S$2:S$651))/STDEV(Rankings!S$2:S$651)</f>
        <v>-1.1672962695399409</v>
      </c>
      <c r="M373" s="157">
        <f>(VLOOKUP($A373,Hitters!$A$1:$R$401,9,FALSE)-AVERAGE(Rankings!T$2:T$651))/STDEV(Rankings!T$2:T$651)</f>
        <v>1.1330677083425678</v>
      </c>
      <c r="N373" s="157">
        <f>(VLOOKUP($A373,Hitters!$A$1:$R$401,10,FALSE)-AVERAGE(Rankings!U$2:U$651))/STDEV(Rankings!U$2:U$651)</f>
        <v>0.96319870150011311</v>
      </c>
      <c r="O373" s="157">
        <f>(VLOOKUP($A373,Hitters!$A$1:$R$401,11,FALSE)-AVERAGE(Rankings!V$2:V$651))/STDEV(Rankings!V$2:V$651)</f>
        <v>1.1699218120817845</v>
      </c>
      <c r="P373" s="157">
        <f>(VLOOKUP($A373,Hitters!$A$1:$R$401,12,FALSE)-AVERAGE(Rankings!W$2:W$651))/STDEV(Rankings!W$2:W$651)</f>
        <v>-0.40833127766500638</v>
      </c>
      <c r="Q373" s="157">
        <f>(VLOOKUP($A373,Hitters!$A$1:$R$401,13,FALSE)-AVERAGE(Rankings!X$2:X$651))/STDEV(Rankings!X$2:X$651)</f>
        <v>1.9421658159112394</v>
      </c>
      <c r="R373" s="118">
        <f>(VLOOKUP($A373,Hitters!$A1:$R401,16,FALSE)-AVERAGE(Rankings!Y2:Y651))/STDEV(Rankings!Y2:Y651)</f>
        <v>0.2736909777829134</v>
      </c>
      <c r="S373" s="118">
        <f>(VLOOKUP($A373,Hitters!$A1:$R401,17,FALSE)-AVERAGE(Rankings!Z2:Z651))/STDEV(Rankings!Z2:Z651)</f>
        <v>-0.23928576809207006</v>
      </c>
      <c r="T373" s="118">
        <f>IFERROR((VLOOKUP($A373,Hitters!$A1:$R401,18,FALSE)-AVERAGE(Rankings!AA2:AA651))/STDEV(Rankings!AA2:AA651),0)</f>
        <v>0</v>
      </c>
      <c r="U373" s="67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</row>
    <row r="374" spans="1:37" ht="18.600000000000001" customHeight="1">
      <c r="A374" s="26" t="s">
        <v>320</v>
      </c>
      <c r="B374" s="27" t="s">
        <v>158</v>
      </c>
      <c r="C374" s="124" t="s">
        <v>27</v>
      </c>
      <c r="D374" s="67">
        <f>(F374*Settings!$C$2)+(G374*Settings!$C$3)+(H374*Settings!$C$4)+(I374*Settings!$C$5)+(J374*Settings!$C$6)+(M374*Settings!$C$9)+(N374*Settings!$C$10)+(O374*Settings!$C$11)+(P374*Settings!$C$12)+(Q374*Settings!$C$13)+(T374*Settings!$C$16)+(K374*Settings!$C$7)+(L374*Settings!$C$8)+(R374*Settings!$C$14)+(S374*Settings!$C$15)</f>
        <v>4.2445272309854047</v>
      </c>
      <c r="E374" s="67"/>
      <c r="F374" s="118">
        <f>(VLOOKUP($A374,Hitters!$A1:$R401,4,FALSE)-AVERAGE(Rankings!M2:M651))/STDEV(Rankings!M2:M651)</f>
        <v>1.0699077254708089</v>
      </c>
      <c r="G374" s="118">
        <f>(VLOOKUP($A374,Hitters!$A1:$R401,5,FALSE)-AVERAGE(Rankings!N2:N651))/STDEV(Rankings!N2:N651)</f>
        <v>0.82932043104054987</v>
      </c>
      <c r="H374" s="118">
        <f>(VLOOKUP($A374,Hitters!$A1:$R401,6,FALSE)-AVERAGE(Rankings!O2:O651))/STDEV(Rankings!O2:O651)</f>
        <v>-0.51767047284366041</v>
      </c>
      <c r="I374" s="118">
        <f>(VLOOKUP($A374,Hitters!$A1:$R401,7,FALSE)-AVERAGE(Rankings!P2:P651))/STDEV(Rankings!P2:P651)</f>
        <v>0.27819443972164692</v>
      </c>
      <c r="J374" s="118">
        <f>(VLOOKUP($A374,Hitters!$A1:$R401,8,FALSE)-AVERAGE(Rankings!Q2:Q651))/STDEV(Rankings!Q2:Q651)</f>
        <v>1.9995910440780029</v>
      </c>
      <c r="K374" s="157">
        <f>(VLOOKUP($A374,Hitters!$A$1:$R$401,14,FALSE)-AVERAGE(Rankings!R$2:R$651))/STDEV(Rankings!R$2:R$651)</f>
        <v>1.6550917889888654</v>
      </c>
      <c r="L374" s="157">
        <f>(VLOOKUP($A374,Hitters!$A$1:$R$401,15,FALSE)-AVERAGE(Rankings!S$2:S$651))/STDEV(Rankings!S$2:S$651)</f>
        <v>0.61863098992620724</v>
      </c>
      <c r="M374" s="157">
        <f>(VLOOKUP($A374,Hitters!$A$1:$R$401,9,FALSE)-AVERAGE(Rankings!T$2:T$651))/STDEV(Rankings!T$2:T$651)</f>
        <v>1.3502388353722172</v>
      </c>
      <c r="N374" s="157">
        <f>(VLOOKUP($A374,Hitters!$A$1:$R$401,10,FALSE)-AVERAGE(Rankings!U$2:U$651))/STDEV(Rankings!U$2:U$651)</f>
        <v>0.87613436554158286</v>
      </c>
      <c r="O374" s="157">
        <f>(VLOOKUP($A374,Hitters!$A$1:$R$401,11,FALSE)-AVERAGE(Rankings!V$2:V$651))/STDEV(Rankings!V$2:V$651)</f>
        <v>2.0154511278804388</v>
      </c>
      <c r="P374" s="157">
        <f>(VLOOKUP($A374,Hitters!$A$1:$R$401,12,FALSE)-AVERAGE(Rankings!W$2:W$651))/STDEV(Rankings!W$2:W$651)</f>
        <v>-2.889306568168384E-2</v>
      </c>
      <c r="Q374" s="157">
        <f>(VLOOKUP($A374,Hitters!$A$1:$R$401,13,FALSE)-AVERAGE(Rankings!X$2:X$651))/STDEV(Rankings!X$2:X$651)</f>
        <v>-0.62804347258918714</v>
      </c>
      <c r="R374" s="118">
        <f>(VLOOKUP($A374,Hitters!$A1:$R401,16,FALSE)-AVERAGE(Rankings!Y2:Y651))/STDEV(Rankings!Y2:Y651)</f>
        <v>-0.21722011092698201</v>
      </c>
      <c r="S374" s="118">
        <f>(VLOOKUP($A374,Hitters!$A1:$R401,17,FALSE)-AVERAGE(Rankings!Z2:Z651))/STDEV(Rankings!Z2:Z651)</f>
        <v>7.4068025400801318E-2</v>
      </c>
      <c r="T374" s="118">
        <f>IFERROR((VLOOKUP($A374,Hitters!$A1:$R401,18,FALSE)-AVERAGE(Rankings!AA2:AA651))/STDEV(Rankings!AA2:AA651),0)</f>
        <v>0</v>
      </c>
      <c r="U374" s="67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</row>
    <row r="375" spans="1:37" ht="18.600000000000001" customHeight="1">
      <c r="A375" s="26" t="s">
        <v>354</v>
      </c>
      <c r="B375" s="27" t="s">
        <v>176</v>
      </c>
      <c r="C375" s="125" t="s">
        <v>27</v>
      </c>
      <c r="D375" s="67">
        <f>(F375*Settings!$C$2)+(G375*Settings!$C$3)+(H375*Settings!$C$4)+(I375*Settings!$C$5)+(J375*Settings!$C$6)+(M375*Settings!$C$9)+(N375*Settings!$C$10)+(O375*Settings!$C$11)+(P375*Settings!$C$12)+(Q375*Settings!$C$13)+(T375*Settings!$C$16)+(K375*Settings!$C$7)+(L375*Settings!$C$8)+(R375*Settings!$C$14)+(S375*Settings!$C$15)</f>
        <v>3.063746390806783</v>
      </c>
      <c r="E375" s="67"/>
      <c r="F375" s="118">
        <f>(VLOOKUP($A375,Hitters!$A1:$R401,4,FALSE)-AVERAGE(Rankings!M2:M651))/STDEV(Rankings!M2:M651)</f>
        <v>0.62430563015053142</v>
      </c>
      <c r="G375" s="118">
        <f>(VLOOKUP($A375,Hitters!$A1:$R401,5,FALSE)-AVERAGE(Rankings!N2:N651))/STDEV(Rankings!N2:N651)</f>
        <v>0.44787155911875326</v>
      </c>
      <c r="H375" s="118">
        <f>(VLOOKUP($A375,Hitters!$A1:$R401,6,FALSE)-AVERAGE(Rankings!O2:O651))/STDEV(Rankings!O2:O651)</f>
        <v>-1.2226473868156486E-3</v>
      </c>
      <c r="I375" s="118">
        <f>(VLOOKUP($A375,Hitters!$A1:$R401,7,FALSE)-AVERAGE(Rankings!P2:P651))/STDEV(Rankings!P2:P651)</f>
        <v>0.35729939902261593</v>
      </c>
      <c r="J375" s="118">
        <f>(VLOOKUP($A375,Hitters!$A1:$R401,8,FALSE)-AVERAGE(Rankings!Q2:Q651))/STDEV(Rankings!Q2:Q651)</f>
        <v>0.93632232787665592</v>
      </c>
      <c r="K375" s="157">
        <f>(VLOOKUP($A375,Hitters!$A$1:$R$401,14,FALSE)-AVERAGE(Rankings!R$2:R$651))/STDEV(Rankings!R$2:R$651)</f>
        <v>1.3234757521755736</v>
      </c>
      <c r="L375" s="157">
        <f>(VLOOKUP($A375,Hitters!$A$1:$R$401,15,FALSE)-AVERAGE(Rankings!S$2:S$651))/STDEV(Rankings!S$2:S$651)</f>
        <v>6.098247971297404E-2</v>
      </c>
      <c r="M375" s="157">
        <f>(VLOOKUP($A375,Hitters!$A$1:$R$401,9,FALSE)-AVERAGE(Rankings!T$2:T$651))/STDEV(Rankings!T$2:T$651)</f>
        <v>0.83007654283844268</v>
      </c>
      <c r="N375" s="157">
        <f>(VLOOKUP($A375,Hitters!$A$1:$R$401,10,FALSE)-AVERAGE(Rankings!U$2:U$651))/STDEV(Rankings!U$2:U$651)</f>
        <v>0.73327426897700876</v>
      </c>
      <c r="O375" s="157">
        <f>(VLOOKUP($A375,Hitters!$A$1:$R$401,11,FALSE)-AVERAGE(Rankings!V$2:V$651))/STDEV(Rankings!V$2:V$651)</f>
        <v>1.1532305960338693</v>
      </c>
      <c r="P375" s="157">
        <f>(VLOOKUP($A375,Hitters!$A$1:$R$401,12,FALSE)-AVERAGE(Rankings!W$2:W$651))/STDEV(Rankings!W$2:W$651)</f>
        <v>-0.53740247272490727</v>
      </c>
      <c r="Q375" s="157">
        <f>(VLOOKUP($A375,Hitters!$A$1:$R$401,13,FALSE)-AVERAGE(Rankings!X$2:X$651))/STDEV(Rankings!X$2:X$651)</f>
        <v>2.7073174677581122E-2</v>
      </c>
      <c r="R375" s="118">
        <f>(VLOOKUP($A375,Hitters!$A1:$R401,16,FALSE)-AVERAGE(Rankings!Y2:Y651))/STDEV(Rankings!Y2:Y651)</f>
        <v>0.44778039059755875</v>
      </c>
      <c r="S375" s="118">
        <f>(VLOOKUP($A375,Hitters!$A1:$R401,17,FALSE)-AVERAGE(Rankings!Z2:Z651))/STDEV(Rankings!Z2:Z651)</f>
        <v>0.35033765654856602</v>
      </c>
      <c r="T375" s="118">
        <f>IFERROR((VLOOKUP($A375,Hitters!$A1:$R401,18,FALSE)-AVERAGE(Rankings!AA2:AA651))/STDEV(Rankings!AA2:AA651),0)</f>
        <v>0</v>
      </c>
      <c r="U375" s="67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</row>
    <row r="376" spans="1:37" ht="18.600000000000001" customHeight="1">
      <c r="A376" s="26" t="s">
        <v>326</v>
      </c>
      <c r="B376" s="27" t="s">
        <v>103</v>
      </c>
      <c r="C376" s="126" t="s">
        <v>27</v>
      </c>
      <c r="D376" s="67">
        <f>(F376*Settings!$C$2)+(G376*Settings!$C$3)+(H376*Settings!$C$4)+(I376*Settings!$C$5)+(J376*Settings!$C$6)+(M376*Settings!$C$9)+(N376*Settings!$C$10)+(O376*Settings!$C$11)+(P376*Settings!$C$12)+(Q376*Settings!$C$13)+(T376*Settings!$C$16)+(K376*Settings!$C$7)+(L376*Settings!$C$8)+(R376*Settings!$C$14)+(S376*Settings!$C$15)</f>
        <v>1.1859409305957234</v>
      </c>
      <c r="E376" s="67"/>
      <c r="F376" s="118">
        <f>(VLOOKUP($A376,Hitters!$A1:$R401,4,FALSE)-AVERAGE(Rankings!M2:M651))/STDEV(Rankings!M2:M651)</f>
        <v>-0.17747608843188981</v>
      </c>
      <c r="G376" s="118">
        <f>(VLOOKUP($A376,Hitters!$A1:$R401,5,FALSE)-AVERAGE(Rankings!N2:N651))/STDEV(Rankings!N2:N651)</f>
        <v>-0.22113458855850035</v>
      </c>
      <c r="H376" s="118">
        <f>(VLOOKUP($A376,Hitters!$A1:$R401,6,FALSE)-AVERAGE(Rankings!O2:O651))/STDEV(Rankings!O2:O651)</f>
        <v>-0.41342658684471689</v>
      </c>
      <c r="I376" s="118">
        <f>(VLOOKUP($A376,Hitters!$A1:$R401,7,FALSE)-AVERAGE(Rankings!P2:P651))/STDEV(Rankings!P2:P651)</f>
        <v>-0.50388330703527884</v>
      </c>
      <c r="J376" s="118">
        <f>(VLOOKUP($A376,Hitters!$A1:$R401,8,FALSE)-AVERAGE(Rankings!Q2:Q651))/STDEV(Rankings!Q2:Q651)</f>
        <v>3.4185233834329507</v>
      </c>
      <c r="K376" s="157">
        <f>(VLOOKUP($A376,Hitters!$A$1:$R$401,14,FALSE)-AVERAGE(Rankings!R$2:R$651))/STDEV(Rankings!R$2:R$651)</f>
        <v>-1.0941379703987313</v>
      </c>
      <c r="L376" s="157">
        <f>(VLOOKUP($A376,Hitters!$A$1:$R$401,15,FALSE)-AVERAGE(Rankings!S$2:S$651))/STDEV(Rankings!S$2:S$651)</f>
        <v>-1.8503919159144313</v>
      </c>
      <c r="M376" s="157">
        <f>(VLOOKUP($A376,Hitters!$A$1:$R$401,9,FALSE)-AVERAGE(Rankings!T$2:T$651))/STDEV(Rankings!T$2:T$651)</f>
        <v>-0.39442413526935494</v>
      </c>
      <c r="N376" s="157">
        <f>(VLOOKUP($A376,Hitters!$A$1:$R$401,10,FALSE)-AVERAGE(Rankings!U$2:U$651))/STDEV(Rankings!U$2:U$651)</f>
        <v>-0.37582783612898141</v>
      </c>
      <c r="O376" s="157">
        <f>(VLOOKUP($A376,Hitters!$A$1:$R$401,11,FALSE)-AVERAGE(Rankings!V$2:V$651))/STDEV(Rankings!V$2:V$651)</f>
        <v>1.3158507295292681</v>
      </c>
      <c r="P376" s="157">
        <f>(VLOOKUP($A376,Hitters!$A$1:$R$401,12,FALSE)-AVERAGE(Rankings!W$2:W$651))/STDEV(Rankings!W$2:W$651)</f>
        <v>-0.8858169456546755</v>
      </c>
      <c r="Q376" s="157">
        <f>(VLOOKUP($A376,Hitters!$A$1:$R$401,13,FALSE)-AVERAGE(Rankings!X$2:X$651))/STDEV(Rankings!X$2:X$651)</f>
        <v>0.64003190377937857</v>
      </c>
      <c r="R376" s="118">
        <f>(VLOOKUP($A376,Hitters!$A1:$R401,16,FALSE)-AVERAGE(Rankings!Y2:Y651))/STDEV(Rankings!Y2:Y651)</f>
        <v>-0.73878691398322582</v>
      </c>
      <c r="S376" s="118">
        <f>(VLOOKUP($A376,Hitters!$A1:$R401,17,FALSE)-AVERAGE(Rankings!Z2:Z651))/STDEV(Rankings!Z2:Z651)</f>
        <v>-1.2366342658000649</v>
      </c>
      <c r="T376" s="118">
        <f>IFERROR((VLOOKUP($A376,Hitters!$A1:$R401,18,FALSE)-AVERAGE(Rankings!AA2:AA651))/STDEV(Rankings!AA2:AA651),0)</f>
        <v>0</v>
      </c>
      <c r="U376" s="67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</row>
    <row r="377" spans="1:37" ht="18.600000000000001" customHeight="1">
      <c r="A377" s="26" t="s">
        <v>425</v>
      </c>
      <c r="B377" s="27" t="s">
        <v>223</v>
      </c>
      <c r="C377" s="124" t="s">
        <v>27</v>
      </c>
      <c r="D377" s="67">
        <f>(F377*Settings!$C$2)+(G377*Settings!$C$3)+(H377*Settings!$C$4)+(I377*Settings!$C$5)+(J377*Settings!$C$6)+(M377*Settings!$C$9)+(N377*Settings!$C$10)+(O377*Settings!$C$11)+(P377*Settings!$C$12)+(Q377*Settings!$C$13)+(T377*Settings!$C$16)+(K377*Settings!$C$7)+(L377*Settings!$C$8)+(R377*Settings!$C$14)+(S377*Settings!$C$15)</f>
        <v>-2.3425787051289699</v>
      </c>
      <c r="E377" s="67"/>
      <c r="F377" s="118">
        <f>(VLOOKUP($A377,Hitters!$A1:$R401,4,FALSE)-AVERAGE(Rankings!M2:M651))/STDEV(Rankings!M2:M651)</f>
        <v>-1.1417116236197467</v>
      </c>
      <c r="G377" s="118">
        <f>(VLOOKUP($A377,Hitters!$A1:$R401,5,FALSE)-AVERAGE(Rankings!N2:N651))/STDEV(Rankings!N2:N651)</f>
        <v>-1.0496778475181221</v>
      </c>
      <c r="H377" s="118">
        <f>(VLOOKUP($A377,Hitters!$A1:$R401,6,FALSE)-AVERAGE(Rankings!O2:O651))/STDEV(Rankings!O2:O651)</f>
        <v>-0.71550050039929014</v>
      </c>
      <c r="I377" s="118">
        <f>(VLOOKUP($A377,Hitters!$A1:$R401,7,FALSE)-AVERAGE(Rankings!P2:P651))/STDEV(Rankings!P2:P651)</f>
        <v>-0.9490014153798727</v>
      </c>
      <c r="J377" s="118">
        <f>(VLOOKUP($A377,Hitters!$A1:$R401,8,FALSE)-AVERAGE(Rankings!Q2:Q651))/STDEV(Rankings!Q2:Q651)</f>
        <v>0.33650128985274691</v>
      </c>
      <c r="K377" s="157">
        <f>(VLOOKUP($A377,Hitters!$A$1:$R$401,14,FALSE)-AVERAGE(Rankings!R$2:R$651))/STDEV(Rankings!R$2:R$651)</f>
        <v>3.5099768315568311E-2</v>
      </c>
      <c r="L377" s="157">
        <f>(VLOOKUP($A377,Hitters!$A$1:$R$401,15,FALSE)-AVERAGE(Rankings!S$2:S$651))/STDEV(Rankings!S$2:S$651)</f>
        <v>-0.93006727894307228</v>
      </c>
      <c r="M377" s="157">
        <f>(VLOOKUP($A377,Hitters!$A$1:$R$401,9,FALSE)-AVERAGE(Rankings!T$2:T$651))/STDEV(Rankings!T$2:T$651)</f>
        <v>-1.0308853106572835</v>
      </c>
      <c r="N377" s="157">
        <f>(VLOOKUP($A377,Hitters!$A$1:$R$401,10,FALSE)-AVERAGE(Rankings!U$2:U$651))/STDEV(Rankings!U$2:U$651)</f>
        <v>-0.92596829835129346</v>
      </c>
      <c r="O377" s="157">
        <f>(VLOOKUP($A377,Hitters!$A$1:$R$401,11,FALSE)-AVERAGE(Rankings!V$2:V$651))/STDEV(Rankings!V$2:V$651)</f>
        <v>0.44456925182811619</v>
      </c>
      <c r="P377" s="157">
        <f>(VLOOKUP($A377,Hitters!$A$1:$R$401,12,FALSE)-AVERAGE(Rankings!W$2:W$651))/STDEV(Rankings!W$2:W$651)</f>
        <v>-1.2741968368138346</v>
      </c>
      <c r="Q377" s="157">
        <f>(VLOOKUP($A377,Hitters!$A$1:$R$401,13,FALSE)-AVERAGE(Rankings!X$2:X$651))/STDEV(Rankings!X$2:X$651)</f>
        <v>-0.52871530442488968</v>
      </c>
      <c r="R377" s="118">
        <f>(VLOOKUP($A377,Hitters!$A1:$R401,16,FALSE)-AVERAGE(Rankings!Y2:Y651))/STDEV(Rankings!Y2:Y651)</f>
        <v>0.31812169803525031</v>
      </c>
      <c r="S377" s="118">
        <f>(VLOOKUP($A377,Hitters!$A1:$R401,17,FALSE)-AVERAGE(Rankings!Z2:Z651))/STDEV(Rankings!Z2:Z651)</f>
        <v>-0.11750516941934198</v>
      </c>
      <c r="T377" s="118">
        <f>IFERROR((VLOOKUP($A377,Hitters!$A1:$R401,18,FALSE)-AVERAGE(Rankings!AA2:AA651))/STDEV(Rankings!AA2:AA651),0)</f>
        <v>0</v>
      </c>
      <c r="U377" s="67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</row>
    <row r="378" spans="1:37" ht="18.600000000000001" customHeight="1">
      <c r="A378" s="26" t="s">
        <v>473</v>
      </c>
      <c r="B378" s="27" t="s">
        <v>306</v>
      </c>
      <c r="C378" s="124" t="s">
        <v>27</v>
      </c>
      <c r="D378" s="67">
        <f>(F378*Settings!$C$2)+(G378*Settings!$C$3)+(H378*Settings!$C$4)+(I378*Settings!$C$5)+(J378*Settings!$C$6)+(M378*Settings!$C$9)+(N378*Settings!$C$10)+(O378*Settings!$C$11)+(P378*Settings!$C$12)+(Q378*Settings!$C$13)+(T378*Settings!$C$16)+(K378*Settings!$C$7)+(L378*Settings!$C$8)+(R378*Settings!$C$14)+(S378*Settings!$C$15)</f>
        <v>1.7140930626702875</v>
      </c>
      <c r="E378" s="67"/>
      <c r="F378" s="118">
        <f>(VLOOKUP($A378,Hitters!$A1:$R401,4,FALSE)-AVERAGE(Rankings!M2:M651))/STDEV(Rankings!M2:M651)</f>
        <v>0.86975009107305867</v>
      </c>
      <c r="G378" s="118">
        <f>(VLOOKUP($A378,Hitters!$A1:$R401,5,FALSE)-AVERAGE(Rankings!N2:N651))/STDEV(Rankings!N2:N651)</f>
        <v>0.36115558318332758</v>
      </c>
      <c r="H378" s="118">
        <f>(VLOOKUP($A378,Hitters!$A1:$R401,6,FALSE)-AVERAGE(Rankings!O2:O651))/STDEV(Rankings!O2:O651)</f>
        <v>-0.66827206424340413</v>
      </c>
      <c r="I378" s="118">
        <f>(VLOOKUP($A378,Hitters!$A1:$R401,7,FALSE)-AVERAGE(Rankings!P2:P651))/STDEV(Rankings!P2:P651)</f>
        <v>-5.090051644358131E-2</v>
      </c>
      <c r="J378" s="118">
        <f>(VLOOKUP($A378,Hitters!$A1:$R401,8,FALSE)-AVERAGE(Rankings!Q2:Q651))/STDEV(Rankings!Q2:Q651)</f>
        <v>1.6066266935796352</v>
      </c>
      <c r="K378" s="157">
        <f>(VLOOKUP($A378,Hitters!$A$1:$R$401,14,FALSE)-AVERAGE(Rankings!R$2:R$651))/STDEV(Rankings!R$2:R$651)</f>
        <v>0.46548336659431017</v>
      </c>
      <c r="L378" s="157">
        <f>(VLOOKUP($A378,Hitters!$A$1:$R$401,15,FALSE)-AVERAGE(Rankings!S$2:S$651))/STDEV(Rankings!S$2:S$651)</f>
        <v>-1.1097365780896518</v>
      </c>
      <c r="M378" s="157">
        <f>(VLOOKUP($A378,Hitters!$A$1:$R$401,9,FALSE)-AVERAGE(Rankings!T$2:T$651))/STDEV(Rankings!T$2:T$651)</f>
        <v>0.84628200211058657</v>
      </c>
      <c r="N378" s="157">
        <f>(VLOOKUP($A378,Hitters!$A$1:$R$401,10,FALSE)-AVERAGE(Rankings!U$2:U$651))/STDEV(Rankings!U$2:U$651)</f>
        <v>0.90855041154920702</v>
      </c>
      <c r="O378" s="157">
        <f>(VLOOKUP($A378,Hitters!$A$1:$R$401,11,FALSE)-AVERAGE(Rankings!V$2:V$651))/STDEV(Rankings!V$2:V$651)</f>
        <v>1.1646760013238679</v>
      </c>
      <c r="P378" s="157">
        <f>(VLOOKUP($A378,Hitters!$A$1:$R$401,12,FALSE)-AVERAGE(Rankings!W$2:W$651))/STDEV(Rankings!W$2:W$651)</f>
        <v>-0.91491239215552778</v>
      </c>
      <c r="Q378" s="157">
        <f>(VLOOKUP($A378,Hitters!$A$1:$R$401,13,FALSE)-AVERAGE(Rankings!X$2:X$651))/STDEV(Rankings!X$2:X$651)</f>
        <v>6.3994968672718811E-2</v>
      </c>
      <c r="R378" s="118">
        <f>(VLOOKUP($A378,Hitters!$A1:$R401,16,FALSE)-AVERAGE(Rankings!Y2:Y651))/STDEV(Rankings!Y2:Y651)</f>
        <v>-0.84816372341149737</v>
      </c>
      <c r="S378" s="118">
        <f>(VLOOKUP($A378,Hitters!$A1:$R401,17,FALSE)-AVERAGE(Rankings!Z2:Z651))/STDEV(Rankings!Z2:Z651)</f>
        <v>-1.0378024993687625</v>
      </c>
      <c r="T378" s="118">
        <f>IFERROR((VLOOKUP($A378,Hitters!$A1:$R401,18,FALSE)-AVERAGE(Rankings!AA2:AA651))/STDEV(Rankings!AA2:AA651),0)</f>
        <v>0</v>
      </c>
      <c r="U378" s="67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</row>
    <row r="379" spans="1:37" ht="18.600000000000001" customHeight="1">
      <c r="A379" s="26" t="s">
        <v>508</v>
      </c>
      <c r="B379" s="27" t="s">
        <v>217</v>
      </c>
      <c r="C379" s="124" t="s">
        <v>27</v>
      </c>
      <c r="D379" s="67">
        <f>(F379*Settings!$C$2)+(G379*Settings!$C$3)+(H379*Settings!$C$4)+(I379*Settings!$C$5)+(J379*Settings!$C$6)+(M379*Settings!$C$9)+(N379*Settings!$C$10)+(O379*Settings!$C$11)+(P379*Settings!$C$12)+(Q379*Settings!$C$13)+(T379*Settings!$C$16)+(K379*Settings!$C$7)+(L379*Settings!$C$8)+(R379*Settings!$C$14)+(S379*Settings!$C$15)</f>
        <v>6.0468868394046651E-3</v>
      </c>
      <c r="E379" s="67"/>
      <c r="F379" s="118">
        <f>(VLOOKUP($A379,Hitters!$A1:$R401,4,FALSE)-AVERAGE(Rankings!M2:M651))/STDEV(Rankings!M2:M651)</f>
        <v>0.39254860560302979</v>
      </c>
      <c r="G379" s="118">
        <f>(VLOOKUP($A379,Hitters!$A1:$R401,5,FALSE)-AVERAGE(Rankings!N2:N651))/STDEV(Rankings!N2:N651)</f>
        <v>0.13706324537125392</v>
      </c>
      <c r="H379" s="118">
        <f>(VLOOKUP($A379,Hitters!$A1:$R401,6,FALSE)-AVERAGE(Rankings!O2:O651))/STDEV(Rankings!O2:O651)</f>
        <v>-8.9201282880745303E-2</v>
      </c>
      <c r="I379" s="118">
        <f>(VLOOKUP($A379,Hitters!$A1:$R401,7,FALSE)-AVERAGE(Rankings!P2:P651))/STDEV(Rankings!P2:P651)</f>
        <v>0.27178052410264969</v>
      </c>
      <c r="J379" s="118">
        <f>(VLOOKUP($A379,Hitters!$A1:$R401,8,FALSE)-AVERAGE(Rankings!Q2:Q651))/STDEV(Rankings!Q2:Q651)</f>
        <v>-0.3501171943916801</v>
      </c>
      <c r="K379" s="157">
        <f>(VLOOKUP($A379,Hitters!$A$1:$R$401,14,FALSE)-AVERAGE(Rankings!R$2:R$651))/STDEV(Rankings!R$2:R$651)</f>
        <v>3.6521594637926459E-2</v>
      </c>
      <c r="L379" s="157">
        <f>(VLOOKUP($A379,Hitters!$A$1:$R$401,15,FALSE)-AVERAGE(Rankings!S$2:S$651))/STDEV(Rankings!S$2:S$651)</f>
        <v>0.15741507713945307</v>
      </c>
      <c r="M379" s="157">
        <f>(VLOOKUP($A379,Hitters!$A$1:$R$401,9,FALSE)-AVERAGE(Rankings!T$2:T$651))/STDEV(Rankings!T$2:T$651)</f>
        <v>0.31677386245498407</v>
      </c>
      <c r="N379" s="157">
        <f>(VLOOKUP($A379,Hitters!$A$1:$R$401,10,FALSE)-AVERAGE(Rankings!U$2:U$651))/STDEV(Rankings!U$2:U$651)</f>
        <v>0.21002765023447395</v>
      </c>
      <c r="O379" s="157">
        <f>(VLOOKUP($A379,Hitters!$A$1:$R$401,11,FALSE)-AVERAGE(Rankings!V$2:V$651))/STDEV(Rankings!V$2:V$651)</f>
        <v>0.30722438834813154</v>
      </c>
      <c r="P379" s="157">
        <f>(VLOOKUP($A379,Hitters!$A$1:$R$401,12,FALSE)-AVERAGE(Rankings!W$2:W$651))/STDEV(Rankings!W$2:W$651)</f>
        <v>0.33885098501428379</v>
      </c>
      <c r="Q379" s="157">
        <f>(VLOOKUP($A379,Hitters!$A$1:$R$401,13,FALSE)-AVERAGE(Rankings!X$2:X$651))/STDEV(Rankings!X$2:X$651)</f>
        <v>0.27393032775989645</v>
      </c>
      <c r="R379" s="118">
        <f>(VLOOKUP($A379,Hitters!$A1:$R401,16,FALSE)-AVERAGE(Rankings!Y2:Y651))/STDEV(Rankings!Y2:Y651)</f>
        <v>-0.30671815917560824</v>
      </c>
      <c r="S379" s="118">
        <f>(VLOOKUP($A379,Hitters!$A1:$R401,17,FALSE)-AVERAGE(Rankings!Z2:Z651))/STDEV(Rankings!Z2:Z651)</f>
        <v>-0.16497402789023086</v>
      </c>
      <c r="T379" s="118">
        <f>IFERROR((VLOOKUP($A379,Hitters!$A1:$R401,18,FALSE)-AVERAGE(Rankings!AA2:AA651))/STDEV(Rankings!AA2:AA651),0)</f>
        <v>0</v>
      </c>
      <c r="U379" s="67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</row>
    <row r="380" spans="1:37" ht="18.600000000000001" customHeight="1">
      <c r="A380" s="26" t="s">
        <v>528</v>
      </c>
      <c r="B380" s="27" t="s">
        <v>84</v>
      </c>
      <c r="C380" s="124" t="s">
        <v>27</v>
      </c>
      <c r="D380" s="67">
        <f>(F380*Settings!$C$2)+(G380*Settings!$C$3)+(H380*Settings!$C$4)+(I380*Settings!$C$5)+(J380*Settings!$C$6)+(M380*Settings!$C$9)+(N380*Settings!$C$10)+(O380*Settings!$C$11)+(P380*Settings!$C$12)+(Q380*Settings!$C$13)+(T380*Settings!$C$16)+(K380*Settings!$C$7)+(L380*Settings!$C$8)+(R380*Settings!$C$14)+(S380*Settings!$C$15)</f>
        <v>0.10031983419200369</v>
      </c>
      <c r="E380" s="67"/>
      <c r="F380" s="118">
        <f>(VLOOKUP($A380,Hitters!$A1:$R401,4,FALSE)-AVERAGE(Rankings!M2:M651))/STDEV(Rankings!M2:M651)</f>
        <v>0.15035702307827156</v>
      </c>
      <c r="G380" s="118">
        <f>(VLOOKUP($A380,Hitters!$A1:$R401,5,FALSE)-AVERAGE(Rankings!N2:N651))/STDEV(Rankings!N2:N651)</f>
        <v>-0.10173531058191571</v>
      </c>
      <c r="H380" s="118">
        <f>(VLOOKUP($A380,Hitters!$A1:$R401,6,FALSE)-AVERAGE(Rankings!O2:O651))/STDEV(Rankings!O2:O651)</f>
        <v>-0.15231184800940775</v>
      </c>
      <c r="I380" s="118">
        <f>(VLOOKUP($A380,Hitters!$A1:$R401,7,FALSE)-AVERAGE(Rankings!P2:P651))/STDEV(Rankings!P2:P651)</f>
        <v>-0.19231208461481133</v>
      </c>
      <c r="J380" s="118">
        <f>(VLOOKUP($A380,Hitters!$A1:$R401,8,FALSE)-AVERAGE(Rankings!Q2:Q651))/STDEV(Rankings!Q2:Q651)</f>
        <v>0.14516677336664138</v>
      </c>
      <c r="K380" s="157">
        <f>(VLOOKUP($A380,Hitters!$A$1:$R$401,14,FALSE)-AVERAGE(Rankings!R$2:R$651))/STDEV(Rankings!R$2:R$651)</f>
        <v>0.40151230403149701</v>
      </c>
      <c r="L380" s="157">
        <f>(VLOOKUP($A380,Hitters!$A$1:$R$401,15,FALSE)-AVERAGE(Rankings!S$2:S$651))/STDEV(Rankings!S$2:S$651)</f>
        <v>-0.54485088721207608</v>
      </c>
      <c r="M380" s="157">
        <f>(VLOOKUP($A380,Hitters!$A$1:$R$401,9,FALSE)-AVERAGE(Rankings!T$2:T$651))/STDEV(Rankings!T$2:T$651)</f>
        <v>0.18016573489378154</v>
      </c>
      <c r="N380" s="157">
        <f>(VLOOKUP($A380,Hitters!$A$1:$R$401,10,FALSE)-AVERAGE(Rankings!U$2:U$651))/STDEV(Rankings!U$2:U$651)</f>
        <v>-0.14475593295074027</v>
      </c>
      <c r="O380" s="157">
        <f>(VLOOKUP($A380,Hitters!$A$1:$R$401,11,FALSE)-AVERAGE(Rankings!V$2:V$651))/STDEV(Rankings!V$2:V$651)</f>
        <v>0.93290654420139452</v>
      </c>
      <c r="P380" s="157">
        <f>(VLOOKUP($A380,Hitters!$A$1:$R$401,12,FALSE)-AVERAGE(Rankings!W$2:W$651))/STDEV(Rankings!W$2:W$651)</f>
        <v>-0.6437384765585944</v>
      </c>
      <c r="Q380" s="157">
        <f>(VLOOKUP($A380,Hitters!$A$1:$R$401,13,FALSE)-AVERAGE(Rankings!X$2:X$651))/STDEV(Rankings!X$2:X$651)</f>
        <v>-0.53387233306345672</v>
      </c>
      <c r="R380" s="118">
        <f>(VLOOKUP($A380,Hitters!$A1:$R401,16,FALSE)-AVERAGE(Rankings!Y2:Y651))/STDEV(Rankings!Y2:Y651)</f>
        <v>-3.4954558358282345E-2</v>
      </c>
      <c r="S380" s="118">
        <f>(VLOOKUP($A380,Hitters!$A1:$R401,17,FALSE)-AVERAGE(Rankings!Z2:Z651))/STDEV(Rankings!Z2:Z651)</f>
        <v>-0.23063500180589222</v>
      </c>
      <c r="T380" s="118">
        <f>IFERROR((VLOOKUP($A380,Hitters!$A1:$R401,18,FALSE)-AVERAGE(Rankings!AA2:AA651))/STDEV(Rankings!AA2:AA651),0)</f>
        <v>0</v>
      </c>
      <c r="U380" s="67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</row>
    <row r="381" spans="1:37" ht="18.600000000000001" customHeight="1">
      <c r="A381" s="26" t="s">
        <v>551</v>
      </c>
      <c r="B381" s="27"/>
      <c r="C381" s="124" t="s">
        <v>27</v>
      </c>
      <c r="D381" s="67">
        <f>(F381*Settings!$C$2)+(G381*Settings!$C$3)+(H381*Settings!$C$4)+(I381*Settings!$C$5)+(J381*Settings!$C$6)+(M381*Settings!$C$9)+(N381*Settings!$C$10)+(O381*Settings!$C$11)+(P381*Settings!$C$12)+(Q381*Settings!$C$13)+(T381*Settings!$C$16)+(K381*Settings!$C$7)+(L381*Settings!$C$8)+(R381*Settings!$C$14)+(S381*Settings!$C$15)</f>
        <v>0.62428203102641411</v>
      </c>
      <c r="E381" s="67"/>
      <c r="F381" s="118">
        <f>(VLOOKUP($A381,Hitters!$A1:$R401,4,FALSE)-AVERAGE(Rankings!M2:M651))/STDEV(Rankings!M2:M651)</f>
        <v>0.39550576778281943</v>
      </c>
      <c r="G381" s="118">
        <f>(VLOOKUP($A381,Hitters!$A1:$R401,5,FALSE)-AVERAGE(Rankings!N2:N651))/STDEV(Rankings!N2:N651)</f>
        <v>5.7598956312299214E-2</v>
      </c>
      <c r="H381" s="118">
        <f>(VLOOKUP($A381,Hitters!$A1:$R401,6,FALSE)-AVERAGE(Rankings!O2:O651))/STDEV(Rankings!O2:O651)</f>
        <v>-0.47267110742079543</v>
      </c>
      <c r="I381" s="118">
        <f>(VLOOKUP($A381,Hitters!$A1:$R401,7,FALSE)-AVERAGE(Rankings!P2:P651))/STDEV(Rankings!P2:P651)</f>
        <v>-0.16686003850767869</v>
      </c>
      <c r="J381" s="118">
        <f>(VLOOKUP($A381,Hitters!$A1:$R401,8,FALSE)-AVERAGE(Rankings!Q2:Q651))/STDEV(Rankings!Q2:Q651)</f>
        <v>1.1032648613007912</v>
      </c>
      <c r="K381" s="157">
        <f>(VLOOKUP($A381,Hitters!$A$1:$R$401,14,FALSE)-AVERAGE(Rankings!R$2:R$651))/STDEV(Rankings!R$2:R$651)</f>
        <v>0.10294935934179782</v>
      </c>
      <c r="L381" s="157">
        <f>(VLOOKUP($A381,Hitters!$A$1:$R$401,15,FALSE)-AVERAGE(Rankings!S$2:S$651))/STDEV(Rankings!S$2:S$651)</f>
        <v>-0.63674476575729499</v>
      </c>
      <c r="M381" s="157">
        <f>(VLOOKUP($A381,Hitters!$A$1:$R$401,9,FALSE)-AVERAGE(Rankings!T$2:T$651))/STDEV(Rankings!T$2:T$651)</f>
        <v>0.33432728044662186</v>
      </c>
      <c r="N381" s="157">
        <f>(VLOOKUP($A381,Hitters!$A$1:$R$401,10,FALSE)-AVERAGE(Rankings!U$2:U$651))/STDEV(Rankings!U$2:U$651)</f>
        <v>0.40796633824563011</v>
      </c>
      <c r="O381" s="157">
        <f>(VLOOKUP($A381,Hitters!$A$1:$R$401,11,FALSE)-AVERAGE(Rankings!V$2:V$651))/STDEV(Rankings!V$2:V$651)</f>
        <v>-0.55499614349843784</v>
      </c>
      <c r="P381" s="157">
        <f>(VLOOKUP($A381,Hitters!$A$1:$R$401,12,FALSE)-AVERAGE(Rankings!W$2:W$651))/STDEV(Rankings!W$2:W$651)</f>
        <v>-0.41069499111670577</v>
      </c>
      <c r="Q381" s="157">
        <f>(VLOOKUP($A381,Hitters!$A$1:$R$401,13,FALSE)-AVERAGE(Rankings!X$2:X$651))/STDEV(Rankings!X$2:X$651)</f>
        <v>-0.52684864988700375</v>
      </c>
      <c r="R381" s="118">
        <f>(VLOOKUP($A381,Hitters!$A1:$R401,16,FALSE)-AVERAGE(Rankings!Y2:Y651))/STDEV(Rankings!Y2:Y651)</f>
        <v>-0.79483775982304583</v>
      </c>
      <c r="S381" s="118">
        <f>(VLOOKUP($A381,Hitters!$A1:$R401,17,FALSE)-AVERAGE(Rankings!Z2:Z651))/STDEV(Rankings!Z2:Z651)</f>
        <v>-0.82077303458852191</v>
      </c>
      <c r="T381" s="118">
        <f>IFERROR((VLOOKUP($A381,Hitters!$A1:$R401,18,FALSE)-AVERAGE(Rankings!AA2:AA651))/STDEV(Rankings!AA2:AA651),0)</f>
        <v>0</v>
      </c>
      <c r="U381" s="67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</row>
    <row r="382" spans="1:37" ht="18.600000000000001" customHeight="1">
      <c r="A382" s="26" t="s">
        <v>589</v>
      </c>
      <c r="B382" s="27" t="s">
        <v>71</v>
      </c>
      <c r="C382" s="124" t="s">
        <v>27</v>
      </c>
      <c r="D382" s="67">
        <f>(F382*Settings!$C$2)+(G382*Settings!$C$3)+(H382*Settings!$C$4)+(I382*Settings!$C$5)+(J382*Settings!$C$6)+(M382*Settings!$C$9)+(N382*Settings!$C$10)+(O382*Settings!$C$11)+(P382*Settings!$C$12)+(Q382*Settings!$C$13)+(T382*Settings!$C$16)+(K382*Settings!$C$7)+(L382*Settings!$C$8)+(R382*Settings!$C$14)+(S382*Settings!$C$15)</f>
        <v>-0.25427173514345386</v>
      </c>
      <c r="E382" s="67"/>
      <c r="F382" s="118">
        <f>(VLOOKUP($A382,Hitters!$A1:$R401,4,FALSE)-AVERAGE(Rankings!M2:M651))/STDEV(Rankings!M2:M651)</f>
        <v>1.0125387791828935</v>
      </c>
      <c r="G382" s="118">
        <f>(VLOOKUP($A382,Hitters!$A1:$R401,5,FALSE)-AVERAGE(Rankings!N2:N651))/STDEV(Rankings!N2:N651)</f>
        <v>0.51090545273731125</v>
      </c>
      <c r="H382" s="118">
        <f>(VLOOKUP($A382,Hitters!$A1:$R401,6,FALSE)-AVERAGE(Rankings!O2:O651))/STDEV(Rankings!O2:O651)</f>
        <v>-0.84631908904347075</v>
      </c>
      <c r="I382" s="118">
        <f>(VLOOKUP($A382,Hitters!$A1:$R401,7,FALSE)-AVERAGE(Rankings!P2:P651))/STDEV(Rankings!P2:P651)</f>
        <v>-5.5278268374007879E-2</v>
      </c>
      <c r="J382" s="118">
        <f>(VLOOKUP($A382,Hitters!$A1:$R401,8,FALSE)-AVERAGE(Rankings!Q2:Q651))/STDEV(Rankings!Q2:Q651)</f>
        <v>-0.16020818340919618</v>
      </c>
      <c r="K382" s="157">
        <f>(VLOOKUP($A382,Hitters!$A$1:$R$401,14,FALSE)-AVERAGE(Rankings!R$2:R$651))/STDEV(Rankings!R$2:R$651)</f>
        <v>0.29662835294590967</v>
      </c>
      <c r="L382" s="157">
        <f>(VLOOKUP($A382,Hitters!$A$1:$R$401,15,FALSE)-AVERAGE(Rankings!S$2:S$651))/STDEV(Rankings!S$2:S$651)</f>
        <v>0.72287953563281238</v>
      </c>
      <c r="M382" s="157">
        <f>(VLOOKUP($A382,Hitters!$A$1:$R$401,9,FALSE)-AVERAGE(Rankings!T$2:T$651))/STDEV(Rankings!T$2:T$651)</f>
        <v>0.93075408186556696</v>
      </c>
      <c r="N382" s="157">
        <f>(VLOOKUP($A382,Hitters!$A$1:$R$401,10,FALSE)-AVERAGE(Rankings!U$2:U$651))/STDEV(Rankings!U$2:U$651)</f>
        <v>0.90381709509676655</v>
      </c>
      <c r="O382" s="157">
        <f>(VLOOKUP($A382,Hitters!$A$1:$R$401,11,FALSE)-AVERAGE(Rankings!V$2:V$651))/STDEV(Rankings!V$2:V$651)</f>
        <v>0.32010046929938019</v>
      </c>
      <c r="P382" s="157">
        <f>(VLOOKUP($A382,Hitters!$A$1:$R$401,12,FALSE)-AVERAGE(Rankings!W$2:W$651))/STDEV(Rankings!W$2:W$651)</f>
        <v>1.1897878276260638</v>
      </c>
      <c r="Q382" s="157">
        <f>(VLOOKUP($A382,Hitters!$A$1:$R$401,13,FALSE)-AVERAGE(Rankings!X$2:X$651))/STDEV(Rankings!X$2:X$651)</f>
        <v>-0.18186558071564046</v>
      </c>
      <c r="R382" s="118">
        <f>(VLOOKUP($A382,Hitters!$A1:$R401,16,FALSE)-AVERAGE(Rankings!Y2:Y651))/STDEV(Rankings!Y2:Y651)</f>
        <v>-1.3029102644053066</v>
      </c>
      <c r="S382" s="118">
        <f>(VLOOKUP($A382,Hitters!$A1:$R401,17,FALSE)-AVERAGE(Rankings!Z2:Z651))/STDEV(Rankings!Z2:Z651)</f>
        <v>-0.68043438709220927</v>
      </c>
      <c r="T382" s="118">
        <f>IFERROR((VLOOKUP($A382,Hitters!$A1:$R401,18,FALSE)-AVERAGE(Rankings!AA2:AA651))/STDEV(Rankings!AA2:AA651),0)</f>
        <v>0</v>
      </c>
      <c r="U382" s="67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</row>
    <row r="383" spans="1:37" ht="18.600000000000001" customHeight="1">
      <c r="A383" s="26" t="s">
        <v>577</v>
      </c>
      <c r="B383" s="27" t="s">
        <v>68</v>
      </c>
      <c r="C383" s="124" t="s">
        <v>27</v>
      </c>
      <c r="D383" s="67">
        <f>(F383*Settings!$C$2)+(G383*Settings!$C$3)+(H383*Settings!$C$4)+(I383*Settings!$C$5)+(J383*Settings!$C$6)+(M383*Settings!$C$9)+(N383*Settings!$C$10)+(O383*Settings!$C$11)+(P383*Settings!$C$12)+(Q383*Settings!$C$13)+(T383*Settings!$C$16)+(K383*Settings!$C$7)+(L383*Settings!$C$8)+(R383*Settings!$C$14)+(S383*Settings!$C$15)</f>
        <v>-2.2180058602721977</v>
      </c>
      <c r="E383" s="67"/>
      <c r="F383" s="118">
        <f>(VLOOKUP($A383,Hitters!$A1:$R401,4,FALSE)-AVERAGE(Rankings!M2:M651))/STDEV(Rankings!M2:M651)</f>
        <v>-0.94603197766567704</v>
      </c>
      <c r="G383" s="118">
        <f>(VLOOKUP($A383,Hitters!$A1:$R401,5,FALSE)-AVERAGE(Rankings!N2:N651))/STDEV(Rankings!N2:N651)</f>
        <v>-0.95710473987477729</v>
      </c>
      <c r="H383" s="118">
        <f>(VLOOKUP($A383,Hitters!$A1:$R401,6,FALSE)-AVERAGE(Rankings!O2:O651))/STDEV(Rankings!O2:O651)</f>
        <v>-1.3846396710680857</v>
      </c>
      <c r="I383" s="118">
        <f>(VLOOKUP($A383,Hitters!$A1:$R401,7,FALSE)-AVERAGE(Rankings!P2:P651))/STDEV(Rankings!P2:P651)</f>
        <v>-1.2278540325296206</v>
      </c>
      <c r="J383" s="118">
        <f>(VLOOKUP($A383,Hitters!$A1:$R401,8,FALSE)-AVERAGE(Rankings!Q2:Q651))/STDEV(Rankings!Q2:Q651)</f>
        <v>0.52514318483201172</v>
      </c>
      <c r="K383" s="157">
        <f>(VLOOKUP($A383,Hitters!$A$1:$R$401,14,FALSE)-AVERAGE(Rankings!R$2:R$651))/STDEV(Rankings!R$2:R$651)</f>
        <v>0.82644939836827414</v>
      </c>
      <c r="L383" s="157">
        <f>(VLOOKUP($A383,Hitters!$A$1:$R$401,15,FALSE)-AVERAGE(Rankings!S$2:S$651))/STDEV(Rankings!S$2:S$651)</f>
        <v>-0.21047347240956082</v>
      </c>
      <c r="M383" s="157">
        <f>(VLOOKUP($A383,Hitters!$A$1:$R$401,9,FALSE)-AVERAGE(Rankings!T$2:T$651))/STDEV(Rankings!T$2:T$651)</f>
        <v>-0.7529811546548596</v>
      </c>
      <c r="N383" s="157">
        <f>(VLOOKUP($A383,Hitters!$A$1:$R$401,10,FALSE)-AVERAGE(Rankings!U$2:U$651))/STDEV(Rankings!U$2:U$651)</f>
        <v>-1.0675374904288375</v>
      </c>
      <c r="O383" s="157">
        <f>(VLOOKUP($A383,Hitters!$A$1:$R$401,11,FALSE)-AVERAGE(Rankings!V$2:V$651))/STDEV(Rankings!V$2:V$651)</f>
        <v>-0.54259695443427269</v>
      </c>
      <c r="P383" s="157">
        <f>(VLOOKUP($A383,Hitters!$A$1:$R$401,12,FALSE)-AVERAGE(Rankings!W$2:W$651))/STDEV(Rankings!W$2:W$651)</f>
        <v>-1.1391852566319001</v>
      </c>
      <c r="Q383" s="157">
        <f>(VLOOKUP($A383,Hitters!$A$1:$R$401,13,FALSE)-AVERAGE(Rankings!X$2:X$651))/STDEV(Rankings!X$2:X$651)</f>
        <v>-1.5669865242521679</v>
      </c>
      <c r="R383" s="118">
        <f>(VLOOKUP($A383,Hitters!$A1:$R401,16,FALSE)-AVERAGE(Rankings!Y2:Y651))/STDEV(Rankings!Y2:Y651)</f>
        <v>-1.4699375500410503</v>
      </c>
      <c r="S383" s="118">
        <f>(VLOOKUP($A383,Hitters!$A1:$R401,17,FALSE)-AVERAGE(Rankings!Z2:Z651))/STDEV(Rankings!Z2:Z651)</f>
        <v>-1.1538790859139698</v>
      </c>
      <c r="T383" s="118">
        <f>IFERROR((VLOOKUP($A383,Hitters!$A1:$R401,18,FALSE)-AVERAGE(Rankings!AA2:AA651))/STDEV(Rankings!AA2:AA651),0)</f>
        <v>0</v>
      </c>
      <c r="U383" s="67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</row>
    <row r="384" spans="1:37" ht="18.600000000000001" customHeight="1">
      <c r="A384" s="26" t="s">
        <v>637</v>
      </c>
      <c r="B384" s="27"/>
      <c r="C384" s="124" t="s">
        <v>27</v>
      </c>
      <c r="D384" s="67">
        <f>(F384*Settings!$C$2)+(G384*Settings!$C$3)+(H384*Settings!$C$4)+(I384*Settings!$C$5)+(J384*Settings!$C$6)+(M384*Settings!$C$9)+(N384*Settings!$C$10)+(O384*Settings!$C$11)+(P384*Settings!$C$12)+(Q384*Settings!$C$13)+(T384*Settings!$C$16)+(K384*Settings!$C$7)+(L384*Settings!$C$8)+(R384*Settings!$C$14)+(S384*Settings!$C$15)</f>
        <v>-2.2190814345754521</v>
      </c>
      <c r="E384" s="67"/>
      <c r="F384" s="118">
        <f>(VLOOKUP($A384,Hitters!$A1:$R401,4,FALSE)-AVERAGE(Rankings!M2:M651))/STDEV(Rankings!M2:M651)</f>
        <v>-0.63552994878778124</v>
      </c>
      <c r="G384" s="118">
        <f>(VLOOKUP($A384,Hitters!$A1:$R401,5,FALSE)-AVERAGE(Rankings!N2:N651))/STDEV(Rankings!N2:N651)</f>
        <v>-0.86103256653579263</v>
      </c>
      <c r="H384" s="118">
        <f>(VLOOKUP($A384,Hitters!$A1:$R401,6,FALSE)-AVERAGE(Rankings!O2:O651))/STDEV(Rankings!O2:O651)</f>
        <v>-1.279455395853649</v>
      </c>
      <c r="I384" s="118">
        <f>(VLOOKUP($A384,Hitters!$A1:$R401,7,FALSE)-AVERAGE(Rankings!P2:P651))/STDEV(Rankings!P2:P651)</f>
        <v>-0.87180535953693861</v>
      </c>
      <c r="J384" s="118">
        <f>(VLOOKUP($A384,Hitters!$A1:$R401,8,FALSE)-AVERAGE(Rankings!Q2:Q651))/STDEV(Rankings!Q2:Q651)</f>
        <v>-0.61573638656651375</v>
      </c>
      <c r="K384" s="157">
        <f>(VLOOKUP($A384,Hitters!$A$1:$R$401,14,FALSE)-AVERAGE(Rankings!R$2:R$651))/STDEV(Rankings!R$2:R$651)</f>
        <v>1.4089482739174424</v>
      </c>
      <c r="L384" s="157">
        <f>(VLOOKUP($A384,Hitters!$A$1:$R$401,15,FALSE)-AVERAGE(Rankings!S$2:S$651))/STDEV(Rankings!S$2:S$651)</f>
        <v>-0.31286600268122655</v>
      </c>
      <c r="M384" s="157">
        <f>(VLOOKUP($A384,Hitters!$A$1:$R$401,9,FALSE)-AVERAGE(Rankings!T$2:T$651))/STDEV(Rankings!T$2:T$651)</f>
        <v>-0.37326118337329334</v>
      </c>
      <c r="N384" s="157">
        <f>(VLOOKUP($A384,Hitters!$A$1:$R$401,10,FALSE)-AVERAGE(Rankings!U$2:U$651))/STDEV(Rankings!U$2:U$651)</f>
        <v>-0.25512826659174381</v>
      </c>
      <c r="O384" s="157">
        <f>(VLOOKUP($A384,Hitters!$A$1:$R$401,11,FALSE)-AVERAGE(Rankings!V$2:V$651))/STDEV(Rankings!V$2:V$651)</f>
        <v>-0.55690371104677105</v>
      </c>
      <c r="P384" s="157">
        <f>(VLOOKUP($A384,Hitters!$A$1:$R$401,12,FALSE)-AVERAGE(Rankings!W$2:W$651))/STDEV(Rankings!W$2:W$651)</f>
        <v>-1.3331652671351772</v>
      </c>
      <c r="Q384" s="157">
        <f>(VLOOKUP($A384,Hitters!$A$1:$R$401,13,FALSE)-AVERAGE(Rankings!X$2:X$651))/STDEV(Rankings!X$2:X$651)</f>
        <v>-1.466693390606421</v>
      </c>
      <c r="R384" s="118">
        <f>(VLOOKUP($A384,Hitters!$A1:$R401,16,FALSE)-AVERAGE(Rankings!Y2:Y651))/STDEV(Rankings!Y2:Y651)</f>
        <v>-0.79128145127844884</v>
      </c>
      <c r="S384" s="118">
        <f>(VLOOKUP($A384,Hitters!$A1:$R401,17,FALSE)-AVERAGE(Rankings!Z2:Z651))/STDEV(Rankings!Z2:Z651)</f>
        <v>-0.6962589324140801</v>
      </c>
      <c r="T384" s="118">
        <f>IFERROR((VLOOKUP($A384,Hitters!$A1:$R401,18,FALSE)-AVERAGE(Rankings!AA2:AA651))/STDEV(Rankings!AA2:AA651),0)</f>
        <v>0</v>
      </c>
      <c r="U384" s="67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</row>
    <row r="385" spans="1:37" ht="18.600000000000001" customHeight="1">
      <c r="A385" s="26" t="s">
        <v>632</v>
      </c>
      <c r="B385" s="27" t="s">
        <v>97</v>
      </c>
      <c r="C385" s="124" t="s">
        <v>27</v>
      </c>
      <c r="D385" s="67">
        <f>(F385*Settings!$C$2)+(G385*Settings!$C$3)+(H385*Settings!$C$4)+(I385*Settings!$C$5)+(J385*Settings!$C$6)+(M385*Settings!$C$9)+(N385*Settings!$C$10)+(O385*Settings!$C$11)+(P385*Settings!$C$12)+(Q385*Settings!$C$13)+(T385*Settings!$C$16)+(K385*Settings!$C$7)+(L385*Settings!$C$8)+(R385*Settings!$C$14)+(S385*Settings!$C$15)</f>
        <v>-1.871920442455733</v>
      </c>
      <c r="E385" s="67"/>
      <c r="F385" s="118">
        <f>(VLOOKUP($A385,Hitters!$A1:$R401,4,FALSE)-AVERAGE(Rankings!M2:M651))/STDEV(Rankings!M2:M651)</f>
        <v>-0.34505213238446031</v>
      </c>
      <c r="G385" s="118">
        <f>(VLOOKUP($A385,Hitters!$A1:$R401,5,FALSE)-AVERAGE(Rankings!N2:N651))/STDEV(Rankings!N2:N651)</f>
        <v>-0.49849893380926713</v>
      </c>
      <c r="H385" s="118">
        <f>(VLOOKUP($A385,Hitters!$A1:$R401,6,FALSE)-AVERAGE(Rankings!O2:O651))/STDEV(Rankings!O2:O651)</f>
        <v>-0.96250940100219962</v>
      </c>
      <c r="I385" s="118">
        <f>(VLOOKUP($A385,Hitters!$A1:$R401,7,FALSE)-AVERAGE(Rankings!P2:P651))/STDEV(Rankings!P2:P651)</f>
        <v>-0.73321896848359991</v>
      </c>
      <c r="J385" s="118">
        <f>(VLOOKUP($A385,Hitters!$A1:$R401,8,FALSE)-AVERAGE(Rankings!Q2:Q651))/STDEV(Rankings!Q2:Q651)</f>
        <v>0.64060913062536529</v>
      </c>
      <c r="K385" s="157">
        <f>(VLOOKUP($A385,Hitters!$A$1:$R$401,14,FALSE)-AVERAGE(Rankings!R$2:R$651))/STDEV(Rankings!R$2:R$651)</f>
        <v>-0.31830226978603154</v>
      </c>
      <c r="L385" s="157">
        <f>(VLOOKUP($A385,Hitters!$A$1:$R$401,15,FALSE)-AVERAGE(Rankings!S$2:S$651))/STDEV(Rankings!S$2:S$651)</f>
        <v>-0.1273277976944184</v>
      </c>
      <c r="M385" s="157">
        <f>(VLOOKUP($A385,Hitters!$A$1:$R$401,9,FALSE)-AVERAGE(Rankings!T$2:T$651))/STDEV(Rankings!T$2:T$651)</f>
        <v>-0.39307617654986066</v>
      </c>
      <c r="N385" s="157">
        <f>(VLOOKUP($A385,Hitters!$A$1:$R$401,10,FALSE)-AVERAGE(Rankings!U$2:U$651))/STDEV(Rankings!U$2:U$651)</f>
        <v>-0.45758512030750248</v>
      </c>
      <c r="O385" s="157">
        <f>(VLOOKUP($A385,Hitters!$A$1:$R$401,11,FALSE)-AVERAGE(Rankings!V$2:V$651))/STDEV(Rankings!V$2:V$651)</f>
        <v>-0.52328283300739986</v>
      </c>
      <c r="P385" s="157">
        <f>(VLOOKUP($A385,Hitters!$A$1:$R$401,12,FALSE)-AVERAGE(Rankings!W$2:W$651))/STDEV(Rankings!W$2:W$651)</f>
        <v>-0.20091542227838544</v>
      </c>
      <c r="Q385" s="157">
        <f>(VLOOKUP($A385,Hitters!$A$1:$R$401,13,FALSE)-AVERAGE(Rankings!X$2:X$651))/STDEV(Rankings!X$2:X$651)</f>
        <v>-0.3497062980628598</v>
      </c>
      <c r="R385" s="118">
        <f>(VLOOKUP($A385,Hitters!$A1:$R401,16,FALSE)-AVERAGE(Rankings!Y2:Y651))/STDEV(Rankings!Y2:Y651)</f>
        <v>-1.4053151340632102</v>
      </c>
      <c r="S385" s="118">
        <f>(VLOOKUP($A385,Hitters!$A1:$R401,17,FALSE)-AVERAGE(Rankings!Z2:Z651))/STDEV(Rankings!Z2:Z651)</f>
        <v>-1.0753363008157057</v>
      </c>
      <c r="T385" s="118">
        <f>IFERROR((VLOOKUP($A385,Hitters!$A1:$R401,18,FALSE)-AVERAGE(Rankings!AA2:AA651))/STDEV(Rankings!AA2:AA651),0)</f>
        <v>0</v>
      </c>
      <c r="U385" s="67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</row>
    <row r="386" spans="1:37" ht="18.600000000000001" customHeight="1">
      <c r="A386" s="26" t="s">
        <v>650</v>
      </c>
      <c r="B386" s="27" t="s">
        <v>81</v>
      </c>
      <c r="C386" s="124" t="s">
        <v>27</v>
      </c>
      <c r="D386" s="67">
        <f>(F386*Settings!$C$2)+(G386*Settings!$C$3)+(H386*Settings!$C$4)+(I386*Settings!$C$5)+(J386*Settings!$C$6)+(M386*Settings!$C$9)+(N386*Settings!$C$10)+(O386*Settings!$C$11)+(P386*Settings!$C$12)+(Q386*Settings!$C$13)+(T386*Settings!$C$16)+(K386*Settings!$C$7)+(L386*Settings!$C$8)+(R386*Settings!$C$14)+(S386*Settings!$C$15)</f>
        <v>-0.24726758611237154</v>
      </c>
      <c r="E386" s="67"/>
      <c r="F386" s="118">
        <f>(VLOOKUP($A386,Hitters!$A1:$R401,4,FALSE)-AVERAGE(Rankings!M2:M651))/STDEV(Rankings!M2:M651)</f>
        <v>0.14887844198837671</v>
      </c>
      <c r="G386" s="118">
        <f>(VLOOKUP($A386,Hitters!$A1:$R401,5,FALSE)-AVERAGE(Rankings!N2:N651))/STDEV(Rankings!N2:N651)</f>
        <v>-0.17830906710968925</v>
      </c>
      <c r="H386" s="118">
        <f>(VLOOKUP($A386,Hitters!$A1:$R401,6,FALSE)-AVERAGE(Rankings!O2:O651))/STDEV(Rankings!O2:O651)</f>
        <v>-0.80912147118617972</v>
      </c>
      <c r="I386" s="118">
        <f>(VLOOKUP($A386,Hitters!$A1:$R401,7,FALSE)-AVERAGE(Rankings!P2:P651))/STDEV(Rankings!P2:P651)</f>
        <v>-0.28200509509634769</v>
      </c>
      <c r="J386" s="118">
        <f>(VLOOKUP($A386,Hitters!$A1:$R401,8,FALSE)-AVERAGE(Rankings!Q2:Q651))/STDEV(Rankings!Q2:Q651)</f>
        <v>0.34711338637970823</v>
      </c>
      <c r="K386" s="157">
        <f>(VLOOKUP($A386,Hitters!$A$1:$R$401,14,FALSE)-AVERAGE(Rankings!R$2:R$651))/STDEV(Rankings!R$2:R$651)</f>
        <v>0.67505466090013699</v>
      </c>
      <c r="L386" s="157">
        <f>(VLOOKUP($A386,Hitters!$A$1:$R$401,15,FALSE)-AVERAGE(Rankings!S$2:S$651))/STDEV(Rankings!S$2:S$651)</f>
        <v>-0.24824094766295229</v>
      </c>
      <c r="M386" s="157">
        <f>(VLOOKUP($A386,Hitters!$A$1:$R$401,9,FALSE)-AVERAGE(Rankings!T$2:T$651))/STDEV(Rankings!T$2:T$651)</f>
        <v>0.23583643000889928</v>
      </c>
      <c r="N386" s="157">
        <f>(VLOOKUP($A386,Hitters!$A$1:$R$401,10,FALSE)-AVERAGE(Rankings!U$2:U$651))/STDEV(Rankings!U$2:U$651)</f>
        <v>0.14792080102517624</v>
      </c>
      <c r="O386" s="157">
        <f>(VLOOKUP($A386,Hitters!$A$1:$R$401,11,FALSE)-AVERAGE(Rankings!V$2:V$651))/STDEV(Rankings!V$2:V$651)</f>
        <v>9.8345741805655029E-2</v>
      </c>
      <c r="P386" s="157">
        <f>(VLOOKUP($A386,Hitters!$A$1:$R$401,12,FALSE)-AVERAGE(Rankings!W$2:W$651))/STDEV(Rankings!W$2:W$651)</f>
        <v>-0.57752339841822564</v>
      </c>
      <c r="Q386" s="157">
        <f>(VLOOKUP($A386,Hitters!$A$1:$R$401,13,FALSE)-AVERAGE(Rankings!X$2:X$651))/STDEV(Rankings!X$2:X$651)</f>
        <v>-1.0558237438901781</v>
      </c>
      <c r="R386" s="118">
        <f>(VLOOKUP($A386,Hitters!$A1:$R401,16,FALSE)-AVERAGE(Rankings!Y2:Y651))/STDEV(Rankings!Y2:Y651)</f>
        <v>-0.79824138040669845</v>
      </c>
      <c r="S386" s="118">
        <f>(VLOOKUP($A386,Hitters!$A1:$R401,17,FALSE)-AVERAGE(Rankings!Z2:Z651))/STDEV(Rankings!Z2:Z651)</f>
        <v>-0.67702121300827633</v>
      </c>
      <c r="T386" s="118">
        <f>IFERROR((VLOOKUP($A386,Hitters!$A1:$R401,18,FALSE)-AVERAGE(Rankings!AA2:AA651))/STDEV(Rankings!AA2:AA651),0)</f>
        <v>0</v>
      </c>
      <c r="U386" s="67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</row>
    <row r="387" spans="1:37" ht="18.600000000000001" customHeight="1">
      <c r="A387" s="26" t="s">
        <v>667</v>
      </c>
      <c r="B387" s="27" t="s">
        <v>156</v>
      </c>
      <c r="C387" s="124" t="s">
        <v>27</v>
      </c>
      <c r="D387" s="67">
        <f>(F387*Settings!$C$2)+(G387*Settings!$C$3)+(H387*Settings!$C$4)+(I387*Settings!$C$5)+(J387*Settings!$C$6)+(M387*Settings!$C$9)+(N387*Settings!$C$10)+(O387*Settings!$C$11)+(P387*Settings!$C$12)+(Q387*Settings!$C$13)+(T387*Settings!$C$16)+(K387*Settings!$C$7)+(L387*Settings!$C$8)+(R387*Settings!$C$14)+(S387*Settings!$C$15)</f>
        <v>-3.3992290783150998</v>
      </c>
      <c r="E387" s="67"/>
      <c r="F387" s="118">
        <f>(VLOOKUP($A387,Hitters!$A1:$R401,4,FALSE)-AVERAGE(Rankings!M2:M651))/STDEV(Rankings!M2:M651)</f>
        <v>-0.98261629834707254</v>
      </c>
      <c r="G387" s="118">
        <f>(VLOOKUP($A387,Hitters!$A1:$R401,5,FALSE)-AVERAGE(Rankings!N2:N651))/STDEV(Rankings!N2:N651)</f>
        <v>-1.0301033640613535</v>
      </c>
      <c r="H387" s="118">
        <f>(VLOOKUP($A387,Hitters!$A1:$R401,6,FALSE)-AVERAGE(Rankings!O2:O651))/STDEV(Rankings!O2:O651)</f>
        <v>-0.93603918604757319</v>
      </c>
      <c r="I387" s="118">
        <f>(VLOOKUP($A387,Hitters!$A1:$R401,7,FALSE)-AVERAGE(Rankings!P2:P651))/STDEV(Rankings!P2:P651)</f>
        <v>-0.92655271071338152</v>
      </c>
      <c r="J387" s="118">
        <f>(VLOOKUP($A387,Hitters!$A1:$R401,8,FALSE)-AVERAGE(Rankings!Q2:Q651))/STDEV(Rankings!Q2:Q651)</f>
        <v>-0.67845862872586626</v>
      </c>
      <c r="K387" s="157">
        <f>(VLOOKUP($A387,Hitters!$A$1:$R$401,14,FALSE)-AVERAGE(Rankings!R$2:R$651))/STDEV(Rankings!R$2:R$651)</f>
        <v>0.17192481123307468</v>
      </c>
      <c r="L387" s="157">
        <f>(VLOOKUP($A387,Hitters!$A$1:$R$401,15,FALSE)-AVERAGE(Rankings!S$2:S$651))/STDEV(Rankings!S$2:S$651)</f>
        <v>-0.80438115062068649</v>
      </c>
      <c r="M387" s="157">
        <f>(VLOOKUP($A387,Hitters!$A$1:$R$401,9,FALSE)-AVERAGE(Rankings!T$2:T$651))/STDEV(Rankings!T$2:T$651)</f>
        <v>-0.87317414047644137</v>
      </c>
      <c r="N387" s="157">
        <f>(VLOOKUP($A387,Hitters!$A$1:$R$401,10,FALSE)-AVERAGE(Rankings!U$2:U$651))/STDEV(Rankings!U$2:U$651)</f>
        <v>-0.90201484842530544</v>
      </c>
      <c r="O387" s="157">
        <f>(VLOOKUP($A387,Hitters!$A$1:$R$401,11,FALSE)-AVERAGE(Rankings!V$2:V$651))/STDEV(Rankings!V$2:V$651)</f>
        <v>-0.55308857595010485</v>
      </c>
      <c r="P387" s="157">
        <f>(VLOOKUP($A387,Hitters!$A$1:$R$401,12,FALSE)-AVERAGE(Rankings!W$2:W$651))/STDEV(Rankings!W$2:W$651)</f>
        <v>-1.1970029317201782</v>
      </c>
      <c r="Q387" s="157">
        <f>(VLOOKUP($A387,Hitters!$A$1:$R$401,13,FALSE)-AVERAGE(Rankings!X$2:X$651))/STDEV(Rankings!X$2:X$651)</f>
        <v>-1.2476304072111053</v>
      </c>
      <c r="R387" s="118">
        <f>(VLOOKUP($A387,Hitters!$A1:$R401,16,FALSE)-AVERAGE(Rankings!Y2:Y651))/STDEV(Rankings!Y2:Y651)</f>
        <v>-0.63080568195179965</v>
      </c>
      <c r="S387" s="118">
        <f>(VLOOKUP($A387,Hitters!$A1:$R401,17,FALSE)-AVERAGE(Rankings!Z2:Z651))/STDEV(Rankings!Z2:Z651)</f>
        <v>-0.76395137702289273</v>
      </c>
      <c r="T387" s="118">
        <f>IFERROR((VLOOKUP($A387,Hitters!$A1:$R401,18,FALSE)-AVERAGE(Rankings!AA2:AA651))/STDEV(Rankings!AA2:AA651),0)</f>
        <v>0</v>
      </c>
      <c r="U387" s="67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</row>
    <row r="388" spans="1:37" ht="18.600000000000001" customHeight="1">
      <c r="A388" s="26" t="s">
        <v>660</v>
      </c>
      <c r="B388" s="27" t="s">
        <v>223</v>
      </c>
      <c r="C388" s="124" t="s">
        <v>27</v>
      </c>
      <c r="D388" s="67">
        <f>(F388*Settings!$C$2)+(G388*Settings!$C$3)+(H388*Settings!$C$4)+(I388*Settings!$C$5)+(J388*Settings!$C$6)+(M388*Settings!$C$9)+(N388*Settings!$C$10)+(O388*Settings!$C$11)+(P388*Settings!$C$12)+(Q388*Settings!$C$13)+(T388*Settings!$C$16)+(K388*Settings!$C$7)+(L388*Settings!$C$8)+(R388*Settings!$C$14)+(S388*Settings!$C$15)</f>
        <v>-1.1193260400076466</v>
      </c>
      <c r="E388" s="67"/>
      <c r="F388" s="118">
        <f>(VLOOKUP($A388,Hitters!$A1:$R401,4,FALSE)-AVERAGE(Rankings!M2:M651))/STDEV(Rankings!M2:M651)</f>
        <v>5.5685588151011253E-2</v>
      </c>
      <c r="G388" s="118">
        <f>(VLOOKUP($A388,Hitters!$A1:$R401,5,FALSE)-AVERAGE(Rankings!N2:N651))/STDEV(Rankings!N2:N651)</f>
        <v>-0.42220408831520401</v>
      </c>
      <c r="H388" s="118">
        <f>(VLOOKUP($A388,Hitters!$A1:$R401,6,FALSE)-AVERAGE(Rankings!O2:O651))/STDEV(Rankings!O2:O651)</f>
        <v>-1.0559213964078686</v>
      </c>
      <c r="I388" s="118">
        <f>(VLOOKUP($A388,Hitters!$A1:$R401,7,FALSE)-AVERAGE(Rankings!P2:P651))/STDEV(Rankings!P2:P651)</f>
        <v>-0.57332921483859101</v>
      </c>
      <c r="J388" s="118">
        <f>(VLOOKUP($A388,Hitters!$A1:$R401,8,FALSE)-AVERAGE(Rankings!Q2:Q651))/STDEV(Rankings!Q2:Q651)</f>
        <v>9.9075428749541325E-2</v>
      </c>
      <c r="K388" s="157">
        <f>(VLOOKUP($A388,Hitters!$A$1:$R$401,14,FALSE)-AVERAGE(Rankings!R$2:R$651))/STDEV(Rankings!R$2:R$651)</f>
        <v>0.83305323080447591</v>
      </c>
      <c r="L388" s="157">
        <f>(VLOOKUP($A388,Hitters!$A$1:$R$401,15,FALSE)-AVERAGE(Rankings!S$2:S$651))/STDEV(Rankings!S$2:S$651)</f>
        <v>-0.3313654218344535</v>
      </c>
      <c r="M388" s="157">
        <f>(VLOOKUP($A388,Hitters!$A$1:$R$401,9,FALSE)-AVERAGE(Rankings!T$2:T$651))/STDEV(Rankings!T$2:T$651)</f>
        <v>0.18187314927180775</v>
      </c>
      <c r="N388" s="157">
        <f>(VLOOKUP($A388,Hitters!$A$1:$R$401,10,FALSE)-AVERAGE(Rankings!U$2:U$651))/STDEV(Rankings!U$2:U$651)</f>
        <v>0.14777736719328408</v>
      </c>
      <c r="O388" s="157">
        <f>(VLOOKUP($A388,Hitters!$A$1:$R$401,11,FALSE)-AVERAGE(Rankings!V$2:V$651))/STDEV(Rankings!V$2:V$651)</f>
        <v>0.29768655060646598</v>
      </c>
      <c r="P388" s="157">
        <f>(VLOOKUP($A388,Hitters!$A$1:$R$401,12,FALSE)-AVERAGE(Rankings!W$2:W$651))/STDEV(Rankings!W$2:W$651)</f>
        <v>-0.78341528065835664</v>
      </c>
      <c r="Q388" s="157">
        <f>(VLOOKUP($A388,Hitters!$A$1:$R$401,13,FALSE)-AVERAGE(Rankings!X$2:X$651))/STDEV(Rankings!X$2:X$651)</f>
        <v>-1.1355678585129239</v>
      </c>
      <c r="R388" s="118">
        <f>(VLOOKUP($A388,Hitters!$A1:$R401,16,FALSE)-AVERAGE(Rankings!Y2:Y651))/STDEV(Rankings!Y2:Y651)</f>
        <v>-0.96812952715299183</v>
      </c>
      <c r="S388" s="118">
        <f>(VLOOKUP($A388,Hitters!$A1:$R401,17,FALSE)-AVERAGE(Rankings!Z2:Z651))/STDEV(Rankings!Z2:Z651)</f>
        <v>-0.83251535418240152</v>
      </c>
      <c r="T388" s="118">
        <f>IFERROR((VLOOKUP($A388,Hitters!$A1:$R401,18,FALSE)-AVERAGE(Rankings!AA2:AA651))/STDEV(Rankings!AA2:AA651),0)</f>
        <v>0</v>
      </c>
      <c r="U388" s="67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</row>
    <row r="389" spans="1:37" ht="18.600000000000001" customHeight="1">
      <c r="A389" s="26" t="s">
        <v>651</v>
      </c>
      <c r="B389" s="27" t="s">
        <v>68</v>
      </c>
      <c r="C389" s="124" t="s">
        <v>27</v>
      </c>
      <c r="D389" s="67">
        <f>(F389*Settings!$C$2)+(G389*Settings!$C$3)+(H389*Settings!$C$4)+(I389*Settings!$C$5)+(J389*Settings!$C$6)+(M389*Settings!$C$9)+(N389*Settings!$C$10)+(O389*Settings!$C$11)+(P389*Settings!$C$12)+(Q389*Settings!$C$13)+(T389*Settings!$C$16)+(K389*Settings!$C$7)+(L389*Settings!$C$8)+(R389*Settings!$C$14)+(S389*Settings!$C$15)</f>
        <v>0.65304789855362544</v>
      </c>
      <c r="E389" s="67"/>
      <c r="F389" s="118">
        <f>(VLOOKUP($A389,Hitters!$A1:$R401,4,FALSE)-AVERAGE(Rankings!M2:M651))/STDEV(Rankings!M2:M651)</f>
        <v>9.4904903852995205E-3</v>
      </c>
      <c r="G389" s="118">
        <f>(VLOOKUP($A389,Hitters!$A1:$R401,5,FALSE)-AVERAGE(Rankings!N2:N651))/STDEV(Rankings!N2:N651)</f>
        <v>-0.11957293896512387</v>
      </c>
      <c r="H389" s="118">
        <f>(VLOOKUP($A389,Hitters!$A1:$R401,6,FALSE)-AVERAGE(Rankings!O2:O651))/STDEV(Rankings!O2:O651)</f>
        <v>-0.25042578949254302</v>
      </c>
      <c r="I389" s="118">
        <f>(VLOOKUP($A389,Hitters!$A1:$R401,7,FALSE)-AVERAGE(Rankings!P2:P651))/STDEV(Rankings!P2:P651)</f>
        <v>-0.30600637457537444</v>
      </c>
      <c r="J389" s="118">
        <f>(VLOOKUP($A389,Hitters!$A1:$R401,8,FALSE)-AVERAGE(Rankings!Q2:Q651))/STDEV(Rankings!Q2:Q651)</f>
        <v>1.3810404476315099</v>
      </c>
      <c r="K389" s="157">
        <f>(VLOOKUP($A389,Hitters!$A$1:$R$401,14,FALSE)-AVERAGE(Rankings!R$2:R$651))/STDEV(Rankings!R$2:R$651)</f>
        <v>-5.1987446044843108E-2</v>
      </c>
      <c r="L389" s="157">
        <f>(VLOOKUP($A389,Hitters!$A$1:$R$401,15,FALSE)-AVERAGE(Rankings!S$2:S$651))/STDEV(Rankings!S$2:S$651)</f>
        <v>-0.68174780765940868</v>
      </c>
      <c r="M389" s="157">
        <f>(VLOOKUP($A389,Hitters!$A$1:$R$401,9,FALSE)-AVERAGE(Rankings!T$2:T$651))/STDEV(Rankings!T$2:T$651)</f>
        <v>-3.7260006560661807E-2</v>
      </c>
      <c r="N389" s="157">
        <f>(VLOOKUP($A389,Hitters!$A$1:$R$401,10,FALSE)-AVERAGE(Rankings!U$2:U$651))/STDEV(Rankings!U$2:U$651)</f>
        <v>-0.33785372913553685</v>
      </c>
      <c r="O389" s="157">
        <f>(VLOOKUP($A389,Hitters!$A$1:$R$401,11,FALSE)-AVERAGE(Rankings!V$2:V$651))/STDEV(Rankings!V$2:V$651)</f>
        <v>-0.2335710116043076</v>
      </c>
      <c r="P389" s="157">
        <f>(VLOOKUP($A389,Hitters!$A$1:$R$401,12,FALSE)-AVERAGE(Rankings!W$2:W$651))/STDEV(Rankings!W$2:W$651)</f>
        <v>-0.54198994291077163</v>
      </c>
      <c r="Q389" s="157">
        <f>(VLOOKUP($A389,Hitters!$A$1:$R$401,13,FALSE)-AVERAGE(Rankings!X$2:X$651))/STDEV(Rankings!X$2:X$651)</f>
        <v>-0.18526668856009429</v>
      </c>
      <c r="R389" s="118">
        <f>(VLOOKUP($A389,Hitters!$A1:$R401,16,FALSE)-AVERAGE(Rankings!Y2:Y651))/STDEV(Rankings!Y2:Y651)</f>
        <v>-0.46279756892246871</v>
      </c>
      <c r="S389" s="118">
        <f>(VLOOKUP($A389,Hitters!$A1:$R401,17,FALSE)-AVERAGE(Rankings!Z2:Z651))/STDEV(Rankings!Z2:Z651)</f>
        <v>-0.59495983424397769</v>
      </c>
      <c r="T389" s="118">
        <f>IFERROR((VLOOKUP($A389,Hitters!$A1:$R401,18,FALSE)-AVERAGE(Rankings!AA2:AA651))/STDEV(Rankings!AA2:AA651),0)</f>
        <v>0</v>
      </c>
      <c r="U389" s="67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</row>
    <row r="390" spans="1:37" ht="18.600000000000001" customHeight="1">
      <c r="A390" s="26" t="s">
        <v>678</v>
      </c>
      <c r="B390" s="27" t="s">
        <v>120</v>
      </c>
      <c r="C390" s="124" t="s">
        <v>27</v>
      </c>
      <c r="D390" s="67">
        <f>(F390*Settings!$C$2)+(G390*Settings!$C$3)+(H390*Settings!$C$4)+(I390*Settings!$C$5)+(J390*Settings!$C$6)+(M390*Settings!$C$9)+(N390*Settings!$C$10)+(O390*Settings!$C$11)+(P390*Settings!$C$12)+(Q390*Settings!$C$13)+(T390*Settings!$C$16)+(K390*Settings!$C$7)+(L390*Settings!$C$8)+(R390*Settings!$C$14)+(S390*Settings!$C$15)</f>
        <v>-2.872172493274662</v>
      </c>
      <c r="E390" s="67"/>
      <c r="F390" s="118">
        <f>(VLOOKUP($A390,Hitters!$A1:$R401,4,FALSE)-AVERAGE(Rankings!M2:M651))/STDEV(Rankings!M2:M651)</f>
        <v>-0.34175700881269527</v>
      </c>
      <c r="G390" s="118">
        <f>(VLOOKUP($A390,Hitters!$A1:$R401,5,FALSE)-AVERAGE(Rankings!N2:N651))/STDEV(Rankings!N2:N651)</f>
        <v>-0.59951543910948224</v>
      </c>
      <c r="H390" s="118">
        <f>(VLOOKUP($A390,Hitters!$A1:$R401,6,FALSE)-AVERAGE(Rankings!O2:O651))/STDEV(Rankings!O2:O651)</f>
        <v>-0.82082409253454092</v>
      </c>
      <c r="I390" s="118">
        <f>(VLOOKUP($A390,Hitters!$A1:$R401,7,FALSE)-AVERAGE(Rankings!P2:P651))/STDEV(Rankings!P2:P651)</f>
        <v>-0.64716560059538375</v>
      </c>
      <c r="J390" s="118">
        <f>(VLOOKUP($A390,Hitters!$A1:$R401,8,FALSE)-AVERAGE(Rankings!Q2:Q651))/STDEV(Rankings!Q2:Q651)</f>
        <v>-0.10944434853022519</v>
      </c>
      <c r="K390" s="157">
        <f>(VLOOKUP($A390,Hitters!$A$1:$R$401,14,FALSE)-AVERAGE(Rankings!R$2:R$651))/STDEV(Rankings!R$2:R$651)</f>
        <v>-0.69522301250502982</v>
      </c>
      <c r="L390" s="157">
        <f>(VLOOKUP($A390,Hitters!$A$1:$R$401,15,FALSE)-AVERAGE(Rankings!S$2:S$651))/STDEV(Rankings!S$2:S$651)</f>
        <v>-1.0465251511121429</v>
      </c>
      <c r="M390" s="157">
        <f>(VLOOKUP($A390,Hitters!$A$1:$R$401,9,FALSE)-AVERAGE(Rankings!T$2:T$651))/STDEV(Rankings!T$2:T$651)</f>
        <v>-0.45625050853683008</v>
      </c>
      <c r="N390" s="157">
        <f>(VLOOKUP($A390,Hitters!$A$1:$R$401,10,FALSE)-AVERAGE(Rankings!U$2:U$651))/STDEV(Rankings!U$2:U$651)</f>
        <v>-9.8498522165524238E-2</v>
      </c>
      <c r="O390" s="157">
        <f>(VLOOKUP($A390,Hitters!$A$1:$R$401,11,FALSE)-AVERAGE(Rankings!V$2:V$651))/STDEV(Rankings!V$2:V$651)</f>
        <v>0.31294709099313101</v>
      </c>
      <c r="P390" s="157">
        <f>(VLOOKUP($A390,Hitters!$A$1:$R$401,12,FALSE)-AVERAGE(Rankings!W$2:W$651))/STDEV(Rankings!W$2:W$651)</f>
        <v>-0.63123567645881584</v>
      </c>
      <c r="Q390" s="157">
        <f>(VLOOKUP($A390,Hitters!$A$1:$R$401,13,FALSE)-AVERAGE(Rankings!X$2:X$651))/STDEV(Rankings!X$2:X$651)</f>
        <v>-0.35834353007714675</v>
      </c>
      <c r="R390" s="118">
        <f>(VLOOKUP($A390,Hitters!$A1:$R401,16,FALSE)-AVERAGE(Rankings!Y2:Y651))/STDEV(Rankings!Y2:Y651)</f>
        <v>-1.0194814806347878</v>
      </c>
      <c r="S390" s="118">
        <f>(VLOOKUP($A390,Hitters!$A1:$R401,17,FALSE)-AVERAGE(Rankings!Z2:Z651))/STDEV(Rankings!Z2:Z651)</f>
        <v>-1.1392582183816637</v>
      </c>
      <c r="T390" s="118">
        <f>IFERROR((VLOOKUP($A390,Hitters!$A1:$R401,18,FALSE)-AVERAGE(Rankings!AA2:AA651))/STDEV(Rankings!AA2:AA651),0)</f>
        <v>0</v>
      </c>
      <c r="U390" s="67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</row>
    <row r="391" spans="1:37" ht="18.600000000000001" customHeight="1">
      <c r="A391" s="26" t="s">
        <v>676</v>
      </c>
      <c r="B391" s="27" t="s">
        <v>156</v>
      </c>
      <c r="C391" s="124" t="s">
        <v>27</v>
      </c>
      <c r="D391" s="67">
        <f>(F391*Settings!$C$2)+(G391*Settings!$C$3)+(H391*Settings!$C$4)+(I391*Settings!$C$5)+(J391*Settings!$C$6)+(M391*Settings!$C$9)+(N391*Settings!$C$10)+(O391*Settings!$C$11)+(P391*Settings!$C$12)+(Q391*Settings!$C$13)+(T391*Settings!$C$16)+(K391*Settings!$C$7)+(L391*Settings!$C$8)+(R391*Settings!$C$14)+(S391*Settings!$C$15)</f>
        <v>-2.5784599040156846</v>
      </c>
      <c r="E391" s="67"/>
      <c r="F391" s="118">
        <f>(VLOOKUP($A391,Hitters!$A1:$R401,4,FALSE)-AVERAGE(Rankings!M2:M651))/STDEV(Rankings!M2:M651)</f>
        <v>-1.3489875698359908</v>
      </c>
      <c r="G391" s="118">
        <f>(VLOOKUP($A391,Hitters!$A1:$R401,5,FALSE)-AVERAGE(Rankings!N2:N651))/STDEV(Rankings!N2:N651)</f>
        <v>-1.0743234406787168</v>
      </c>
      <c r="H391" s="118">
        <f>(VLOOKUP($A391,Hitters!$A1:$R401,6,FALSE)-AVERAGE(Rankings!O2:O651))/STDEV(Rankings!O2:O651)</f>
        <v>-0.90451873271344563</v>
      </c>
      <c r="I391" s="118">
        <f>(VLOOKUP($A391,Hitters!$A1:$R401,7,FALSE)-AVERAGE(Rankings!P2:P651))/STDEV(Rankings!P2:P651)</f>
        <v>-1.1475655530846698</v>
      </c>
      <c r="J391" s="118">
        <f>(VLOOKUP($A391,Hitters!$A1:$R401,8,FALSE)-AVERAGE(Rankings!Q2:Q651))/STDEV(Rankings!Q2:Q651)</f>
        <v>9.8229452727859098E-3</v>
      </c>
      <c r="K391" s="157">
        <f>(VLOOKUP($A391,Hitters!$A$1:$R$401,14,FALSE)-AVERAGE(Rankings!R$2:R$651))/STDEV(Rankings!R$2:R$651)</f>
        <v>0.53812487718836133</v>
      </c>
      <c r="L391" s="157">
        <f>(VLOOKUP($A391,Hitters!$A$1:$R$401,15,FALSE)-AVERAGE(Rankings!S$2:S$651))/STDEV(Rankings!S$2:S$651)</f>
        <v>-5.2647773982544652E-2</v>
      </c>
      <c r="M391" s="157">
        <f>(VLOOKUP($A391,Hitters!$A$1:$R$401,9,FALSE)-AVERAGE(Rankings!T$2:T$651))/STDEV(Rankings!T$2:T$651)</f>
        <v>-1.1592559127104645</v>
      </c>
      <c r="N391" s="157">
        <f>(VLOOKUP($A391,Hitters!$A$1:$R$401,10,FALSE)-AVERAGE(Rankings!U$2:U$651))/STDEV(Rankings!U$2:U$651)</f>
        <v>-0.84829887838169793</v>
      </c>
      <c r="O391" s="157">
        <f>(VLOOKUP($A391,Hitters!$A$1:$R$401,11,FALSE)-AVERAGE(Rankings!V$2:V$651))/STDEV(Rankings!V$2:V$651)</f>
        <v>-0.55404235972427129</v>
      </c>
      <c r="P391" s="157">
        <f>(VLOOKUP($A391,Hitters!$A$1:$R$401,12,FALSE)-AVERAGE(Rankings!W$2:W$651))/STDEV(Rankings!W$2:W$651)</f>
        <v>-1.1624180717426822</v>
      </c>
      <c r="Q391" s="157">
        <f>(VLOOKUP($A391,Hitters!$A$1:$R$401,13,FALSE)-AVERAGE(Rankings!X$2:X$651))/STDEV(Rankings!X$2:X$651)</f>
        <v>-1.3196389788760012</v>
      </c>
      <c r="R391" s="118">
        <f>(VLOOKUP($A391,Hitters!$A1:$R401,16,FALSE)-AVERAGE(Rankings!Y2:Y651))/STDEV(Rankings!Y2:Y651)</f>
        <v>0.37393997121305883</v>
      </c>
      <c r="S391" s="118">
        <f>(VLOOKUP($A391,Hitters!$A1:$R401,17,FALSE)-AVERAGE(Rankings!Z2:Z651))/STDEV(Rankings!Z2:Z651)</f>
        <v>0.25358065481094677</v>
      </c>
      <c r="T391" s="118">
        <f>IFERROR((VLOOKUP($A391,Hitters!$A1:$R401,18,FALSE)-AVERAGE(Rankings!AA2:AA651))/STDEV(Rankings!AA2:AA651),0)</f>
        <v>0</v>
      </c>
      <c r="U391" s="67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</row>
    <row r="392" spans="1:37" ht="18.600000000000001" customHeight="1">
      <c r="A392" s="26" t="s">
        <v>680</v>
      </c>
      <c r="B392" s="27" t="s">
        <v>99</v>
      </c>
      <c r="C392" s="124" t="s">
        <v>27</v>
      </c>
      <c r="D392" s="67">
        <f>(F392*Settings!$C$2)+(G392*Settings!$C$3)+(H392*Settings!$C$4)+(I392*Settings!$C$5)+(J392*Settings!$C$6)+(M392*Settings!$C$9)+(N392*Settings!$C$10)+(O392*Settings!$C$11)+(P392*Settings!$C$12)+(Q392*Settings!$C$13)+(T392*Settings!$C$16)+(K392*Settings!$C$7)+(L392*Settings!$C$8)+(R392*Settings!$C$14)+(S392*Settings!$C$15)</f>
        <v>-0.62494918231289165</v>
      </c>
      <c r="E392" s="67"/>
      <c r="F392" s="118">
        <f>(VLOOKUP($A392,Hitters!$A1:$R401,4,FALSE)-AVERAGE(Rankings!M2:M651))/STDEV(Rankings!M2:M651)</f>
        <v>-0.36406246068310699</v>
      </c>
      <c r="G392" s="118">
        <f>(VLOOKUP($A392,Hitters!$A1:$R401,5,FALSE)-AVERAGE(Rankings!N2:N651))/STDEV(Rankings!N2:N651)</f>
        <v>-0.44991770284661331</v>
      </c>
      <c r="H392" s="118">
        <f>(VLOOKUP($A392,Hitters!$A1:$R401,6,FALSE)-AVERAGE(Rankings!O2:O651))/STDEV(Rankings!O2:O651)</f>
        <v>-0.71062440817080641</v>
      </c>
      <c r="I392" s="118">
        <f>(VLOOKUP($A392,Hitters!$A1:$R401,7,FALSE)-AVERAGE(Rankings!P2:P651))/STDEV(Rankings!P2:P651)</f>
        <v>-0.71407902981103621</v>
      </c>
      <c r="J392" s="118">
        <f>(VLOOKUP($A392,Hitters!$A1:$R401,8,FALSE)-AVERAGE(Rankings!Q2:Q651))/STDEV(Rankings!Q2:Q651)</f>
        <v>2.2544397502254729</v>
      </c>
      <c r="K392" s="157">
        <f>(VLOOKUP($A392,Hitters!$A$1:$R$401,14,FALSE)-AVERAGE(Rankings!R$2:R$651))/STDEV(Rankings!R$2:R$651)</f>
        <v>-1.0047677917099087</v>
      </c>
      <c r="L392" s="157">
        <f>(VLOOKUP($A392,Hitters!$A$1:$R$401,15,FALSE)-AVERAGE(Rankings!S$2:S$651))/STDEV(Rankings!S$2:S$651)</f>
        <v>-1.8743663284446301</v>
      </c>
      <c r="M392" s="157">
        <f>(VLOOKUP($A392,Hitters!$A$1:$R$401,9,FALSE)-AVERAGE(Rankings!T$2:T$651))/STDEV(Rankings!T$2:T$651)</f>
        <v>-0.52845616394441242</v>
      </c>
      <c r="N392" s="157">
        <f>(VLOOKUP($A392,Hitters!$A$1:$R$401,10,FALSE)-AVERAGE(Rankings!U$2:U$651))/STDEV(Rankings!U$2:U$651)</f>
        <v>-0.38723082576440687</v>
      </c>
      <c r="O392" s="157">
        <f>(VLOOKUP($A392,Hitters!$A$1:$R$401,11,FALSE)-AVERAGE(Rankings!V$2:V$651))/STDEV(Rankings!V$2:V$651)</f>
        <v>1.5318827543779931</v>
      </c>
      <c r="P392" s="157">
        <f>(VLOOKUP($A392,Hitters!$A$1:$R$401,12,FALSE)-AVERAGE(Rankings!W$2:W$651))/STDEV(Rankings!W$2:W$651)</f>
        <v>-1.0238920228759838</v>
      </c>
      <c r="Q392" s="157">
        <f>(VLOOKUP($A392,Hitters!$A$1:$R$401,13,FALSE)-AVERAGE(Rankings!X$2:X$651))/STDEV(Rankings!X$2:X$651)</f>
        <v>5.7619868852649914E-2</v>
      </c>
      <c r="R392" s="118">
        <f>(VLOOKUP($A392,Hitters!$A1:$R401,16,FALSE)-AVERAGE(Rankings!Y2:Y651))/STDEV(Rankings!Y2:Y651)</f>
        <v>-0.90665046335424382</v>
      </c>
      <c r="S392" s="118">
        <f>(VLOOKUP($A392,Hitters!$A1:$R401,17,FALSE)-AVERAGE(Rankings!Z2:Z651))/STDEV(Rankings!Z2:Z651)</f>
        <v>-1.3683830289343051</v>
      </c>
      <c r="T392" s="118">
        <f>IFERROR((VLOOKUP($A392,Hitters!$A1:$R401,18,FALSE)-AVERAGE(Rankings!AA2:AA651))/STDEV(Rankings!AA2:AA651),0)</f>
        <v>0</v>
      </c>
      <c r="U392" s="67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</row>
    <row r="393" spans="1:37" ht="18.600000000000001" customHeight="1">
      <c r="A393" s="26" t="s">
        <v>689</v>
      </c>
      <c r="B393" s="27" t="s">
        <v>68</v>
      </c>
      <c r="C393" s="124" t="s">
        <v>27</v>
      </c>
      <c r="D393" s="67">
        <f>(F393*Settings!$C$2)+(G393*Settings!$C$3)+(H393*Settings!$C$4)+(I393*Settings!$C$5)+(J393*Settings!$C$6)+(M393*Settings!$C$9)+(N393*Settings!$C$10)+(O393*Settings!$C$11)+(P393*Settings!$C$12)+(Q393*Settings!$C$13)+(T393*Settings!$C$16)+(K393*Settings!$C$7)+(L393*Settings!$C$8)+(R393*Settings!$C$14)+(S393*Settings!$C$15)</f>
        <v>-1.2355491390276696</v>
      </c>
      <c r="E393" s="67"/>
      <c r="F393" s="118">
        <f>(VLOOKUP($A393,Hitters!$A1:$R401,4,FALSE)-AVERAGE(Rankings!M2:M651))/STDEV(Rankings!M2:M651)</f>
        <v>-0.43294321688520343</v>
      </c>
      <c r="G393" s="118">
        <f>(VLOOKUP($A393,Hitters!$A1:$R401,5,FALSE)-AVERAGE(Rankings!N2:N651))/STDEV(Rankings!N2:N651)</f>
        <v>-0.38620554830516868</v>
      </c>
      <c r="H393" s="118">
        <f>(VLOOKUP($A393,Hitters!$A1:$R401,6,FALSE)-AVERAGE(Rankings!O2:O651))/STDEV(Rankings!O2:O651)</f>
        <v>-0.48406026569732546</v>
      </c>
      <c r="I393" s="118">
        <f>(VLOOKUP($A393,Hitters!$A1:$R401,7,FALSE)-AVERAGE(Rankings!P2:P651))/STDEV(Rankings!P2:P651)</f>
        <v>-0.51130894148703498</v>
      </c>
      <c r="J393" s="118">
        <f>(VLOOKUP($A393,Hitters!$A1:$R401,8,FALSE)-AVERAGE(Rankings!Q2:Q651))/STDEV(Rankings!Q2:Q651)</f>
        <v>0.97613748854031035</v>
      </c>
      <c r="K393" s="157">
        <f>(VLOOKUP($A393,Hitters!$A$1:$R$401,14,FALSE)-AVERAGE(Rankings!R$2:R$651))/STDEV(Rankings!R$2:R$651)</f>
        <v>-0.83011187207845083</v>
      </c>
      <c r="L393" s="157">
        <f>(VLOOKUP($A393,Hitters!$A$1:$R$401,15,FALSE)-AVERAGE(Rankings!S$2:S$651))/STDEV(Rankings!S$2:S$651)</f>
        <v>-0.63094674375868065</v>
      </c>
      <c r="M393" s="157">
        <f>(VLOOKUP($A393,Hitters!$A$1:$R$401,9,FALSE)-AVERAGE(Rankings!T$2:T$651))/STDEV(Rankings!T$2:T$651)</f>
        <v>-0.55458409712394552</v>
      </c>
      <c r="N393" s="157">
        <f>(VLOOKUP($A393,Hitters!$A$1:$R$401,10,FALSE)-AVERAGE(Rankings!U$2:U$651))/STDEV(Rankings!U$2:U$651)</f>
        <v>-0.18821638401405882</v>
      </c>
      <c r="O393" s="157">
        <f>(VLOOKUP($A393,Hitters!$A$1:$R$401,11,FALSE)-AVERAGE(Rankings!V$2:V$651))/STDEV(Rankings!V$2:V$651)</f>
        <v>0.24642067274501323</v>
      </c>
      <c r="P393" s="157">
        <f>(VLOOKUP($A393,Hitters!$A$1:$R$401,12,FALSE)-AVERAGE(Rankings!W$2:W$651))/STDEV(Rankings!W$2:W$651)</f>
        <v>-0.34082548757403897</v>
      </c>
      <c r="Q393" s="157">
        <f>(VLOOKUP($A393,Hitters!$A$1:$R$401,13,FALSE)-AVERAGE(Rankings!X$2:X$651))/STDEV(Rankings!X$2:X$651)</f>
        <v>-0.40589576347448308</v>
      </c>
      <c r="R393" s="118">
        <f>(VLOOKUP($A393,Hitters!$A1:$R401,16,FALSE)-AVERAGE(Rankings!Y2:Y651))/STDEV(Rankings!Y2:Y651)</f>
        <v>-0.45558487885573229</v>
      </c>
      <c r="S393" s="118">
        <f>(VLOOKUP($A393,Hitters!$A1:$R401,17,FALSE)-AVERAGE(Rankings!Z2:Z651))/STDEV(Rankings!Z2:Z651)</f>
        <v>-0.5705641841514657</v>
      </c>
      <c r="T393" s="118">
        <f>IFERROR((VLOOKUP($A393,Hitters!$A1:$R401,18,FALSE)-AVERAGE(Rankings!AA2:AA651))/STDEV(Rankings!AA2:AA651),0)</f>
        <v>0</v>
      </c>
      <c r="U393" s="67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</row>
    <row r="394" spans="1:37" ht="18.600000000000001" customHeight="1">
      <c r="A394" s="26" t="s">
        <v>702</v>
      </c>
      <c r="B394" s="27" t="s">
        <v>78</v>
      </c>
      <c r="C394" s="124" t="s">
        <v>27</v>
      </c>
      <c r="D394" s="67">
        <f>(F394*Settings!$C$2)+(G394*Settings!$C$3)+(H394*Settings!$C$4)+(I394*Settings!$C$5)+(J394*Settings!$C$6)+(M394*Settings!$C$9)+(N394*Settings!$C$10)+(O394*Settings!$C$11)+(P394*Settings!$C$12)+(Q394*Settings!$C$13)+(T394*Settings!$C$16)+(K394*Settings!$C$7)+(L394*Settings!$C$8)+(R394*Settings!$C$14)+(S394*Settings!$C$15)</f>
        <v>-0.62864218810853212</v>
      </c>
      <c r="E394" s="67"/>
      <c r="F394" s="118">
        <f>(VLOOKUP($A394,Hitters!$A1:$R401,4,FALSE)-AVERAGE(Rankings!M2:M651))/STDEV(Rankings!M2:M651)</f>
        <v>0.13806367744514622</v>
      </c>
      <c r="G394" s="118">
        <f>(VLOOKUP($A394,Hitters!$A1:$R401,5,FALSE)-AVERAGE(Rankings!N2:N651))/STDEV(Rankings!N2:N651)</f>
        <v>-0.14387623222071025</v>
      </c>
      <c r="H394" s="118">
        <f>(VLOOKUP($A394,Hitters!$A1:$R401,6,FALSE)-AVERAGE(Rankings!O2:O651))/STDEV(Rankings!O2:O651)</f>
        <v>-0.4459222586245411</v>
      </c>
      <c r="I394" s="118">
        <f>(VLOOKUP($A394,Hitters!$A1:$R401,7,FALSE)-AVERAGE(Rankings!P2:P651))/STDEV(Rankings!P2:P651)</f>
        <v>-0.20086397210680867</v>
      </c>
      <c r="J394" s="118">
        <f>(VLOOKUP($A394,Hitters!$A1:$R401,8,FALSE)-AVERAGE(Rankings!Q2:Q651))/STDEV(Rankings!Q2:Q651)</f>
        <v>8.8938500723787325E-2</v>
      </c>
      <c r="K394" s="157">
        <f>(VLOOKUP($A394,Hitters!$A$1:$R$401,14,FALSE)-AVERAGE(Rankings!R$2:R$651))/STDEV(Rankings!R$2:R$651)</f>
        <v>7.3081774119740567E-2</v>
      </c>
      <c r="L394" s="157">
        <f>(VLOOKUP($A394,Hitters!$A$1:$R$401,15,FALSE)-AVERAGE(Rankings!S$2:S$651))/STDEV(Rankings!S$2:S$651)</f>
        <v>-0.73138270895373747</v>
      </c>
      <c r="M394" s="157">
        <f>(VLOOKUP($A394,Hitters!$A$1:$R$401,9,FALSE)-AVERAGE(Rankings!T$2:T$651))/STDEV(Rankings!T$2:T$651)</f>
        <v>0.10086083023019542</v>
      </c>
      <c r="N394" s="157">
        <f>(VLOOKUP($A394,Hitters!$A$1:$R$401,10,FALSE)-AVERAGE(Rankings!U$2:U$651))/STDEV(Rankings!U$2:U$651)</f>
        <v>-0.23705560377333382</v>
      </c>
      <c r="O394" s="157">
        <f>(VLOOKUP($A394,Hitters!$A$1:$R$401,11,FALSE)-AVERAGE(Rankings!V$2:V$651))/STDEV(Rankings!V$2:V$651)</f>
        <v>-0.15917587721931578</v>
      </c>
      <c r="P394" s="157">
        <f>(VLOOKUP($A394,Hitters!$A$1:$R$401,12,FALSE)-AVERAGE(Rankings!W$2:W$651))/STDEV(Rankings!W$2:W$651)</f>
        <v>-0.59363397168112431</v>
      </c>
      <c r="Q394" s="157">
        <f>(VLOOKUP($A394,Hitters!$A$1:$R$401,13,FALSE)-AVERAGE(Rankings!X$2:X$651))/STDEV(Rankings!X$2:X$651)</f>
        <v>-0.88103843889777189</v>
      </c>
      <c r="R394" s="118">
        <f>(VLOOKUP($A394,Hitters!$A1:$R401,16,FALSE)-AVERAGE(Rankings!Y2:Y651))/STDEV(Rankings!Y2:Y651)</f>
        <v>-0.76163670754975499</v>
      </c>
      <c r="S394" s="118">
        <f>(VLOOKUP($A394,Hitters!$A1:$R401,17,FALSE)-AVERAGE(Rankings!Z2:Z651))/STDEV(Rankings!Z2:Z651)</f>
        <v>-0.83212339787555978</v>
      </c>
      <c r="T394" s="118">
        <f>IFERROR((VLOOKUP($A394,Hitters!$A1:$R401,18,FALSE)-AVERAGE(Rankings!AA2:AA651))/STDEV(Rankings!AA2:AA651),0)</f>
        <v>0</v>
      </c>
      <c r="U394" s="67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</row>
    <row r="395" spans="1:37" ht="18.600000000000001" customHeight="1">
      <c r="A395" s="26" t="s">
        <v>714</v>
      </c>
      <c r="B395" s="27" t="s">
        <v>140</v>
      </c>
      <c r="C395" s="124" t="s">
        <v>27</v>
      </c>
      <c r="D395" s="67">
        <f>(F395*Settings!$C$2)+(G395*Settings!$C$3)+(H395*Settings!$C$4)+(I395*Settings!$C$5)+(J395*Settings!$C$6)+(M395*Settings!$C$9)+(N395*Settings!$C$10)+(O395*Settings!$C$11)+(P395*Settings!$C$12)+(Q395*Settings!$C$13)+(T395*Settings!$C$16)+(K395*Settings!$C$7)+(L395*Settings!$C$8)+(R395*Settings!$C$14)+(S395*Settings!$C$15)</f>
        <v>-3.2345486405323531</v>
      </c>
      <c r="E395" s="67"/>
      <c r="F395" s="118">
        <f>(VLOOKUP($A395,Hitters!$A1:$R401,4,FALSE)-AVERAGE(Rankings!M2:M651))/STDEV(Rankings!M2:M651)</f>
        <v>9.9409343237898587E-2</v>
      </c>
      <c r="G395" s="118">
        <f>(VLOOKUP($A395,Hitters!$A1:$R401,5,FALSE)-AVERAGE(Rankings!N2:N651))/STDEV(Rankings!N2:N651)</f>
        <v>-0.48429982663855387</v>
      </c>
      <c r="H395" s="118">
        <f>(VLOOKUP($A395,Hitters!$A1:$R401,6,FALSE)-AVERAGE(Rankings!O2:O651))/STDEV(Rankings!O2:O651)</f>
        <v>-1.0937459404088217</v>
      </c>
      <c r="I395" s="118">
        <f>(VLOOKUP($A395,Hitters!$A1:$R401,7,FALSE)-AVERAGE(Rankings!P2:P651))/STDEV(Rankings!P2:P651)</f>
        <v>-0.88402234166836224</v>
      </c>
      <c r="J395" s="118">
        <f>(VLOOKUP($A395,Hitters!$A1:$R401,8,FALSE)-AVERAGE(Rankings!Q2:Q651))/STDEV(Rankings!Q2:Q651)</f>
        <v>0.21184875303605394</v>
      </c>
      <c r="K395" s="157">
        <f>(VLOOKUP($A395,Hitters!$A$1:$R$401,14,FALSE)-AVERAGE(Rankings!R$2:R$651))/STDEV(Rankings!R$2:R$651)</f>
        <v>-0.98432928485266913</v>
      </c>
      <c r="L395" s="157">
        <f>(VLOOKUP($A395,Hitters!$A$1:$R$401,15,FALSE)-AVERAGE(Rankings!S$2:S$651))/STDEV(Rankings!S$2:S$651)</f>
        <v>-1.2506595440686883</v>
      </c>
      <c r="M395" s="157">
        <f>(VLOOKUP($A395,Hitters!$A$1:$R$401,9,FALSE)-AVERAGE(Rankings!T$2:T$651))/STDEV(Rankings!T$2:T$651)</f>
        <v>-0.14999428746770799</v>
      </c>
      <c r="N395" s="157">
        <f>(VLOOKUP($A395,Hitters!$A$1:$R$401,10,FALSE)-AVERAGE(Rankings!U$2:U$651))/STDEV(Rankings!U$2:U$651)</f>
        <v>-5.8695633815454715E-2</v>
      </c>
      <c r="O395" s="157">
        <f>(VLOOKUP($A395,Hitters!$A$1:$R$401,11,FALSE)-AVERAGE(Rankings!V$2:V$651))/STDEV(Rankings!V$2:V$651)</f>
        <v>-0.56262641369177036</v>
      </c>
      <c r="P395" s="157">
        <f>(VLOOKUP($A395,Hitters!$A$1:$R$401,12,FALSE)-AVERAGE(Rankings!W$2:W$651))/STDEV(Rankings!W$2:W$651)</f>
        <v>-0.37604792815363874</v>
      </c>
      <c r="Q395" s="157">
        <f>(VLOOKUP($A395,Hitters!$A$1:$R$401,13,FALSE)-AVERAGE(Rankings!X$2:X$651))/STDEV(Rankings!X$2:X$651)</f>
        <v>-0.21919867147336258</v>
      </c>
      <c r="R395" s="118">
        <f>(VLOOKUP($A395,Hitters!$A1:$R401,16,FALSE)-AVERAGE(Rankings!Y2:Y651))/STDEV(Rankings!Y2:Y651)</f>
        <v>-2.076513622499792</v>
      </c>
      <c r="S395" s="118">
        <f>(VLOOKUP($A395,Hitters!$A1:$R401,17,FALSE)-AVERAGE(Rankings!Z2:Z651))/STDEV(Rankings!Z2:Z651)</f>
        <v>-1.9888900562918921</v>
      </c>
      <c r="T395" s="118">
        <f>IFERROR((VLOOKUP($A395,Hitters!$A1:$R401,18,FALSE)-AVERAGE(Rankings!AA2:AA651))/STDEV(Rankings!AA2:AA651),0)</f>
        <v>0</v>
      </c>
      <c r="U395" s="67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</row>
    <row r="396" spans="1:37" ht="18.600000000000001" customHeight="1">
      <c r="A396" s="26" t="s">
        <v>729</v>
      </c>
      <c r="B396" s="27" t="s">
        <v>176</v>
      </c>
      <c r="C396" s="124" t="s">
        <v>27</v>
      </c>
      <c r="D396" s="67">
        <f>(F396*Settings!$C$2)+(G396*Settings!$C$3)+(H396*Settings!$C$4)+(I396*Settings!$C$5)+(J396*Settings!$C$6)+(M396*Settings!$C$9)+(N396*Settings!$C$10)+(O396*Settings!$C$11)+(P396*Settings!$C$12)+(Q396*Settings!$C$13)+(T396*Settings!$C$16)+(K396*Settings!$C$7)+(L396*Settings!$C$8)+(R396*Settings!$C$14)+(S396*Settings!$C$15)</f>
        <v>-3.959035182196708</v>
      </c>
      <c r="E396" s="67"/>
      <c r="F396" s="118">
        <f>(VLOOKUP($A396,Hitters!$A1:$R401,4,FALSE)-AVERAGE(Rankings!M2:M651))/STDEV(Rankings!M2:M651)</f>
        <v>-1.4268665480994467</v>
      </c>
      <c r="G396" s="118">
        <f>(VLOOKUP($A396,Hitters!$A1:$R401,5,FALSE)-AVERAGE(Rankings!N2:N651))/STDEV(Rankings!N2:N651)</f>
        <v>-1.2935982242721558</v>
      </c>
      <c r="H396" s="118">
        <f>(VLOOKUP($A396,Hitters!$A1:$R401,6,FALSE)-AVERAGE(Rankings!O2:O651))/STDEV(Rankings!O2:O651)</f>
        <v>-0.93589986912675949</v>
      </c>
      <c r="I396" s="118">
        <f>(VLOOKUP($A396,Hitters!$A1:$R401,7,FALSE)-AVERAGE(Rankings!P2:P651))/STDEV(Rankings!P2:P651)</f>
        <v>-1.1695179428520721</v>
      </c>
      <c r="J396" s="118">
        <f>(VLOOKUP($A396,Hitters!$A1:$R401,8,FALSE)-AVERAGE(Rankings!Q2:Q651))/STDEV(Rankings!Q2:Q651)</f>
        <v>-0.71472982431801713</v>
      </c>
      <c r="K396" s="157">
        <f>(VLOOKUP($A396,Hitters!$A$1:$R$401,14,FALSE)-AVERAGE(Rankings!R$2:R$651))/STDEV(Rankings!R$2:R$651)</f>
        <v>0.15471067837229621</v>
      </c>
      <c r="L396" s="157">
        <f>(VLOOKUP($A396,Hitters!$A$1:$R$401,15,FALSE)-AVERAGE(Rankings!S$2:S$651))/STDEV(Rankings!S$2:S$651)</f>
        <v>-1.185349013518614</v>
      </c>
      <c r="M396" s="157">
        <f>(VLOOKUP($A396,Hitters!$A$1:$R$401,9,FALSE)-AVERAGE(Rankings!T$2:T$651))/STDEV(Rankings!T$2:T$651)</f>
        <v>-1.2691744576256785</v>
      </c>
      <c r="N396" s="157">
        <f>(VLOOKUP($A396,Hitters!$A$1:$R$401,10,FALSE)-AVERAGE(Rankings!U$2:U$651))/STDEV(Rankings!U$2:U$651)</f>
        <v>-1.0618001371531522</v>
      </c>
      <c r="O396" s="157">
        <f>(VLOOKUP($A396,Hitters!$A$1:$R$401,11,FALSE)-AVERAGE(Rankings!V$2:V$651))/STDEV(Rankings!V$2:V$651)</f>
        <v>-0.56548776501427001</v>
      </c>
      <c r="P396" s="157">
        <f>(VLOOKUP($A396,Hitters!$A$1:$R$401,12,FALSE)-AVERAGE(Rankings!W$2:W$651))/STDEV(Rankings!W$2:W$651)</f>
        <v>-1.5288558597416582</v>
      </c>
      <c r="Q396" s="157">
        <f>(VLOOKUP($A396,Hitters!$A$1:$R$401,13,FALSE)-AVERAGE(Rankings!X$2:X$651))/STDEV(Rankings!X$2:X$651)</f>
        <v>-1.3327846561724703</v>
      </c>
      <c r="R396" s="118">
        <f>(VLOOKUP($A396,Hitters!$A1:$R401,16,FALSE)-AVERAGE(Rankings!Y2:Y651))/STDEV(Rankings!Y2:Y651)</f>
        <v>0.11794512431506081</v>
      </c>
      <c r="S396" s="118">
        <f>(VLOOKUP($A396,Hitters!$A1:$R401,17,FALSE)-AVERAGE(Rankings!Z2:Z651))/STDEV(Rankings!Z2:Z651)</f>
        <v>-0.35994630614971701</v>
      </c>
      <c r="T396" s="118">
        <f>IFERROR((VLOOKUP($A396,Hitters!$A1:$R401,18,FALSE)-AVERAGE(Rankings!AA2:AA651))/STDEV(Rankings!AA2:AA651),0)</f>
        <v>0</v>
      </c>
      <c r="U396" s="67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</row>
    <row r="397" spans="1:37" ht="18.600000000000001" customHeight="1">
      <c r="A397" s="26" t="s">
        <v>730</v>
      </c>
      <c r="B397" s="27" t="s">
        <v>123</v>
      </c>
      <c r="C397" s="124" t="s">
        <v>27</v>
      </c>
      <c r="D397" s="67">
        <f>(F397*Settings!$C$2)+(G397*Settings!$C$3)+(H397*Settings!$C$4)+(I397*Settings!$C$5)+(J397*Settings!$C$6)+(M397*Settings!$C$9)+(N397*Settings!$C$10)+(O397*Settings!$C$11)+(P397*Settings!$C$12)+(Q397*Settings!$C$13)+(T397*Settings!$C$16)+(K397*Settings!$C$7)+(L397*Settings!$C$8)+(R397*Settings!$C$14)+(S397*Settings!$C$15)</f>
        <v>-5.9074856338002286</v>
      </c>
      <c r="E397" s="67"/>
      <c r="F397" s="118">
        <f>(VLOOKUP($A397,Hitters!$A1:$R401,4,FALSE)-AVERAGE(Rankings!M2:M651))/STDEV(Rankings!M2:M651)</f>
        <v>-1.5121173092253777</v>
      </c>
      <c r="G397" s="118">
        <f>(VLOOKUP($A397,Hitters!$A1:$R401,5,FALSE)-AVERAGE(Rankings!N2:N651))/STDEV(Rankings!N2:N651)</f>
        <v>-1.3036390214857316</v>
      </c>
      <c r="H397" s="118">
        <f>(VLOOKUP($A397,Hitters!$A1:$R401,6,FALSE)-AVERAGE(Rankings!O2:O651))/STDEV(Rankings!O2:O651)</f>
        <v>-0.76871956415017106</v>
      </c>
      <c r="I397" s="118">
        <f>(VLOOKUP($A397,Hitters!$A1:$R401,7,FALSE)-AVERAGE(Rankings!P2:P651))/STDEV(Rankings!P2:P651)</f>
        <v>-1.1838219927642808</v>
      </c>
      <c r="J397" s="118">
        <f>(VLOOKUP($A397,Hitters!$A1:$R401,8,FALSE)-AVERAGE(Rankings!Q2:Q651))/STDEV(Rankings!Q2:Q651)</f>
        <v>-0.67940896572828069</v>
      </c>
      <c r="K397" s="157">
        <f>(VLOOKUP($A397,Hitters!$A$1:$R$401,14,FALSE)-AVERAGE(Rankings!R$2:R$651))/STDEV(Rankings!R$2:R$651)</f>
        <v>-1.9718960896717643</v>
      </c>
      <c r="L397" s="157">
        <f>(VLOOKUP($A397,Hitters!$A$1:$R$401,15,FALSE)-AVERAGE(Rankings!S$2:S$651))/STDEV(Rankings!S$2:S$651)</f>
        <v>-1.5361604546625889</v>
      </c>
      <c r="M397" s="157">
        <f>(VLOOKUP($A397,Hitters!$A$1:$R$401,9,FALSE)-AVERAGE(Rankings!T$2:T$651))/STDEV(Rankings!T$2:T$651)</f>
        <v>-1.5479922300935376</v>
      </c>
      <c r="N397" s="157">
        <f>(VLOOKUP($A397,Hitters!$A$1:$R$401,10,FALSE)-AVERAGE(Rankings!U$2:U$651))/STDEV(Rankings!U$2:U$651)</f>
        <v>-1.4849299412349717</v>
      </c>
      <c r="O397" s="157">
        <f>(VLOOKUP($A397,Hitters!$A$1:$R$401,11,FALSE)-AVERAGE(Rankings!V$2:V$651))/STDEV(Rankings!V$2:V$651)</f>
        <v>-1.4052943781679255</v>
      </c>
      <c r="P397" s="157">
        <f>(VLOOKUP($A397,Hitters!$A$1:$R$401,12,FALSE)-AVERAGE(Rankings!W$2:W$651))/STDEV(Rankings!W$2:W$651)</f>
        <v>-1.0892673607111432</v>
      </c>
      <c r="Q397" s="157">
        <f>(VLOOKUP($A397,Hitters!$A$1:$R$401,13,FALSE)-AVERAGE(Rankings!X$2:X$651))/STDEV(Rankings!X$2:X$651)</f>
        <v>-1.0300544198035975</v>
      </c>
      <c r="R397" s="118">
        <f>(VLOOKUP($A397,Hitters!$A1:$R401,16,FALSE)-AVERAGE(Rankings!Y2:Y651))/STDEV(Rankings!Y2:Y651)</f>
        <v>-0.7540295100158857</v>
      </c>
      <c r="S397" s="118">
        <f>(VLOOKUP($A397,Hitters!$A1:$R401,17,FALSE)-AVERAGE(Rankings!Z2:Z651))/STDEV(Rankings!Z2:Z651)</f>
        <v>-1.1294953913926125</v>
      </c>
      <c r="T397" s="118">
        <f>IFERROR((VLOOKUP($A397,Hitters!$A1:$R401,18,FALSE)-AVERAGE(Rankings!AA2:AA651))/STDEV(Rankings!AA2:AA651),0)</f>
        <v>0</v>
      </c>
      <c r="U397" s="67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</row>
    <row r="398" spans="1:37" ht="18.600000000000001" customHeight="1">
      <c r="A398" s="26" t="s">
        <v>731</v>
      </c>
      <c r="B398" s="27" t="s">
        <v>101</v>
      </c>
      <c r="C398" s="124" t="s">
        <v>27</v>
      </c>
      <c r="D398" s="67">
        <f>(F398*Settings!$C$2)+(G398*Settings!$C$3)+(H398*Settings!$C$4)+(I398*Settings!$C$5)+(J398*Settings!$C$6)+(M398*Settings!$C$9)+(N398*Settings!$C$10)+(O398*Settings!$C$11)+(P398*Settings!$C$12)+(Q398*Settings!$C$13)+(T398*Settings!$C$16)+(K398*Settings!$C$7)+(L398*Settings!$C$8)+(R398*Settings!$C$14)+(S398*Settings!$C$15)</f>
        <v>-5.4557991200065636</v>
      </c>
      <c r="E398" s="67"/>
      <c r="F398" s="118">
        <f>(VLOOKUP($A398,Hitters!$A1:$R401,4,FALSE)-AVERAGE(Rankings!M2:M651))/STDEV(Rankings!M2:M651)</f>
        <v>-1.2031361066113739</v>
      </c>
      <c r="G398" s="118">
        <f>(VLOOKUP($A398,Hitters!$A1:$R401,5,FALSE)-AVERAGE(Rankings!N2:N651))/STDEV(Rankings!N2:N651)</f>
        <v>-1.0859869929975168</v>
      </c>
      <c r="H398" s="118">
        <f>(VLOOKUP($A398,Hitters!$A1:$R401,6,FALSE)-AVERAGE(Rankings!O2:O651))/STDEV(Rankings!O2:O651)</f>
        <v>-1.1402777919606391</v>
      </c>
      <c r="I398" s="118">
        <f>(VLOOKUP($A398,Hitters!$A1:$R401,7,FALSE)-AVERAGE(Rankings!P2:P651))/STDEV(Rankings!P2:P651)</f>
        <v>-1.250709969933826</v>
      </c>
      <c r="J398" s="118">
        <f>(VLOOKUP($A398,Hitters!$A1:$R401,8,FALSE)-AVERAGE(Rankings!Q2:Q651))/STDEV(Rankings!Q2:Q651)</f>
        <v>2.7800153568458937E-2</v>
      </c>
      <c r="K398" s="157">
        <f>(VLOOKUP($A398,Hitters!$A$1:$R$401,14,FALSE)-AVERAGE(Rankings!R$2:R$651))/STDEV(Rankings!R$2:R$651)</f>
        <v>-2.0066245186830405</v>
      </c>
      <c r="L398" s="157">
        <f>(VLOOKUP($A398,Hitters!$A$1:$R$401,15,FALSE)-AVERAGE(Rankings!S$2:S$651))/STDEV(Rankings!S$2:S$651)</f>
        <v>-0.66241518724225623</v>
      </c>
      <c r="M398" s="157">
        <f>(VLOOKUP($A398,Hitters!$A$1:$R$401,9,FALSE)-AVERAGE(Rankings!T$2:T$651))/STDEV(Rankings!T$2:T$651)</f>
        <v>-1.3228232146615546</v>
      </c>
      <c r="N398" s="157">
        <f>(VLOOKUP($A398,Hitters!$A$1:$R$401,10,FALSE)-AVERAGE(Rankings!U$2:U$651))/STDEV(Rankings!U$2:U$651)</f>
        <v>-1.0508991659293492</v>
      </c>
      <c r="O398" s="157">
        <f>(VLOOKUP($A398,Hitters!$A$1:$R$401,11,FALSE)-AVERAGE(Rankings!V$2:V$651))/STDEV(Rankings!V$2:V$651)</f>
        <v>-0.5521347921759383</v>
      </c>
      <c r="P398" s="157">
        <f>(VLOOKUP($A398,Hitters!$A$1:$R$401,12,FALSE)-AVERAGE(Rankings!W$2:W$651))/STDEV(Rankings!W$2:W$651)</f>
        <v>-0.46953901546690635</v>
      </c>
      <c r="Q398" s="157">
        <f>(VLOOKUP($A398,Hitters!$A$1:$R$401,13,FALSE)-AVERAGE(Rankings!X$2:X$651))/STDEV(Rankings!X$2:X$651)</f>
        <v>-0.81871116025987878</v>
      </c>
      <c r="R398" s="118">
        <f>(VLOOKUP($A398,Hitters!$A1:$R401,16,FALSE)-AVERAGE(Rankings!Y2:Y651))/STDEV(Rankings!Y2:Y651)</f>
        <v>-1.8318674126058077</v>
      </c>
      <c r="S398" s="118">
        <f>(VLOOKUP($A398,Hitters!$A1:$R401,17,FALSE)-AVERAGE(Rankings!Z2:Z651))/STDEV(Rankings!Z2:Z651)</f>
        <v>-1.5886039177207587</v>
      </c>
      <c r="T398" s="118">
        <f>IFERROR((VLOOKUP($A398,Hitters!$A1:$R401,18,FALSE)-AVERAGE(Rankings!AA2:AA651))/STDEV(Rankings!AA2:AA651),0)</f>
        <v>0</v>
      </c>
      <c r="U398" s="67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</row>
    <row r="399" spans="1:37" ht="18.600000000000001" customHeight="1">
      <c r="A399" s="26" t="s">
        <v>732</v>
      </c>
      <c r="B399" s="27" t="s">
        <v>120</v>
      </c>
      <c r="C399" s="124" t="s">
        <v>27</v>
      </c>
      <c r="D399" s="67">
        <f>(F399*Settings!$C$2)+(G399*Settings!$C$3)+(H399*Settings!$C$4)+(I399*Settings!$C$5)+(J399*Settings!$C$6)+(M399*Settings!$C$9)+(N399*Settings!$C$10)+(O399*Settings!$C$11)+(P399*Settings!$C$12)+(Q399*Settings!$C$13)+(T399*Settings!$C$16)+(K399*Settings!$C$7)+(L399*Settings!$C$8)+(R399*Settings!$C$14)+(S399*Settings!$C$15)</f>
        <v>-5.5686509391267505</v>
      </c>
      <c r="E399" s="67"/>
      <c r="F399" s="118">
        <f>(VLOOKUP($A399,Hitters!$A1:$R401,4,FALSE)-AVERAGE(Rankings!M2:M651))/STDEV(Rankings!M2:M651)</f>
        <v>-1.4558467374613835</v>
      </c>
      <c r="G399" s="118">
        <f>(VLOOKUP($A399,Hitters!$A1:$R401,5,FALSE)-AVERAGE(Rankings!N2:N651))/STDEV(Rankings!N2:N651)</f>
        <v>-1.2675327203944899</v>
      </c>
      <c r="H399" s="118">
        <f>(VLOOKUP($A399,Hitters!$A1:$R401,6,FALSE)-AVERAGE(Rankings!O2:O651))/STDEV(Rankings!O2:O651)</f>
        <v>-1.3492531731813746</v>
      </c>
      <c r="I399" s="118">
        <f>(VLOOKUP($A399,Hitters!$A1:$R401,7,FALSE)-AVERAGE(Rankings!P2:P651))/STDEV(Rankings!P2:P651)</f>
        <v>-1.4768768516418092</v>
      </c>
      <c r="J399" s="118">
        <f>(VLOOKUP($A399,Hitters!$A1:$R401,8,FALSE)-AVERAGE(Rankings!Q2:Q651))/STDEV(Rankings!Q2:Q651)</f>
        <v>-0.30149161776814165</v>
      </c>
      <c r="K399" s="157">
        <f>(VLOOKUP($A399,Hitters!$A$1:$R$401,14,FALSE)-AVERAGE(Rankings!R$2:R$651))/STDEV(Rankings!R$2:R$651)</f>
        <v>-1.1734965761409351</v>
      </c>
      <c r="L399" s="157">
        <f>(VLOOKUP($A399,Hitters!$A$1:$R$401,15,FALSE)-AVERAGE(Rankings!S$2:S$651))/STDEV(Rankings!S$2:S$651)</f>
        <v>-0.31257813240614513</v>
      </c>
      <c r="M399" s="157">
        <f>(VLOOKUP($A399,Hitters!$A$1:$R$401,9,FALSE)-AVERAGE(Rankings!T$2:T$651))/STDEV(Rankings!T$2:T$651)</f>
        <v>-1.4268856278065207</v>
      </c>
      <c r="N399" s="157">
        <f>(VLOOKUP($A399,Hitters!$A$1:$R$401,10,FALSE)-AVERAGE(Rankings!U$2:U$651))/STDEV(Rankings!U$2:U$651)</f>
        <v>-1.6200446108773696</v>
      </c>
      <c r="O399" s="157">
        <f>(VLOOKUP($A399,Hitters!$A$1:$R$401,11,FALSE)-AVERAGE(Rankings!V$2:V$651))/STDEV(Rankings!V$2:V$651)</f>
        <v>-0.53258222480552375</v>
      </c>
      <c r="P399" s="157">
        <f>(VLOOKUP($A399,Hitters!$A$1:$R$401,12,FALSE)-AVERAGE(Rankings!W$2:W$651))/STDEV(Rankings!W$2:W$651)</f>
        <v>-0.80829647488677114</v>
      </c>
      <c r="Q399" s="157">
        <f>(VLOOKUP($A399,Hitters!$A$1:$R$401,13,FALSE)-AVERAGE(Rankings!X$2:X$651))/STDEV(Rankings!X$2:X$651)</f>
        <v>-1.3457405041939006</v>
      </c>
      <c r="R399" s="118">
        <f>(VLOOKUP($A399,Hitters!$A1:$R401,16,FALSE)-AVERAGE(Rankings!Y2:Y651))/STDEV(Rankings!Y2:Y651)</f>
        <v>-2.1060647062933895</v>
      </c>
      <c r="S399" s="118">
        <f>(VLOOKUP($A399,Hitters!$A1:$R401,17,FALSE)-AVERAGE(Rankings!Z2:Z651))/STDEV(Rankings!Z2:Z651)</f>
        <v>-1.6573831221312871</v>
      </c>
      <c r="T399" s="118">
        <f>IFERROR((VLOOKUP($A399,Hitters!$A1:$R401,18,FALSE)-AVERAGE(Rankings!AA2:AA651))/STDEV(Rankings!AA2:AA651),0)</f>
        <v>0</v>
      </c>
      <c r="U399" s="67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</row>
    <row r="400" spans="1:37" ht="18.600000000000001" customHeight="1">
      <c r="A400" s="26" t="s">
        <v>733</v>
      </c>
      <c r="B400" s="27" t="s">
        <v>258</v>
      </c>
      <c r="C400" s="124" t="s">
        <v>27</v>
      </c>
      <c r="D400" s="67">
        <f>(F400*Settings!$C$2)+(G400*Settings!$C$3)+(H400*Settings!$C$4)+(I400*Settings!$C$5)+(J400*Settings!$C$6)+(M400*Settings!$C$9)+(N400*Settings!$C$10)+(O400*Settings!$C$11)+(P400*Settings!$C$12)+(Q400*Settings!$C$13)+(T400*Settings!$C$16)+(K400*Settings!$C$7)+(L400*Settings!$C$8)+(R400*Settings!$C$14)+(S400*Settings!$C$15)</f>
        <v>-6.0931831298726093</v>
      </c>
      <c r="E400" s="67"/>
      <c r="F400" s="118">
        <f>(VLOOKUP($A400,Hitters!$A1:$R401,4,FALSE)-AVERAGE(Rankings!M2:M651))/STDEV(Rankings!M2:M651)</f>
        <v>-1.6679175109262863</v>
      </c>
      <c r="G400" s="118">
        <f>(VLOOKUP($A400,Hitters!$A1:$R401,5,FALSE)-AVERAGE(Rankings!N2:N651))/STDEV(Rankings!N2:N651)</f>
        <v>-1.4945663018347826</v>
      </c>
      <c r="H400" s="118">
        <f>(VLOOKUP($A400,Hitters!$A1:$R401,6,FALSE)-AVERAGE(Rankings!O2:O651))/STDEV(Rankings!O2:O651)</f>
        <v>-1.2072195724116814</v>
      </c>
      <c r="I400" s="118">
        <f>(VLOOKUP($A400,Hitters!$A1:$R401,7,FALSE)-AVERAGE(Rankings!P2:P651))/STDEV(Rankings!P2:P651)</f>
        <v>-1.5320059835098589</v>
      </c>
      <c r="J400" s="118">
        <f>(VLOOKUP($A400,Hitters!$A1:$R401,8,FALSE)-AVERAGE(Rankings!Q2:Q651))/STDEV(Rankings!Q2:Q651)</f>
        <v>-0.38599241623282493</v>
      </c>
      <c r="K400" s="157">
        <f>(VLOOKUP($A400,Hitters!$A$1:$R$401,14,FALSE)-AVERAGE(Rankings!R$2:R$651))/STDEV(Rankings!R$2:R$651)</f>
        <v>-1.4733988558834614</v>
      </c>
      <c r="L400" s="157">
        <f>(VLOOKUP($A400,Hitters!$A$1:$R$401,15,FALSE)-AVERAGE(Rankings!S$2:S$651))/STDEV(Rankings!S$2:S$651)</f>
        <v>-1.1833990991318766</v>
      </c>
      <c r="M400" s="157">
        <f>(VLOOKUP($A400,Hitters!$A$1:$R$401,9,FALSE)-AVERAGE(Rankings!T$2:T$651))/STDEV(Rankings!T$2:T$651)</f>
        <v>-1.6212013658811877</v>
      </c>
      <c r="N400" s="157">
        <f>(VLOOKUP($A400,Hitters!$A$1:$R$401,10,FALSE)-AVERAGE(Rankings!U$2:U$651))/STDEV(Rankings!U$2:U$651)</f>
        <v>-1.556646857181043</v>
      </c>
      <c r="O400" s="157">
        <f>(VLOOKUP($A400,Hitters!$A$1:$R$401,11,FALSE)-AVERAGE(Rankings!V$2:V$651))/STDEV(Rankings!V$2:V$651)</f>
        <v>-0.56644154878843667</v>
      </c>
      <c r="P400" s="157">
        <f>(VLOOKUP($A400,Hitters!$A$1:$R$401,12,FALSE)-AVERAGE(Rankings!W$2:W$651))/STDEV(Rankings!W$2:W$651)</f>
        <v>-1.2026634034071428</v>
      </c>
      <c r="Q400" s="157">
        <f>(VLOOKUP($A400,Hitters!$A$1:$R$401,13,FALSE)-AVERAGE(Rankings!X$2:X$651))/STDEV(Rankings!X$2:X$651)</f>
        <v>-1.1988759217385201</v>
      </c>
      <c r="R400" s="118">
        <f>(VLOOKUP($A400,Hitters!$A1:$R401,16,FALSE)-AVERAGE(Rankings!Y2:Y651))/STDEV(Rankings!Y2:Y651)</f>
        <v>-1.3339742874862786</v>
      </c>
      <c r="S400" s="118">
        <f>(VLOOKUP($A400,Hitters!$A1:$R401,17,FALSE)-AVERAGE(Rankings!Z2:Z651))/STDEV(Rankings!Z2:Z651)</f>
        <v>-1.4207045427778686</v>
      </c>
      <c r="T400" s="118">
        <f>IFERROR((VLOOKUP($A400,Hitters!$A1:$R401,18,FALSE)-AVERAGE(Rankings!AA2:AA651))/STDEV(Rankings!AA2:AA651),0)</f>
        <v>0</v>
      </c>
      <c r="U400" s="67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</row>
    <row r="401" spans="1:37" ht="18.600000000000001" customHeight="1">
      <c r="A401" s="26" t="s">
        <v>734</v>
      </c>
      <c r="B401" s="27" t="s">
        <v>223</v>
      </c>
      <c r="C401" s="124" t="s">
        <v>27</v>
      </c>
      <c r="D401" s="67">
        <f>(F401*Settings!$C$2)+(G401*Settings!$C$3)+(H401*Settings!$C$4)+(I401*Settings!$C$5)+(J401*Settings!$C$6)+(M401*Settings!$C$9)+(N401*Settings!$C$10)+(O401*Settings!$C$11)+(P401*Settings!$C$12)+(Q401*Settings!$C$13)+(T401*Settings!$C$16)+(K401*Settings!$C$7)+(L401*Settings!$C$8)+(R401*Settings!$C$14)+(S401*Settings!$C$15)</f>
        <v>-6.4706632512511657</v>
      </c>
      <c r="E401" s="67"/>
      <c r="F401" s="118">
        <f>(VLOOKUP($A401,Hitters!$A1:$R401,4,FALSE)-AVERAGE(Rankings!M2:M651))/STDEV(Rankings!M2:M651)</f>
        <v>-1.7178513065907315</v>
      </c>
      <c r="G401" s="118">
        <f>(VLOOKUP($A401,Hitters!$A1:$R401,5,FALSE)-AVERAGE(Rankings!N2:N651))/STDEV(Rankings!N2:N651)</f>
        <v>-1.5742841463789286</v>
      </c>
      <c r="H401" s="118">
        <f>(VLOOKUP($A401,Hitters!$A1:$R401,6,FALSE)-AVERAGE(Rankings!O2:O651))/STDEV(Rankings!O2:O651)</f>
        <v>-1.1783113113428128</v>
      </c>
      <c r="I401" s="118">
        <f>(VLOOKUP($A401,Hitters!$A1:$R401,7,FALSE)-AVERAGE(Rankings!P2:P651))/STDEV(Rankings!P2:P651)</f>
        <v>-1.543663020626926</v>
      </c>
      <c r="J401" s="118">
        <f>(VLOOKUP($A401,Hitters!$A1:$R401,8,FALSE)-AVERAGE(Rankings!Q2:Q651))/STDEV(Rankings!Q2:Q651)</f>
        <v>-0.37435078795324811</v>
      </c>
      <c r="K401" s="158">
        <f>(VLOOKUP($A401,Hitters!$A$1:$R$401,14,FALSE)-AVERAGE(Rankings!R$2:R$651))/STDEV(Rankings!R$2:R$651)</f>
        <v>-1.8000539849492507</v>
      </c>
      <c r="L401" s="158">
        <f>(VLOOKUP($A401,Hitters!$A$1:$R$401,15,FALSE)-AVERAGE(Rankings!S$2:S$651))/STDEV(Rankings!S$2:S$651)</f>
        <v>-2.3318604073144589</v>
      </c>
      <c r="M401" s="158">
        <f>(VLOOKUP($A401,Hitters!$A$1:$R$401,9,FALSE)-AVERAGE(Rankings!T$2:T$651))/STDEV(Rankings!T$2:T$651)</f>
        <v>-1.6865923410957704</v>
      </c>
      <c r="N401" s="158">
        <f>(VLOOKUP($A401,Hitters!$A$1:$R$401,10,FALSE)-AVERAGE(Rankings!U$2:U$651))/STDEV(Rankings!U$2:U$651)</f>
        <v>-1.6180365372308798</v>
      </c>
      <c r="O401" s="158">
        <f>(VLOOKUP($A401,Hitters!$A$1:$R$401,11,FALSE)-AVERAGE(Rankings!V$2:V$651))/STDEV(Rankings!V$2:V$651)</f>
        <v>-1.3881262702329273</v>
      </c>
      <c r="P401" s="158">
        <f>(VLOOKUP($A401,Hitters!$A$1:$R$401,12,FALSE)-AVERAGE(Rankings!W$2:W$651))/STDEV(Rankings!W$2:W$651)</f>
        <v>-1.5094485282434946</v>
      </c>
      <c r="Q401" s="158">
        <f>(VLOOKUP($A401,Hitters!$A$1:$R$401,13,FALSE)-AVERAGE(Rankings!X$2:X$651))/STDEV(Rankings!X$2:X$651)</f>
        <v>-1.0648248153482902</v>
      </c>
      <c r="R401" s="118">
        <f>(VLOOKUP($A401,Hitters!$A1:$R401,16,FALSE)-AVERAGE(Rankings!Y2:Y651))/STDEV(Rankings!Y2:Y651)</f>
        <v>-1.6016007781538744</v>
      </c>
      <c r="S401" s="118">
        <f>(VLOOKUP($A401,Hitters!$A1:$R401,17,FALSE)-AVERAGE(Rankings!Z2:Z651))/STDEV(Rankings!Z2:Z651)</f>
        <v>-2.0486677382385992</v>
      </c>
      <c r="T401" s="118">
        <f>IFERROR((VLOOKUP($A401,Hitters!$A1:$R401,18,FALSE)-AVERAGE(Rankings!AA2:AA651))/STDEV(Rankings!AA2:AA651),0)</f>
        <v>0</v>
      </c>
      <c r="U401" s="67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</row>
    <row r="402" spans="1:37" ht="18.600000000000001" customHeight="1">
      <c r="A402" s="26" t="s">
        <v>92</v>
      </c>
      <c r="B402" s="27" t="s">
        <v>68</v>
      </c>
      <c r="C402" s="127" t="s">
        <v>31</v>
      </c>
      <c r="D402" s="67">
        <f>(V402*Settings!$G$2)+(Y402*Settings!$G$5)+(Z402*Settings!$G$6)+(AA402*Settings!$G$7)+(AB402*Settings!$G$8)+(AC402*Settings!$G$9)+(AD402*Settings!$G$10)+(AE402*Settings!$G$11)+(AF402*Settings!$G$12)+(AG402*Settings!$G$13)+(AH402*Settings!$G$14)+(AI402*Settings!$G$15)+(AJ402*Settings!$G$16)+(AK402*Settings!$G$17)+(W402*Settings!$G$3)+(X402*Settings!$G$4)</f>
        <v>8.0775543428779102</v>
      </c>
      <c r="E402" s="67"/>
      <c r="F402" s="67"/>
      <c r="G402" s="67"/>
      <c r="H402" s="67"/>
      <c r="I402" s="67"/>
      <c r="J402" s="67"/>
      <c r="K402" s="72"/>
      <c r="L402" s="72"/>
      <c r="M402" s="67"/>
      <c r="N402" s="67"/>
      <c r="O402" s="67"/>
      <c r="P402" s="67"/>
      <c r="Q402" s="67"/>
      <c r="R402" s="72"/>
      <c r="S402" s="72"/>
      <c r="T402" s="67"/>
      <c r="U402" s="67"/>
      <c r="V402" s="118">
        <f>(VLOOKUP($A402,Pitchers!$A1:$S251,4,FALSE)-AVERAGE(Rankings!AC2:AC651))/STDEV(Rankings!AC2:AC651)</f>
        <v>1.6924906233976151</v>
      </c>
      <c r="W402" s="118">
        <f>(VLOOKUP($A402,Pitchers!$A1:$S251,5,FALSE)-AVERAGE(Rankings!AD2:AD651))/STDEV(Rankings!AD2:AD651)*-1</f>
        <v>1.5115607767020867</v>
      </c>
      <c r="X402" s="118">
        <f>(VLOOKUP($A402,Pitchers!$A1:$S251,6,FALSE)-AVERAGE(Rankings!AE2:AE651))/STDEV(Rankings!AE2:AE651)*-1</f>
        <v>2.0569469937546696</v>
      </c>
      <c r="Y402" s="118">
        <f>(VLOOKUP($A402,Pitchers!$A1:$S251,7,FALSE)-AVERAGE(Rankings!AF2:AF651))/STDEV(Rankings!AF2:AF651)</f>
        <v>2.6858900722196668</v>
      </c>
      <c r="Z402" s="118">
        <f>(VLOOKUP($A402,Pitchers!$A1:$S251,8,FALSE)-AVERAGE(Rankings!AG2:AG651))/STDEV(Rankings!AG2:AG651)</f>
        <v>2.3058693751986872</v>
      </c>
      <c r="AA402" s="118">
        <f>(VLOOKUP($A402,Pitchers!$A1:$S251,9,FALSE)-AVERAGE(Rankings!AH2:AH651))/STDEV(Rankings!AH2:AH651)</f>
        <v>-0.48271287499720011</v>
      </c>
      <c r="AB402" s="118">
        <f>(VLOOKUP($A402,Pitchers!$A1:$S251,10,FALSE)-AVERAGE(Rankings!AI2:AI651))/STDEV(Rankings!AI2:AI651)*-1</f>
        <v>-0.89347354919425359</v>
      </c>
      <c r="AC402" s="118">
        <f>(VLOOKUP($A402,Pitchers!$A1:$S251,11,FALSE)-AVERAGE(Rankings!AJ2:AJ651))/STDEV(Rankings!AJ2:AJ651)*-1</f>
        <v>-1.0929658508125497</v>
      </c>
      <c r="AD402" s="118">
        <f>(VLOOKUP($A402,Pitchers!$A1:$S251,12,FALSE)-AVERAGE(Rankings!AK2:AK651))/STDEV(Rankings!AK2:AK651)*-1</f>
        <v>-0.85953239136780313</v>
      </c>
      <c r="AE402" s="118">
        <f>IFERROR((VLOOKUP($A402,Pitchers!$A1:$S251,13,FALSE)-AVERAGE(Rankings!AL2:AL651))/STDEV(Rankings!AL2:AL651)*-1,0)</f>
        <v>-1.7610299390475292</v>
      </c>
      <c r="AF402" s="118">
        <f>(VLOOKUP($A402,Pitchers!$A1:$S251,14,FALSE)-AVERAGE(Rankings!AM2:AM651))/STDEV(Rankings!AM2:AM651)</f>
        <v>-0.58886059139702529</v>
      </c>
      <c r="AG402" s="118">
        <f>(VLOOKUP($A402,Pitchers!$A1:$S251,15,FALSE)-AVERAGE(Rankings!AN2:AN651))/STDEV(Rankings!AN2:AN651)</f>
        <v>1.1697620433825622</v>
      </c>
      <c r="AH402" s="118">
        <f>(VLOOKUP($A402,Pitchers!$A1:$S251,16,FALSE)-AVERAGE(Rankings!AO2:AO651))/STDEV(Rankings!AO2:AO651)*-1</f>
        <v>-0.64698305840796322</v>
      </c>
      <c r="AI402" s="118">
        <f>IFERROR((VLOOKUP($A402,Pitchers!$A1:$S251,17,FALSE)-AVERAGE(Rankings!AP2:AP651))/STDEV(Rankings!AP2:AP651),0)</f>
        <v>2.2304932529169519</v>
      </c>
      <c r="AJ402" s="118">
        <f>(VLOOKUP($A402,Pitchers!$A1:$S251,18,FALSE)-AVERAGE(Rankings!AQ2:AQ651))/STDEV(Rankings!AQ2:AQ651)</f>
        <v>-0.69471541349839372</v>
      </c>
      <c r="AK402" s="118">
        <f>IFERROR((VLOOKUP($A402,Pitchers!$A1:$S251,19,FALSE)-AVERAGE(Rankings!AR2:AR651))/STDEV(Rankings!AR2:AR651)*-1,0)</f>
        <v>0.47686441955275594</v>
      </c>
    </row>
    <row r="403" spans="1:37" ht="18.600000000000001" customHeight="1">
      <c r="A403" s="26" t="s">
        <v>96</v>
      </c>
      <c r="B403" s="27" t="s">
        <v>97</v>
      </c>
      <c r="C403" s="127" t="s">
        <v>31</v>
      </c>
      <c r="D403" s="67">
        <f>(V403*Settings!$G$2)+(Y403*Settings!$G$5)+(Z403*Settings!$G$6)+(AA403*Settings!$G$7)+(AB403*Settings!$G$8)+(AC403*Settings!$G$9)+(AD403*Settings!$G$10)+(AE403*Settings!$G$11)+(AF403*Settings!$G$12)+(AG403*Settings!$G$13)+(AH403*Settings!$G$14)+(AI403*Settings!$G$15)+(AJ403*Settings!$G$16)+(AK403*Settings!$G$17)+(W403*Settings!$G$3)+(X403*Settings!$G$4)</f>
        <v>7.3512602432637291</v>
      </c>
      <c r="E403" s="67"/>
      <c r="F403" s="67"/>
      <c r="G403" s="67"/>
      <c r="H403" s="67"/>
      <c r="I403" s="67"/>
      <c r="J403" s="67"/>
      <c r="K403" s="72"/>
      <c r="L403" s="72"/>
      <c r="M403" s="67"/>
      <c r="N403" s="67"/>
      <c r="O403" s="67"/>
      <c r="P403" s="67"/>
      <c r="Q403" s="67"/>
      <c r="R403" s="72"/>
      <c r="S403" s="72"/>
      <c r="T403" s="67"/>
      <c r="U403" s="67"/>
      <c r="V403" s="118">
        <f>(VLOOKUP($A403,Pitchers!$A1:$S251,4,FALSE)-AVERAGE(Rankings!AC2:AC651))/STDEV(Rankings!AC2:AC651)</f>
        <v>1.6039542865745873</v>
      </c>
      <c r="W403" s="118">
        <f>(VLOOKUP($A403,Pitchers!$A1:$S251,5,FALSE)-AVERAGE(Rankings!AD2:AD651))/STDEV(Rankings!AD2:AD651)*-1</f>
        <v>1.7038318032947148</v>
      </c>
      <c r="X403" s="118">
        <f>(VLOOKUP($A403,Pitchers!$A1:$S251,6,FALSE)-AVERAGE(Rankings!AE2:AE651))/STDEV(Rankings!AE2:AE651)*-1</f>
        <v>1.8294357509560137</v>
      </c>
      <c r="Y403" s="118">
        <f>(VLOOKUP($A403,Pitchers!$A1:$S251,7,FALSE)-AVERAGE(Rankings!AF2:AF651))/STDEV(Rankings!AF2:AF651)</f>
        <v>2.4967549407388119</v>
      </c>
      <c r="Z403" s="118">
        <f>(VLOOKUP($A403,Pitchers!$A1:$S251,8,FALSE)-AVERAGE(Rankings!AG2:AG651))/STDEV(Rankings!AG2:AG651)</f>
        <v>1.8039506232713882</v>
      </c>
      <c r="AA403" s="118">
        <f>(VLOOKUP($A403,Pitchers!$A1:$S251,9,FALSE)-AVERAGE(Rankings!AH2:AH651))/STDEV(Rankings!AH2:AH651)</f>
        <v>-0.48271287499720011</v>
      </c>
      <c r="AB403" s="118">
        <f>(VLOOKUP($A403,Pitchers!$A1:$S251,10,FALSE)-AVERAGE(Rankings!AI2:AI651))/STDEV(Rankings!AI2:AI651)*-1</f>
        <v>-0.74248330315633693</v>
      </c>
      <c r="AC403" s="118">
        <f>(VLOOKUP($A403,Pitchers!$A1:$S251,11,FALSE)-AVERAGE(Rankings!AJ2:AJ651))/STDEV(Rankings!AJ2:AJ651)*-1</f>
        <v>-1.0157911544158689</v>
      </c>
      <c r="AD403" s="118">
        <f>(VLOOKUP($A403,Pitchers!$A1:$S251,12,FALSE)-AVERAGE(Rankings!AK2:AK651))/STDEV(Rankings!AK2:AK651)*-1</f>
        <v>-1.0834952113747223</v>
      </c>
      <c r="AE403" s="118">
        <f>IFERROR((VLOOKUP($A403,Pitchers!$A1:$S251,13,FALSE)-AVERAGE(Rankings!AL2:AL651))/STDEV(Rankings!AL2:AL651)*-1,0)</f>
        <v>-0.74685865375555016</v>
      </c>
      <c r="AF403" s="118">
        <f>(VLOOKUP($A403,Pitchers!$A1:$S251,14,FALSE)-AVERAGE(Rankings!AM2:AM651))/STDEV(Rankings!AM2:AM651)</f>
        <v>-0.56966117874399058</v>
      </c>
      <c r="AG403" s="118">
        <f>(VLOOKUP($A403,Pitchers!$A1:$S251,15,FALSE)-AVERAGE(Rankings!AN2:AN651))/STDEV(Rankings!AN2:AN651)</f>
        <v>1.1697620433825622</v>
      </c>
      <c r="AH403" s="118">
        <f>(VLOOKUP($A403,Pitchers!$A1:$S251,16,FALSE)-AVERAGE(Rankings!AO2:AO651))/STDEV(Rankings!AO2:AO651)*-1</f>
        <v>-0.63893431378046439</v>
      </c>
      <c r="AI403" s="118">
        <f>IFERROR((VLOOKUP($A403,Pitchers!$A1:$S251,17,FALSE)-AVERAGE(Rankings!AP2:AP651))/STDEV(Rankings!AP2:AP651),0)</f>
        <v>1.9993940612639343</v>
      </c>
      <c r="AJ403" s="118">
        <f>(VLOOKUP($A403,Pitchers!$A1:$S251,18,FALSE)-AVERAGE(Rankings!AQ2:AQ651))/STDEV(Rankings!AQ2:AQ651)</f>
        <v>-0.69471541349839372</v>
      </c>
      <c r="AK403" s="118">
        <f>IFERROR((VLOOKUP($A403,Pitchers!$A1:$S251,19,FALSE)-AVERAGE(Rankings!AR2:AR651))/STDEV(Rankings!AR2:AR651)*-1,0)</f>
        <v>0.47686441955275594</v>
      </c>
    </row>
    <row r="404" spans="1:37" ht="18.600000000000001" customHeight="1">
      <c r="A404" s="26" t="s">
        <v>104</v>
      </c>
      <c r="B404" s="27" t="s">
        <v>68</v>
      </c>
      <c r="C404" s="127" t="s">
        <v>31</v>
      </c>
      <c r="D404" s="67">
        <f>(V404*Settings!$G$2)+(Y404*Settings!$G$5)+(Z404*Settings!$G$6)+(AA404*Settings!$G$7)+(AB404*Settings!$G$8)+(AC404*Settings!$G$9)+(AD404*Settings!$G$10)+(AE404*Settings!$G$11)+(AF404*Settings!$G$12)+(AG404*Settings!$G$13)+(AH404*Settings!$G$14)+(AI404*Settings!$G$15)+(AJ404*Settings!$G$16)+(AK404*Settings!$G$17)+(W404*Settings!$G$3)+(X404*Settings!$G$4)</f>
        <v>6.325478499601596</v>
      </c>
      <c r="E404" s="67"/>
      <c r="F404" s="67"/>
      <c r="G404" s="67"/>
      <c r="H404" s="67"/>
      <c r="I404" s="67"/>
      <c r="J404" s="67"/>
      <c r="K404" s="72"/>
      <c r="L404" s="72"/>
      <c r="M404" s="67"/>
      <c r="N404" s="67"/>
      <c r="O404" s="67"/>
      <c r="P404" s="67"/>
      <c r="Q404" s="67"/>
      <c r="R404" s="72"/>
      <c r="S404" s="72"/>
      <c r="T404" s="67"/>
      <c r="U404" s="67"/>
      <c r="V404" s="118">
        <f>(VLOOKUP($A404,Pitchers!$A1:$S251,4,FALSE)-AVERAGE(Rankings!AC2:AC651))/STDEV(Rankings!AC2:AC651)</f>
        <v>0.70722894601204056</v>
      </c>
      <c r="W404" s="118">
        <f>(VLOOKUP($A404,Pitchers!$A1:$S251,5,FALSE)-AVERAGE(Rankings!AD2:AD651))/STDEV(Rankings!AD2:AD651)*-1</f>
        <v>1.7710433134169972</v>
      </c>
      <c r="X404" s="118">
        <f>(VLOOKUP($A404,Pitchers!$A1:$S251,6,FALSE)-AVERAGE(Rankings!AE2:AE651))/STDEV(Rankings!AE2:AE651)*-1</f>
        <v>2.1706386182444208</v>
      </c>
      <c r="Y404" s="118">
        <f>(VLOOKUP($A404,Pitchers!$A1:$S251,7,FALSE)-AVERAGE(Rankings!AF2:AF651))/STDEV(Rankings!AF2:AF651)</f>
        <v>1.5574037647115462</v>
      </c>
      <c r="Z404" s="118">
        <f>(VLOOKUP($A404,Pitchers!$A1:$S251,8,FALSE)-AVERAGE(Rankings!AG2:AG651))/STDEV(Rankings!AG2:AG651)</f>
        <v>1.3091056782258317</v>
      </c>
      <c r="AA404" s="118">
        <f>(VLOOKUP($A404,Pitchers!$A1:$S251,9,FALSE)-AVERAGE(Rankings!AH2:AH651))/STDEV(Rankings!AH2:AH651)</f>
        <v>-0.48271287499720011</v>
      </c>
      <c r="AB404" s="118">
        <f>(VLOOKUP($A404,Pitchers!$A1:$S251,10,FALSE)-AVERAGE(Rankings!AI2:AI651))/STDEV(Rankings!AI2:AI651)*-1</f>
        <v>-4.8822928395474585E-2</v>
      </c>
      <c r="AC404" s="118">
        <f>(VLOOKUP($A404,Pitchers!$A1:$S251,11,FALSE)-AVERAGE(Rankings!AJ2:AJ651))/STDEV(Rankings!AJ2:AJ651)*-1</f>
        <v>-0.14415606047067564</v>
      </c>
      <c r="AD404" s="118">
        <f>(VLOOKUP($A404,Pitchers!$A1:$S251,12,FALSE)-AVERAGE(Rankings!AK2:AK651))/STDEV(Rankings!AK2:AK651)*-1</f>
        <v>-0.41058516656094907</v>
      </c>
      <c r="AE404" s="118">
        <f>IFERROR((VLOOKUP($A404,Pitchers!$A1:$S251,13,FALSE)-AVERAGE(Rankings!AL2:AL651))/STDEV(Rankings!AL2:AL651)*-1,0)</f>
        <v>-0.15574167604251088</v>
      </c>
      <c r="AF404" s="118">
        <f>(VLOOKUP($A404,Pitchers!$A1:$S251,14,FALSE)-AVERAGE(Rankings!AM2:AM651))/STDEV(Rankings!AM2:AM651)</f>
        <v>-0.9349176063232737</v>
      </c>
      <c r="AG404" s="118">
        <f>(VLOOKUP($A404,Pitchers!$A1:$S251,15,FALSE)-AVERAGE(Rankings!AN2:AN651))/STDEV(Rankings!AN2:AN651)</f>
        <v>0.74792218900357188</v>
      </c>
      <c r="AH404" s="118">
        <f>(VLOOKUP($A404,Pitchers!$A1:$S251,16,FALSE)-AVERAGE(Rankings!AO2:AO651))/STDEV(Rankings!AO2:AO651)*-1</f>
        <v>-8.0428091342783531E-2</v>
      </c>
      <c r="AI404" s="118">
        <f>IFERROR((VLOOKUP($A404,Pitchers!$A1:$S251,17,FALSE)-AVERAGE(Rankings!AP2:AP651))/STDEV(Rankings!AP2:AP651),0)</f>
        <v>0.95265066377673846</v>
      </c>
      <c r="AJ404" s="118">
        <f>(VLOOKUP($A404,Pitchers!$A1:$S251,18,FALSE)-AVERAGE(Rankings!AQ2:AQ651))/STDEV(Rankings!AQ2:AQ651)</f>
        <v>-0.69471541349839372</v>
      </c>
      <c r="AK404" s="118">
        <f>IFERROR((VLOOKUP($A404,Pitchers!$A1:$S251,19,FALSE)-AVERAGE(Rankings!AR2:AR651))/STDEV(Rankings!AR2:AR651)*-1,0)</f>
        <v>0.47686441955275594</v>
      </c>
    </row>
    <row r="405" spans="1:37" ht="18.600000000000001" customHeight="1">
      <c r="A405" s="26" t="s">
        <v>85</v>
      </c>
      <c r="B405" s="27" t="s">
        <v>86</v>
      </c>
      <c r="C405" s="127" t="s">
        <v>31</v>
      </c>
      <c r="D405" s="67">
        <f>(V405*Settings!$G$2)+(Y405*Settings!$G$5)+(Z405*Settings!$G$6)+(AA405*Settings!$G$7)+(AB405*Settings!$G$8)+(AC405*Settings!$G$9)+(AD405*Settings!$G$10)+(AE405*Settings!$G$11)+(AF405*Settings!$G$12)+(AG405*Settings!$G$13)+(AH405*Settings!$G$14)+(AI405*Settings!$G$15)+(AJ405*Settings!$G$16)+(AK405*Settings!$G$17)+(W405*Settings!$G$3)+(X405*Settings!$G$4)</f>
        <v>8.5895507531178339</v>
      </c>
      <c r="E405" s="67"/>
      <c r="F405" s="67"/>
      <c r="G405" s="67"/>
      <c r="H405" s="67"/>
      <c r="I405" s="67"/>
      <c r="J405" s="67"/>
      <c r="K405" s="72"/>
      <c r="L405" s="72"/>
      <c r="M405" s="67"/>
      <c r="N405" s="67"/>
      <c r="O405" s="67"/>
      <c r="P405" s="67"/>
      <c r="Q405" s="67"/>
      <c r="R405" s="72"/>
      <c r="S405" s="72"/>
      <c r="T405" s="67"/>
      <c r="U405" s="67"/>
      <c r="V405" s="118">
        <f>(VLOOKUP($A405,Pitchers!$A1:$S251,4,FALSE)-AVERAGE(Rankings!AC2:AC651))/STDEV(Rankings!AC2:AC651)</f>
        <v>0.6683325165358438</v>
      </c>
      <c r="W405" s="118">
        <f>(VLOOKUP($A405,Pitchers!$A1:$S251,5,FALSE)-AVERAGE(Rankings!AD2:AD651))/STDEV(Rankings!AD2:AD651)*-1</f>
        <v>2.8897858894449673</v>
      </c>
      <c r="X405" s="118">
        <f>(VLOOKUP($A405,Pitchers!$A1:$S251,6,FALSE)-AVERAGE(Rankings!AE2:AE651))/STDEV(Rankings!AE2:AE651)*-1</f>
        <v>3.294301054000317</v>
      </c>
      <c r="Y405" s="118">
        <f>(VLOOKUP($A405,Pitchers!$A1:$S251,7,FALSE)-AVERAGE(Rankings!AF2:AF651))/STDEV(Rankings!AF2:AF651)</f>
        <v>1.7948221163370761</v>
      </c>
      <c r="Z405" s="118">
        <f>(VLOOKUP($A405,Pitchers!$A1:$S251,8,FALSE)-AVERAGE(Rankings!AG2:AG651))/STDEV(Rankings!AG2:AG651)</f>
        <v>1.0933545683326751</v>
      </c>
      <c r="AA405" s="118">
        <f>(VLOOKUP($A405,Pitchers!$A1:$S251,9,FALSE)-AVERAGE(Rankings!AH2:AH651))/STDEV(Rankings!AH2:AH651)</f>
        <v>-0.48271287499720011</v>
      </c>
      <c r="AB405" s="118">
        <f>(VLOOKUP($A405,Pitchers!$A1:$S251,10,FALSE)-AVERAGE(Rankings!AI2:AI651))/STDEV(Rankings!AI2:AI651)*-1</f>
        <v>0.34800180711751116</v>
      </c>
      <c r="AC405" s="118">
        <f>(VLOOKUP($A405,Pitchers!$A1:$S251,11,FALSE)-AVERAGE(Rankings!AJ2:AJ651))/STDEV(Rankings!AJ2:AJ651)*-1</f>
        <v>-3.050392959365535E-2</v>
      </c>
      <c r="AD405" s="118">
        <f>(VLOOKUP($A405,Pitchers!$A1:$S251,12,FALSE)-AVERAGE(Rankings!AK2:AK651))/STDEV(Rankings!AK2:AK651)*-1</f>
        <v>0.40880442088191127</v>
      </c>
      <c r="AE405" s="118">
        <f>IFERROR((VLOOKUP($A405,Pitchers!$A1:$S251,13,FALSE)-AVERAGE(Rankings!AL2:AL651))/STDEV(Rankings!AL2:AL651)*-1,0)</f>
        <v>-0.19630852745419022</v>
      </c>
      <c r="AF405" s="118">
        <f>(VLOOKUP($A405,Pitchers!$A1:$S251,14,FALSE)-AVERAGE(Rankings!AM2:AM651))/STDEV(Rankings!AM2:AM651)</f>
        <v>-0.95177199846407423</v>
      </c>
      <c r="AG405" s="118">
        <f>(VLOOKUP($A405,Pitchers!$A1:$S251,15,FALSE)-AVERAGE(Rankings!AN2:AN651))/STDEV(Rankings!AN2:AN651)</f>
        <v>0.7295398508925699</v>
      </c>
      <c r="AH405" s="118">
        <f>(VLOOKUP($A405,Pitchers!$A1:$S251,16,FALSE)-AVERAGE(Rankings!AO2:AO651))/STDEV(Rankings!AO2:AO651)*-1</f>
        <v>4.8083531209614581E-2</v>
      </c>
      <c r="AI405" s="118">
        <f>IFERROR((VLOOKUP($A405,Pitchers!$A1:$S251,17,FALSE)-AVERAGE(Rankings!AP2:AP651))/STDEV(Rankings!AP2:AP651),0)</f>
        <v>1.4692253274717182</v>
      </c>
      <c r="AJ405" s="118">
        <f>(VLOOKUP($A405,Pitchers!$A1:$S251,18,FALSE)-AVERAGE(Rankings!AQ2:AQ651))/STDEV(Rankings!AQ2:AQ651)</f>
        <v>-0.69471541349839372</v>
      </c>
      <c r="AK405" s="118">
        <f>IFERROR((VLOOKUP($A405,Pitchers!$A1:$S251,19,FALSE)-AVERAGE(Rankings!AR2:AR651))/STDEV(Rankings!AR2:AR651)*-1,0)</f>
        <v>0.47686441955275594</v>
      </c>
    </row>
    <row r="406" spans="1:37" ht="18.600000000000001" customHeight="1">
      <c r="A406" s="26" t="s">
        <v>121</v>
      </c>
      <c r="B406" s="27" t="s">
        <v>91</v>
      </c>
      <c r="C406" s="127" t="s">
        <v>31</v>
      </c>
      <c r="D406" s="67">
        <f>(V406*Settings!$G$2)+(Y406*Settings!$G$5)+(Z406*Settings!$G$6)+(AA406*Settings!$G$7)+(AB406*Settings!$G$8)+(AC406*Settings!$G$9)+(AD406*Settings!$G$10)+(AE406*Settings!$G$11)+(AF406*Settings!$G$12)+(AG406*Settings!$G$13)+(AH406*Settings!$G$14)+(AI406*Settings!$G$15)+(AJ406*Settings!$G$16)+(AK406*Settings!$G$17)+(W406*Settings!$G$3)+(X406*Settings!$G$4)</f>
        <v>6.2381041552868828</v>
      </c>
      <c r="E406" s="67"/>
      <c r="F406" s="67"/>
      <c r="G406" s="67"/>
      <c r="H406" s="67"/>
      <c r="I406" s="67"/>
      <c r="J406" s="67"/>
      <c r="K406" s="72"/>
      <c r="L406" s="72"/>
      <c r="M406" s="67"/>
      <c r="N406" s="67"/>
      <c r="O406" s="67"/>
      <c r="P406" s="67"/>
      <c r="Q406" s="67"/>
      <c r="R406" s="72"/>
      <c r="S406" s="72"/>
      <c r="T406" s="67"/>
      <c r="U406" s="67"/>
      <c r="V406" s="118">
        <f>(VLOOKUP($A406,Pitchers!$A1:$S251,4,FALSE)-AVERAGE(Rankings!AC2:AC651))/STDEV(Rankings!AC2:AC651)</f>
        <v>1.6893981510894374</v>
      </c>
      <c r="W406" s="118">
        <f>(VLOOKUP($A406,Pitchers!$A1:$S251,5,FALSE)-AVERAGE(Rankings!AD2:AD651))/STDEV(Rankings!AD2:AD651)*-1</f>
        <v>0.85442153774986829</v>
      </c>
      <c r="X406" s="118">
        <f>(VLOOKUP($A406,Pitchers!$A1:$S251,6,FALSE)-AVERAGE(Rankings!AE2:AE651))/STDEV(Rankings!AE2:AE651)*-1</f>
        <v>1.7064054175687813</v>
      </c>
      <c r="Y406" s="118">
        <f>(VLOOKUP($A406,Pitchers!$A1:$S251,7,FALSE)-AVERAGE(Rankings!AF2:AF651))/STDEV(Rankings!AF2:AF651)</f>
        <v>2.176300449562488</v>
      </c>
      <c r="Z406" s="118">
        <f>(VLOOKUP($A406,Pitchers!$A1:$S251,8,FALSE)-AVERAGE(Rankings!AG2:AG651))/STDEV(Rankings!AG2:AG651)</f>
        <v>1.9836896254029455</v>
      </c>
      <c r="AA406" s="118">
        <f>(VLOOKUP($A406,Pitchers!$A1:$S251,9,FALSE)-AVERAGE(Rankings!AH2:AH651))/STDEV(Rankings!AH2:AH651)</f>
        <v>-0.48271287499720011</v>
      </c>
      <c r="AB406" s="118">
        <f>(VLOOKUP($A406,Pitchers!$A1:$S251,10,FALSE)-AVERAGE(Rankings!AI2:AI651))/STDEV(Rankings!AI2:AI651)*-1</f>
        <v>-1.1804058551329768</v>
      </c>
      <c r="AC406" s="118">
        <f>(VLOOKUP($A406,Pitchers!$A1:$S251,11,FALSE)-AVERAGE(Rankings!AJ2:AJ651))/STDEV(Rankings!AJ2:AJ651)*-1</f>
        <v>-1.3998001712569694</v>
      </c>
      <c r="AD406" s="118">
        <f>(VLOOKUP($A406,Pitchers!$A1:$S251,12,FALSE)-AVERAGE(Rankings!AK2:AK651))/STDEV(Rankings!AK2:AK651)*-1</f>
        <v>-0.26992079890748033</v>
      </c>
      <c r="AE406" s="118">
        <f>IFERROR((VLOOKUP($A406,Pitchers!$A1:$S251,13,FALSE)-AVERAGE(Rankings!AL2:AL651))/STDEV(Rankings!AL2:AL651)*-1,0)</f>
        <v>-1.3070675542025483</v>
      </c>
      <c r="AF406" s="118">
        <f>(VLOOKUP($A406,Pitchers!$A1:$S251,14,FALSE)-AVERAGE(Rankings!AM2:AM651))/STDEV(Rankings!AM2:AM651)</f>
        <v>-0.58886059139702529</v>
      </c>
      <c r="AG406" s="118">
        <f>(VLOOKUP($A406,Pitchers!$A1:$S251,15,FALSE)-AVERAGE(Rankings!AN2:AN651))/STDEV(Rankings!AN2:AN651)</f>
        <v>1.1697620433825622</v>
      </c>
      <c r="AH406" s="118">
        <f>(VLOOKUP($A406,Pitchers!$A1:$S251,16,FALSE)-AVERAGE(Rankings!AO2:AO651))/STDEV(Rankings!AO2:AO651)*-1</f>
        <v>-1.0003612749105317</v>
      </c>
      <c r="AI406" s="118">
        <f>IFERROR((VLOOKUP($A406,Pitchers!$A1:$S251,17,FALSE)-AVERAGE(Rankings!AP2:AP651))/STDEV(Rankings!AP2:AP651),0)</f>
        <v>1.9178296406805166</v>
      </c>
      <c r="AJ406" s="118">
        <f>(VLOOKUP($A406,Pitchers!$A1:$S251,18,FALSE)-AVERAGE(Rankings!AQ2:AQ651))/STDEV(Rankings!AQ2:AQ651)</f>
        <v>-0.69471541349839372</v>
      </c>
      <c r="AK406" s="118">
        <f>IFERROR((VLOOKUP($A406,Pitchers!$A1:$S251,19,FALSE)-AVERAGE(Rankings!AR2:AR651))/STDEV(Rankings!AR2:AR651)*-1,0)</f>
        <v>0.47686441955275594</v>
      </c>
    </row>
    <row r="407" spans="1:37" ht="18.600000000000001" customHeight="1">
      <c r="A407" s="26" t="s">
        <v>111</v>
      </c>
      <c r="B407" s="27" t="s">
        <v>73</v>
      </c>
      <c r="C407" s="127" t="s">
        <v>31</v>
      </c>
      <c r="D407" s="67">
        <f>(V407*Settings!$G$2)+(Y407*Settings!$G$5)+(Z407*Settings!$G$6)+(AA407*Settings!$G$7)+(AB407*Settings!$G$8)+(AC407*Settings!$G$9)+(AD407*Settings!$G$10)+(AE407*Settings!$G$11)+(AF407*Settings!$G$12)+(AG407*Settings!$G$13)+(AH407*Settings!$G$14)+(AI407*Settings!$G$15)+(AJ407*Settings!$G$16)+(AK407*Settings!$G$17)+(W407*Settings!$G$3)+(X407*Settings!$G$4)</f>
        <v>6.8420052628132417</v>
      </c>
      <c r="E407" s="67"/>
      <c r="F407" s="67"/>
      <c r="G407" s="67"/>
      <c r="H407" s="67"/>
      <c r="I407" s="67"/>
      <c r="J407" s="67"/>
      <c r="K407" s="72"/>
      <c r="L407" s="72"/>
      <c r="M407" s="67"/>
      <c r="N407" s="67"/>
      <c r="O407" s="67"/>
      <c r="P407" s="67"/>
      <c r="Q407" s="67"/>
      <c r="R407" s="72"/>
      <c r="S407" s="72"/>
      <c r="T407" s="67"/>
      <c r="U407" s="67"/>
      <c r="V407" s="118">
        <f>(VLOOKUP($A407,Pitchers!$A1:$S251,4,FALSE)-AVERAGE(Rankings!AC2:AC651))/STDEV(Rankings!AC2:AC651)</f>
        <v>1.0768934647067043</v>
      </c>
      <c r="W407" s="118">
        <f>(VLOOKUP($A407,Pitchers!$A1:$S251,5,FALSE)-AVERAGE(Rankings!AD2:AD651))/STDEV(Rankings!AD2:AD651)*-1</f>
        <v>1.6730411679082584</v>
      </c>
      <c r="X407" s="118">
        <f>(VLOOKUP($A407,Pitchers!$A1:$S251,6,FALSE)-AVERAGE(Rankings!AE2:AE651))/STDEV(Rankings!AE2:AE651)*-1</f>
        <v>1.4668055745410733</v>
      </c>
      <c r="Y407" s="118">
        <f>(VLOOKUP($A407,Pitchers!$A1:$S251,7,FALSE)-AVERAGE(Rankings!AF2:AF651))/STDEV(Rankings!AF2:AF651)</f>
        <v>2.3545676260884658</v>
      </c>
      <c r="Z407" s="118">
        <f>(VLOOKUP($A407,Pitchers!$A1:$S251,8,FALSE)-AVERAGE(Rankings!AG2:AG651))/STDEV(Rankings!AG2:AG651)</f>
        <v>1.8303037692726443</v>
      </c>
      <c r="AA407" s="118">
        <f>(VLOOKUP($A407,Pitchers!$A1:$S251,9,FALSE)-AVERAGE(Rankings!AH2:AH651))/STDEV(Rankings!AH2:AH651)</f>
        <v>-0.48271287499720011</v>
      </c>
      <c r="AB407" s="118">
        <f>(VLOOKUP($A407,Pitchers!$A1:$S251,10,FALSE)-AVERAGE(Rankings!AI2:AI651))/STDEV(Rankings!AI2:AI651)*-1</f>
        <v>-0.35943782565214411</v>
      </c>
      <c r="AC407" s="118">
        <f>(VLOOKUP($A407,Pitchers!$A1:$S251,11,FALSE)-AVERAGE(Rankings!AJ2:AJ651))/STDEV(Rankings!AJ2:AJ651)*-1</f>
        <v>-0.42773412836791136</v>
      </c>
      <c r="AD407" s="118">
        <f>(VLOOKUP($A407,Pitchers!$A1:$S251,12,FALSE)-AVERAGE(Rankings!AK2:AK651))/STDEV(Rankings!AK2:AK651)*-1</f>
        <v>-1.5207932262033914</v>
      </c>
      <c r="AE407" s="118">
        <f>IFERROR((VLOOKUP($A407,Pitchers!$A1:$S251,13,FALSE)-AVERAGE(Rankings!AL2:AL651))/STDEV(Rankings!AL2:AL651)*-1,0)</f>
        <v>-0.29482802373969647</v>
      </c>
      <c r="AF407" s="118">
        <f>(VLOOKUP($A407,Pitchers!$A1:$S251,14,FALSE)-AVERAGE(Rankings!AM2:AM651))/STDEV(Rankings!AM2:AM651)</f>
        <v>-0.61308160688713431</v>
      </c>
      <c r="AG407" s="118">
        <f>(VLOOKUP($A407,Pitchers!$A1:$S251,15,FALSE)-AVERAGE(Rankings!AN2:AN651))/STDEV(Rankings!AN2:AN651)</f>
        <v>0.98078232619652161</v>
      </c>
      <c r="AH407" s="118">
        <f>(VLOOKUP($A407,Pitchers!$A1:$S251,16,FALSE)-AVERAGE(Rankings!AO2:AO651))/STDEV(Rankings!AO2:AO651)*-1</f>
        <v>-0.38588178269190093</v>
      </c>
      <c r="AI407" s="118">
        <f>IFERROR((VLOOKUP($A407,Pitchers!$A1:$S251,17,FALSE)-AVERAGE(Rankings!AP2:AP651))/STDEV(Rankings!AP2:AP651),0)</f>
        <v>1.8090770799026261</v>
      </c>
      <c r="AJ407" s="118">
        <f>(VLOOKUP($A407,Pitchers!$A1:$S251,18,FALSE)-AVERAGE(Rankings!AQ2:AQ651))/STDEV(Rankings!AQ2:AQ651)</f>
        <v>-0.69471541349839372</v>
      </c>
      <c r="AK407" s="118">
        <f>IFERROR((VLOOKUP($A407,Pitchers!$A1:$S251,19,FALSE)-AVERAGE(Rankings!AR2:AR651))/STDEV(Rankings!AR2:AR651)*-1,0)</f>
        <v>0.47686441955275594</v>
      </c>
    </row>
    <row r="408" spans="1:37" ht="18.600000000000001" customHeight="1">
      <c r="A408" s="149" t="s">
        <v>745</v>
      </c>
      <c r="B408" s="27" t="s">
        <v>84</v>
      </c>
      <c r="C408" s="127" t="s">
        <v>31</v>
      </c>
      <c r="D408" s="67">
        <f>(V408*Settings!$G$2)+(Y408*Settings!$G$5)+(Z408*Settings!$G$6)+(AA408*Settings!$G$7)+(AB408*Settings!$G$8)+(AC408*Settings!$G$9)+(AD408*Settings!$G$10)+(AE408*Settings!$G$11)+(AF408*Settings!$G$12)+(AG408*Settings!$G$13)+(AH408*Settings!$G$14)+(AI408*Settings!$G$15)+(AJ408*Settings!$G$16)+(AK408*Settings!$G$17)+(W408*Settings!$G$3)+(X408*Settings!$G$4)</f>
        <v>6.3638067353409706</v>
      </c>
      <c r="E408" s="67"/>
      <c r="F408" s="67"/>
      <c r="G408" s="67"/>
      <c r="H408" s="67"/>
      <c r="I408" s="67"/>
      <c r="J408" s="67"/>
      <c r="K408" s="72"/>
      <c r="L408" s="72"/>
      <c r="M408" s="67"/>
      <c r="N408" s="67"/>
      <c r="O408" s="67"/>
      <c r="P408" s="67"/>
      <c r="Q408" s="67"/>
      <c r="R408" s="72"/>
      <c r="S408" s="72"/>
      <c r="T408" s="67"/>
      <c r="U408" s="67"/>
      <c r="V408" s="118">
        <f>(VLOOKUP($A408,Pitchers!$A1:$S251,4,FALSE)-AVERAGE(Rankings!AC2:AC651))/STDEV(Rankings!AC2:AC651)</f>
        <v>1.0937192629274672</v>
      </c>
      <c r="W408" s="118">
        <f>(VLOOKUP($A408,Pitchers!$A1:$S251,5,FALSE)-AVERAGE(Rankings!AD2:AD651))/STDEV(Rankings!AD2:AD651)*-1</f>
        <v>1.6323778764875809</v>
      </c>
      <c r="X408" s="118">
        <f>(VLOOKUP($A408,Pitchers!$A1:$S251,6,FALSE)-AVERAGE(Rankings!AE2:AE651))/STDEV(Rankings!AE2:AE651)*-1</f>
        <v>1.5875887148442289</v>
      </c>
      <c r="Y408" s="118">
        <f>(VLOOKUP($A408,Pitchers!$A1:$S251,7,FALSE)-AVERAGE(Rankings!AF2:AF651))/STDEV(Rankings!AF2:AF651)</f>
        <v>1.9451078694597015</v>
      </c>
      <c r="Z408" s="118">
        <f>(VLOOKUP($A408,Pitchers!$A1:$S251,8,FALSE)-AVERAGE(Rankings!AG2:AG651))/STDEV(Rankings!AG2:AG651)</f>
        <v>1.6814451495466598</v>
      </c>
      <c r="AA408" s="118">
        <f>(VLOOKUP($A408,Pitchers!$A1:$S251,9,FALSE)-AVERAGE(Rankings!AH2:AH651))/STDEV(Rankings!AH2:AH651)</f>
        <v>-0.48271287499720011</v>
      </c>
      <c r="AB408" s="118">
        <f>(VLOOKUP($A408,Pitchers!$A1:$S251,10,FALSE)-AVERAGE(Rankings!AI2:AI651))/STDEV(Rankings!AI2:AI651)*-1</f>
        <v>-0.3873511941671543</v>
      </c>
      <c r="AC408" s="118">
        <f>(VLOOKUP($A408,Pitchers!$A1:$S251,11,FALSE)-AVERAGE(Rankings!AJ2:AJ651))/STDEV(Rankings!AJ2:AJ651)*-1</f>
        <v>-0.58237381130368326</v>
      </c>
      <c r="AD408" s="118">
        <f>(VLOOKUP($A408,Pitchers!$A1:$S251,12,FALSE)-AVERAGE(Rankings!AK2:AK651))/STDEV(Rankings!AK2:AK651)*-1</f>
        <v>-0.93862662938077268</v>
      </c>
      <c r="AE408" s="118">
        <f>IFERROR((VLOOKUP($A408,Pitchers!$A1:$S251,13,FALSE)-AVERAGE(Rankings!AL2:AL651))/STDEV(Rankings!AL2:AL651)*-1,0)</f>
        <v>-0.47158359060487032</v>
      </c>
      <c r="AF408" s="118">
        <f>(VLOOKUP($A408,Pitchers!$A1:$S251,14,FALSE)-AVERAGE(Rankings!AM2:AM651))/STDEV(Rankings!AM2:AM651)</f>
        <v>-0.46165562675302618</v>
      </c>
      <c r="AG408" s="118">
        <f>(VLOOKUP($A408,Pitchers!$A1:$S251,15,FALSE)-AVERAGE(Rankings!AN2:AN651))/STDEV(Rankings!AN2:AN651)</f>
        <v>0.98503630345923576</v>
      </c>
      <c r="AH408" s="118">
        <f>(VLOOKUP($A408,Pitchers!$A1:$S251,16,FALSE)-AVERAGE(Rankings!AO2:AO651))/STDEV(Rankings!AO2:AO651)*-1</f>
        <v>-0.64123395510260728</v>
      </c>
      <c r="AI408" s="118">
        <f>IFERROR((VLOOKUP($A408,Pitchers!$A1:$S251,17,FALSE)-AVERAGE(Rankings!AP2:AP651))/STDEV(Rankings!AP2:AP651),0)</f>
        <v>1.333284626499355</v>
      </c>
      <c r="AJ408" s="118">
        <f>(VLOOKUP($A408,Pitchers!$A1:$S251,18,FALSE)-AVERAGE(Rankings!AQ2:AQ651))/STDEV(Rankings!AQ2:AQ651)</f>
        <v>-0.69471541349839372</v>
      </c>
      <c r="AK408" s="118">
        <f>IFERROR((VLOOKUP($A408,Pitchers!$A1:$S251,19,FALSE)-AVERAGE(Rankings!AR2:AR651))/STDEV(Rankings!AR2:AR651)*-1,0)</f>
        <v>0.47686441955275594</v>
      </c>
    </row>
    <row r="409" spans="1:37" ht="18.600000000000001" customHeight="1">
      <c r="A409" s="26" t="s">
        <v>110</v>
      </c>
      <c r="B409" s="27" t="s">
        <v>95</v>
      </c>
      <c r="C409" s="127" t="s">
        <v>31</v>
      </c>
      <c r="D409" s="67">
        <f>(V409*Settings!$G$2)+(Y409*Settings!$G$5)+(Z409*Settings!$G$6)+(AA409*Settings!$G$7)+(AB409*Settings!$G$8)+(AC409*Settings!$G$9)+(AD409*Settings!$G$10)+(AE409*Settings!$G$11)+(AF409*Settings!$G$12)+(AG409*Settings!$G$13)+(AH409*Settings!$G$14)+(AI409*Settings!$G$15)+(AJ409*Settings!$G$16)+(AK409*Settings!$G$17)+(W409*Settings!$G$3)+(X409*Settings!$G$4)</f>
        <v>6.4652290851847498</v>
      </c>
      <c r="E409" s="67"/>
      <c r="F409" s="67"/>
      <c r="G409" s="67"/>
      <c r="H409" s="67"/>
      <c r="I409" s="67"/>
      <c r="J409" s="67"/>
      <c r="K409" s="72"/>
      <c r="L409" s="72"/>
      <c r="M409" s="67"/>
      <c r="N409" s="67"/>
      <c r="O409" s="67"/>
      <c r="P409" s="67"/>
      <c r="Q409" s="67"/>
      <c r="R409" s="72"/>
      <c r="S409" s="72"/>
      <c r="T409" s="67"/>
      <c r="U409" s="67"/>
      <c r="V409" s="118">
        <f>(VLOOKUP($A409,Pitchers!$A1:$S251,4,FALSE)-AVERAGE(Rankings!AC2:AC651))/STDEV(Rankings!AC2:AC651)</f>
        <v>1.156095574743536</v>
      </c>
      <c r="W409" s="118">
        <f>(VLOOKUP($A409,Pitchers!$A1:$S251,5,FALSE)-AVERAGE(Rankings!AD2:AD651))/STDEV(Rankings!AD2:AD651)*-1</f>
        <v>1.4879607447609653</v>
      </c>
      <c r="X409" s="118">
        <f>(VLOOKUP($A409,Pitchers!$A1:$S251,6,FALSE)-AVERAGE(Rankings!AE2:AE651))/STDEV(Rankings!AE2:AE651)*-1</f>
        <v>2.094638496658181</v>
      </c>
      <c r="Y409" s="118">
        <f>(VLOOKUP($A409,Pitchers!$A1:$S251,7,FALSE)-AVERAGE(Rankings!AF2:AF651))/STDEV(Rankings!AF2:AF651)</f>
        <v>1.8752118916996439</v>
      </c>
      <c r="Z409" s="118">
        <f>(VLOOKUP($A409,Pitchers!$A1:$S251,8,FALSE)-AVERAGE(Rankings!AG2:AG651))/STDEV(Rankings!AG2:AG651)</f>
        <v>1.4901308270631599</v>
      </c>
      <c r="AA409" s="118">
        <f>(VLOOKUP($A409,Pitchers!$A1:$S251,9,FALSE)-AVERAGE(Rankings!AH2:AH651))/STDEV(Rankings!AH2:AH651)</f>
        <v>-0.48271287499720011</v>
      </c>
      <c r="AB409" s="118">
        <f>(VLOOKUP($A409,Pitchers!$A1:$S251,10,FALSE)-AVERAGE(Rankings!AI2:AI651))/STDEV(Rankings!AI2:AI651)*-1</f>
        <v>-0.48971444682619358</v>
      </c>
      <c r="AC409" s="118">
        <f>(VLOOKUP($A409,Pitchers!$A1:$S251,11,FALSE)-AVERAGE(Rankings!AJ2:AJ651))/STDEV(Rankings!AJ2:AJ651)*-1</f>
        <v>-0.74154957272491084</v>
      </c>
      <c r="AD409" s="118">
        <f>(VLOOKUP($A409,Pitchers!$A1:$S251,12,FALSE)-AVERAGE(Rankings!AK2:AK651))/STDEV(Rankings!AK2:AK651)*-1</f>
        <v>-8.3127948677147304E-2</v>
      </c>
      <c r="AE409" s="118">
        <f>IFERROR((VLOOKUP($A409,Pitchers!$A1:$S251,13,FALSE)-AVERAGE(Rankings!AL2:AL651))/STDEV(Rankings!AL2:AL651)*-1,0)</f>
        <v>-1.0269631039790492</v>
      </c>
      <c r="AF409" s="118">
        <f>(VLOOKUP($A409,Pitchers!$A1:$S251,14,FALSE)-AVERAGE(Rankings!AM2:AM651))/STDEV(Rankings!AM2:AM651)</f>
        <v>-0.77745408395192706</v>
      </c>
      <c r="AG409" s="118">
        <f>(VLOOKUP($A409,Pitchers!$A1:$S251,15,FALSE)-AVERAGE(Rankings!AN2:AN651))/STDEV(Rankings!AN2:AN651)</f>
        <v>0.94099259947658664</v>
      </c>
      <c r="AH409" s="118">
        <f>(VLOOKUP($A409,Pitchers!$A1:$S251,16,FALSE)-AVERAGE(Rankings!AO2:AO651))/STDEV(Rankings!AO2:AO651)*-1</f>
        <v>-0.30127031297920354</v>
      </c>
      <c r="AI409" s="118">
        <f>IFERROR((VLOOKUP($A409,Pitchers!$A1:$S251,17,FALSE)-AVERAGE(Rankings!AP2:AP651))/STDEV(Rankings!AP2:AP651),0)</f>
        <v>1.6051660284440814</v>
      </c>
      <c r="AJ409" s="118">
        <f>(VLOOKUP($A409,Pitchers!$A1:$S251,18,FALSE)-AVERAGE(Rankings!AQ2:AQ651))/STDEV(Rankings!AQ2:AQ651)</f>
        <v>-0.69471541349839372</v>
      </c>
      <c r="AK409" s="118">
        <f>IFERROR((VLOOKUP($A409,Pitchers!$A1:$S251,19,FALSE)-AVERAGE(Rankings!AR2:AR651))/STDEV(Rankings!AR2:AR651)*-1,0)</f>
        <v>0.47686441955275594</v>
      </c>
    </row>
    <row r="410" spans="1:37" ht="18.600000000000001" customHeight="1">
      <c r="A410" s="26" t="s">
        <v>115</v>
      </c>
      <c r="B410" s="27" t="s">
        <v>101</v>
      </c>
      <c r="C410" s="127" t="s">
        <v>31</v>
      </c>
      <c r="D410" s="67">
        <f>(V410*Settings!$G$2)+(Y410*Settings!$G$5)+(Z410*Settings!$G$6)+(AA410*Settings!$G$7)+(AB410*Settings!$G$8)+(AC410*Settings!$G$9)+(AD410*Settings!$G$10)+(AE410*Settings!$G$11)+(AF410*Settings!$G$12)+(AG410*Settings!$G$13)+(AH410*Settings!$G$14)+(AI410*Settings!$G$15)+(AJ410*Settings!$G$16)+(AK410*Settings!$G$17)+(W410*Settings!$G$3)+(X410*Settings!$G$4)</f>
        <v>5.9469564448776051</v>
      </c>
      <c r="E410" s="67"/>
      <c r="F410" s="67"/>
      <c r="G410" s="67"/>
      <c r="H410" s="67"/>
      <c r="I410" s="67"/>
      <c r="J410" s="67"/>
      <c r="K410" s="72"/>
      <c r="L410" s="72"/>
      <c r="M410" s="67"/>
      <c r="N410" s="67"/>
      <c r="O410" s="67"/>
      <c r="P410" s="67"/>
      <c r="Q410" s="67"/>
      <c r="R410" s="72"/>
      <c r="S410" s="72"/>
      <c r="T410" s="67"/>
      <c r="U410" s="67"/>
      <c r="V410" s="118">
        <f>(VLOOKUP($A410,Pitchers!$A1:$S251,4,FALSE)-AVERAGE(Rankings!AC2:AC651))/STDEV(Rankings!AC2:AC651)</f>
        <v>1.2534282772431593</v>
      </c>
      <c r="W410" s="118">
        <f>(VLOOKUP($A410,Pitchers!$A1:$S251,5,FALSE)-AVERAGE(Rankings!AD2:AD651))/STDEV(Rankings!AD2:AD651)*-1</f>
        <v>1.5577661825128621</v>
      </c>
      <c r="X410" s="118">
        <f>(VLOOKUP($A410,Pitchers!$A1:$S251,6,FALSE)-AVERAGE(Rankings!AE2:AE651))/STDEV(Rankings!AE2:AE651)*-1</f>
        <v>1.4682612093453518</v>
      </c>
      <c r="Y410" s="118">
        <f>(VLOOKUP($A410,Pitchers!$A1:$S251,7,FALSE)-AVERAGE(Rankings!AF2:AF651))/STDEV(Rankings!AF2:AF651)</f>
        <v>1.7810379902589746</v>
      </c>
      <c r="Z410" s="118">
        <f>(VLOOKUP($A410,Pitchers!$A1:$S251,8,FALSE)-AVERAGE(Rankings!AG2:AG651))/STDEV(Rankings!AG2:AG651)</f>
        <v>1.6226039377576171</v>
      </c>
      <c r="AA410" s="118">
        <f>(VLOOKUP($A410,Pitchers!$A1:$S251,9,FALSE)-AVERAGE(Rankings!AH2:AH651))/STDEV(Rankings!AH2:AH651)</f>
        <v>-0.48271287499720011</v>
      </c>
      <c r="AB410" s="118">
        <f>(VLOOKUP($A410,Pitchers!$A1:$S251,10,FALSE)-AVERAGE(Rankings!AI2:AI651))/STDEV(Rankings!AI2:AI651)*-1</f>
        <v>-0.53745176703818176</v>
      </c>
      <c r="AC410" s="118">
        <f>(VLOOKUP($A410,Pitchers!$A1:$S251,11,FALSE)-AVERAGE(Rankings!AJ2:AJ651))/STDEV(Rankings!AJ2:AJ651)*-1</f>
        <v>-0.84518079348265607</v>
      </c>
      <c r="AD410" s="118">
        <f>(VLOOKUP($A410,Pitchers!$A1:$S251,12,FALSE)-AVERAGE(Rankings!AK2:AK651))/STDEV(Rankings!AK2:AK651)*-1</f>
        <v>-0.78880729031298635</v>
      </c>
      <c r="AE410" s="118">
        <f>IFERROR((VLOOKUP($A410,Pitchers!$A1:$S251,13,FALSE)-AVERAGE(Rankings!AL2:AL651))/STDEV(Rankings!AL2:AL651)*-1,0)</f>
        <v>-0.60680642864380097</v>
      </c>
      <c r="AF410" s="118">
        <f>(VLOOKUP($A410,Pitchers!$A1:$S251,14,FALSE)-AVERAGE(Rankings!AM2:AM651))/STDEV(Rankings!AM2:AM651)</f>
        <v>-0.68556612007375006</v>
      </c>
      <c r="AG410" s="118">
        <f>(VLOOKUP($A410,Pitchers!$A1:$S251,15,FALSE)-AVERAGE(Rankings!AN2:AN651))/STDEV(Rankings!AN2:AN651)</f>
        <v>1.0524553976531643</v>
      </c>
      <c r="AH410" s="118">
        <f>(VLOOKUP($A410,Pitchers!$A1:$S251,16,FALSE)-AVERAGE(Rankings!AO2:AO651))/STDEV(Rankings!AO2:AO651)*-1</f>
        <v>-0.64276704931736894</v>
      </c>
      <c r="AI410" s="118">
        <f>IFERROR((VLOOKUP($A410,Pitchers!$A1:$S251,17,FALSE)-AVERAGE(Rankings!AP2:AP651))/STDEV(Rankings!AP2:AP651),0)</f>
        <v>1.6051660284440814</v>
      </c>
      <c r="AJ410" s="118">
        <f>(VLOOKUP($A410,Pitchers!$A1:$S251,18,FALSE)-AVERAGE(Rankings!AQ2:AQ651))/STDEV(Rankings!AQ2:AQ651)</f>
        <v>-0.69471541349839372</v>
      </c>
      <c r="AK410" s="118">
        <f>IFERROR((VLOOKUP($A410,Pitchers!$A1:$S251,19,FALSE)-AVERAGE(Rankings!AR2:AR651))/STDEV(Rankings!AR2:AR651)*-1,0)</f>
        <v>0.47686441955275594</v>
      </c>
    </row>
    <row r="411" spans="1:37" ht="18.600000000000001" customHeight="1">
      <c r="A411" s="26" t="s">
        <v>107</v>
      </c>
      <c r="B411" s="27" t="s">
        <v>95</v>
      </c>
      <c r="C411" s="127" t="s">
        <v>31</v>
      </c>
      <c r="D411" s="67">
        <f>(V411*Settings!$G$2)+(Y411*Settings!$G$5)+(Z411*Settings!$G$6)+(AA411*Settings!$G$7)+(AB411*Settings!$G$8)+(AC411*Settings!$G$9)+(AD411*Settings!$G$10)+(AE411*Settings!$G$11)+(AF411*Settings!$G$12)+(AG411*Settings!$G$13)+(AH411*Settings!$G$14)+(AI411*Settings!$G$15)+(AJ411*Settings!$G$16)+(AK411*Settings!$G$17)+(W411*Settings!$G$3)+(X411*Settings!$G$4)</f>
        <v>7.0026124141126758</v>
      </c>
      <c r="E411" s="67"/>
      <c r="F411" s="67"/>
      <c r="G411" s="67"/>
      <c r="H411" s="67"/>
      <c r="I411" s="67"/>
      <c r="J411" s="67"/>
      <c r="K411" s="72"/>
      <c r="L411" s="72"/>
      <c r="M411" s="67"/>
      <c r="N411" s="67"/>
      <c r="O411" s="67"/>
      <c r="P411" s="67"/>
      <c r="Q411" s="67"/>
      <c r="R411" s="72"/>
      <c r="S411" s="72"/>
      <c r="T411" s="67"/>
      <c r="U411" s="67"/>
      <c r="V411" s="118">
        <f>(VLOOKUP($A411,Pitchers!$A1:$S251,4,FALSE)-AVERAGE(Rankings!AC2:AC651))/STDEV(Rankings!AC2:AC651)</f>
        <v>1.158157222948988</v>
      </c>
      <c r="W411" s="118">
        <f>(VLOOKUP($A411,Pitchers!$A1:$S251,5,FALSE)-AVERAGE(Rankings!AD2:AD651))/STDEV(Rankings!AD2:AD651)*-1</f>
        <v>1.9000664806927661</v>
      </c>
      <c r="X411" s="118">
        <f>(VLOOKUP($A411,Pitchers!$A1:$S251,6,FALSE)-AVERAGE(Rankings!AE2:AE651))/STDEV(Rankings!AE2:AE651)*-1</f>
        <v>2.2316651716096723</v>
      </c>
      <c r="Y411" s="118">
        <f>(VLOOKUP($A411,Pitchers!$A1:$S251,7,FALSE)-AVERAGE(Rankings!AF2:AF651))/STDEV(Rankings!AF2:AF651)</f>
        <v>1.5409615232720921</v>
      </c>
      <c r="Z411" s="118">
        <f>(VLOOKUP($A411,Pitchers!$A1:$S251,8,FALSE)-AVERAGE(Rankings!AG2:AG651))/STDEV(Rankings!AG2:AG651)</f>
        <v>1.8126321135353451</v>
      </c>
      <c r="AA411" s="118">
        <f>(VLOOKUP($A411,Pitchers!$A1:$S251,9,FALSE)-AVERAGE(Rankings!AH2:AH651))/STDEV(Rankings!AH2:AH651)</f>
        <v>-0.48271287499720011</v>
      </c>
      <c r="AB411" s="118">
        <f>(VLOOKUP($A411,Pitchers!$A1:$S251,10,FALSE)-AVERAGE(Rankings!AI2:AI651))/STDEV(Rankings!AI2:AI651)*-1</f>
        <v>-0.33374203105369132</v>
      </c>
      <c r="AC411" s="118">
        <f>(VLOOKUP($A411,Pitchers!$A1:$S251,11,FALSE)-AVERAGE(Rankings!AJ2:AJ651))/STDEV(Rankings!AJ2:AJ651)*-1</f>
        <v>-0.72125286358082974</v>
      </c>
      <c r="AD411" s="118">
        <f>(VLOOKUP($A411,Pitchers!$A1:$S251,12,FALSE)-AVERAGE(Rankings!AK2:AK651))/STDEV(Rankings!AK2:AK651)*-1</f>
        <v>-7.6092574397263052E-3</v>
      </c>
      <c r="AE411" s="118">
        <f>IFERROR((VLOOKUP($A411,Pitchers!$A1:$S251,13,FALSE)-AVERAGE(Rankings!AL2:AL651))/STDEV(Rankings!AL2:AL651)*-1,0)</f>
        <v>-1.0414512651975063</v>
      </c>
      <c r="AF411" s="118">
        <f>(VLOOKUP($A411,Pitchers!$A1:$S251,14,FALSE)-AVERAGE(Rankings!AM2:AM651))/STDEV(Rankings!AM2:AM651)</f>
        <v>-0.7776666235753924</v>
      </c>
      <c r="AG411" s="118">
        <f>(VLOOKUP($A411,Pitchers!$A1:$S251,15,FALSE)-AVERAGE(Rankings!AN2:AN651))/STDEV(Rankings!AN2:AN651)</f>
        <v>0.96651646305287298</v>
      </c>
      <c r="AH411" s="118">
        <f>(VLOOKUP($A411,Pitchers!$A1:$S251,16,FALSE)-AVERAGE(Rankings!AO2:AO651))/STDEV(Rankings!AO2:AO651)*-1</f>
        <v>-0.48639143941167723</v>
      </c>
      <c r="AI411" s="118">
        <f>IFERROR((VLOOKUP($A411,Pitchers!$A1:$S251,17,FALSE)-AVERAGE(Rankings!AP2:AP651))/STDEV(Rankings!AP2:AP651),0)</f>
        <v>1.333284626499355</v>
      </c>
      <c r="AJ411" s="118">
        <f>(VLOOKUP($A411,Pitchers!$A1:$S251,18,FALSE)-AVERAGE(Rankings!AQ2:AQ651))/STDEV(Rankings!AQ2:AQ651)</f>
        <v>-0.69471541349839372</v>
      </c>
      <c r="AK411" s="118">
        <f>IFERROR((VLOOKUP($A411,Pitchers!$A1:$S251,19,FALSE)-AVERAGE(Rankings!AR2:AR651))/STDEV(Rankings!AR2:AR651)*-1,0)</f>
        <v>0.47686441955275594</v>
      </c>
    </row>
    <row r="412" spans="1:37" ht="18.600000000000001" customHeight="1">
      <c r="A412" s="26" t="s">
        <v>146</v>
      </c>
      <c r="B412" s="27" t="s">
        <v>114</v>
      </c>
      <c r="C412" s="127" t="s">
        <v>31</v>
      </c>
      <c r="D412" s="67">
        <f>(V412*Settings!$G$2)+(Y412*Settings!$G$5)+(Z412*Settings!$G$6)+(AA412*Settings!$G$7)+(AB412*Settings!$G$8)+(AC412*Settings!$G$9)+(AD412*Settings!$G$10)+(AE412*Settings!$G$11)+(AF412*Settings!$G$12)+(AG412*Settings!$G$13)+(AH412*Settings!$G$14)+(AI412*Settings!$G$15)+(AJ412*Settings!$G$16)+(AK412*Settings!$G$17)+(W412*Settings!$G$3)+(X412*Settings!$G$4)</f>
        <v>4.3347278642397882</v>
      </c>
      <c r="E412" s="67"/>
      <c r="F412" s="67"/>
      <c r="G412" s="67"/>
      <c r="H412" s="67"/>
      <c r="I412" s="67"/>
      <c r="J412" s="67"/>
      <c r="K412" s="72"/>
      <c r="L412" s="72"/>
      <c r="M412" s="67"/>
      <c r="N412" s="67"/>
      <c r="O412" s="67"/>
      <c r="P412" s="67"/>
      <c r="Q412" s="67"/>
      <c r="R412" s="72"/>
      <c r="S412" s="72"/>
      <c r="T412" s="67"/>
      <c r="U412" s="67"/>
      <c r="V412" s="118">
        <f>(VLOOKUP($A412,Pitchers!$A1:$S251,4,FALSE)-AVERAGE(Rankings!AC2:AC651))/STDEV(Rankings!AC2:AC651)</f>
        <v>1.3873437817884164</v>
      </c>
      <c r="W412" s="118">
        <f>(VLOOKUP($A412,Pitchers!$A1:$S251,5,FALSE)-AVERAGE(Rankings!AD2:AD651))/STDEV(Rankings!AD2:AD651)*-1</f>
        <v>0.64226107632587837</v>
      </c>
      <c r="X412" s="118">
        <f>(VLOOKUP($A412,Pitchers!$A1:$S251,6,FALSE)-AVERAGE(Rankings!AE2:AE651))/STDEV(Rankings!AE2:AE651)*-1</f>
        <v>0.25304953946602893</v>
      </c>
      <c r="Y412" s="118">
        <f>(VLOOKUP($A412,Pitchers!$A1:$S251,7,FALSE)-AVERAGE(Rankings!AF2:AF651))/STDEV(Rankings!AF2:AF651)</f>
        <v>2.1812006887564932</v>
      </c>
      <c r="Z412" s="118">
        <f>(VLOOKUP($A412,Pitchers!$A1:$S251,8,FALSE)-AVERAGE(Rankings!AG2:AG651))/STDEV(Rankings!AG2:AG651)</f>
        <v>1.7409294346885882</v>
      </c>
      <c r="AA412" s="118">
        <f>(VLOOKUP($A412,Pitchers!$A1:$S251,9,FALSE)-AVERAGE(Rankings!AH2:AH651))/STDEV(Rankings!AH2:AH651)</f>
        <v>-0.48271287499720011</v>
      </c>
      <c r="AB412" s="118">
        <f>(VLOOKUP($A412,Pitchers!$A1:$S251,10,FALSE)-AVERAGE(Rankings!AI2:AI651))/STDEV(Rankings!AI2:AI651)*-1</f>
        <v>-1.0127405920242052</v>
      </c>
      <c r="AC412" s="118">
        <f>(VLOOKUP($A412,Pitchers!$A1:$S251,11,FALSE)-AVERAGE(Rankings!AJ2:AJ651))/STDEV(Rankings!AJ2:AJ651)*-1</f>
        <v>-0.88180927324034664</v>
      </c>
      <c r="AD412" s="118">
        <f>(VLOOKUP($A412,Pitchers!$A1:$S251,12,FALSE)-AVERAGE(Rankings!AK2:AK651))/STDEV(Rankings!AK2:AK651)*-1</f>
        <v>-2.5881324445931408</v>
      </c>
      <c r="AE412" s="118">
        <f>IFERROR((VLOOKUP($A412,Pitchers!$A1:$S251,13,FALSE)-AVERAGE(Rankings!AL2:AL651))/STDEV(Rankings!AL2:AL651)*-1,0)</f>
        <v>-1.1959916515277127</v>
      </c>
      <c r="AF412" s="118">
        <f>(VLOOKUP($A412,Pitchers!$A1:$S251,14,FALSE)-AVERAGE(Rankings!AM2:AM651))/STDEV(Rankings!AM2:AM651)</f>
        <v>-0.58886059139702529</v>
      </c>
      <c r="AG412" s="118">
        <f>(VLOOKUP($A412,Pitchers!$A1:$S251,15,FALSE)-AVERAGE(Rankings!AN2:AN651))/STDEV(Rankings!AN2:AN651)</f>
        <v>1.1684729593635579</v>
      </c>
      <c r="AH412" s="118">
        <f>(VLOOKUP($A412,Pitchers!$A1:$S251,16,FALSE)-AVERAGE(Rankings!AO2:AO651))/STDEV(Rankings!AO2:AO651)*-1</f>
        <v>-0.98503033276291496</v>
      </c>
      <c r="AI412" s="118">
        <f>IFERROR((VLOOKUP($A412,Pitchers!$A1:$S251,17,FALSE)-AVERAGE(Rankings!AP2:AP651))/STDEV(Rankings!AP2:AP651),0)</f>
        <v>1.197343925526992</v>
      </c>
      <c r="AJ412" s="118">
        <f>(VLOOKUP($A412,Pitchers!$A1:$S251,18,FALSE)-AVERAGE(Rankings!AQ2:AQ651))/STDEV(Rankings!AQ2:AQ651)</f>
        <v>-0.69471541349839372</v>
      </c>
      <c r="AK412" s="118">
        <f>IFERROR((VLOOKUP($A412,Pitchers!$A1:$S251,19,FALSE)-AVERAGE(Rankings!AR2:AR651))/STDEV(Rankings!AR2:AR651)*-1,0)</f>
        <v>0.47686441955275594</v>
      </c>
    </row>
    <row r="413" spans="1:37" ht="18.600000000000001" customHeight="1">
      <c r="A413" s="26" t="s">
        <v>128</v>
      </c>
      <c r="B413" s="27" t="s">
        <v>97</v>
      </c>
      <c r="C413" s="127" t="s">
        <v>31</v>
      </c>
      <c r="D413" s="67">
        <f>(V413*Settings!$G$2)+(Y413*Settings!$G$5)+(Z413*Settings!$G$6)+(AA413*Settings!$G$7)+(AB413*Settings!$G$8)+(AC413*Settings!$G$9)+(AD413*Settings!$G$10)+(AE413*Settings!$G$11)+(AF413*Settings!$G$12)+(AG413*Settings!$G$13)+(AH413*Settings!$G$14)+(AI413*Settings!$G$15)+(AJ413*Settings!$G$16)+(AK413*Settings!$G$17)+(W413*Settings!$G$3)+(X413*Settings!$G$4)</f>
        <v>5.4020097335196571</v>
      </c>
      <c r="E413" s="67"/>
      <c r="F413" s="67"/>
      <c r="G413" s="67"/>
      <c r="H413" s="67"/>
      <c r="I413" s="67"/>
      <c r="J413" s="67"/>
      <c r="K413" s="72"/>
      <c r="L413" s="72"/>
      <c r="M413" s="67"/>
      <c r="N413" s="67"/>
      <c r="O413" s="67"/>
      <c r="P413" s="67"/>
      <c r="Q413" s="67"/>
      <c r="R413" s="72"/>
      <c r="S413" s="72"/>
      <c r="T413" s="67"/>
      <c r="U413" s="67"/>
      <c r="V413" s="118">
        <f>(VLOOKUP($A413,Pitchers!$A1:$S251,4,FALSE)-AVERAGE(Rankings!AC2:AC651))/STDEV(Rankings!AC2:AC651)</f>
        <v>1.21893003060526</v>
      </c>
      <c r="W413" s="118">
        <f>(VLOOKUP($A413,Pitchers!$A1:$S251,5,FALSE)-AVERAGE(Rankings!AD2:AD651))/STDEV(Rankings!AD2:AD651)*-1</f>
        <v>1.1583703130612095</v>
      </c>
      <c r="X413" s="118">
        <f>(VLOOKUP($A413,Pitchers!$A1:$S251,6,FALSE)-AVERAGE(Rankings!AE2:AE651))/STDEV(Rankings!AE2:AE651)*-1</f>
        <v>1.441156832421753</v>
      </c>
      <c r="Y413" s="118">
        <f>(VLOOKUP($A413,Pitchers!$A1:$S251,7,FALSE)-AVERAGE(Rankings!AF2:AF651))/STDEV(Rankings!AF2:AF651)</f>
        <v>1.7953861726471776</v>
      </c>
      <c r="Z413" s="118">
        <f>(VLOOKUP($A413,Pitchers!$A1:$S251,8,FALSE)-AVERAGE(Rankings!AG2:AG651))/STDEV(Rankings!AG2:AG651)</f>
        <v>1.4898092903867171</v>
      </c>
      <c r="AA413" s="118">
        <f>(VLOOKUP($A413,Pitchers!$A1:$S251,9,FALSE)-AVERAGE(Rankings!AH2:AH651))/STDEV(Rankings!AH2:AH651)</f>
        <v>-0.48271287499720011</v>
      </c>
      <c r="AB413" s="118">
        <f>(VLOOKUP($A413,Pitchers!$A1:$S251,10,FALSE)-AVERAGE(Rankings!AI2:AI651))/STDEV(Rankings!AI2:AI651)*-1</f>
        <v>-0.66642895700390403</v>
      </c>
      <c r="AC413" s="118">
        <f>(VLOOKUP($A413,Pitchers!$A1:$S251,11,FALSE)-AVERAGE(Rankings!AJ2:AJ651))/STDEV(Rankings!AJ2:AJ651)*-1</f>
        <v>-0.82441206784685184</v>
      </c>
      <c r="AD413" s="118">
        <f>(VLOOKUP($A413,Pitchers!$A1:$S251,12,FALSE)-AVERAGE(Rankings!AK2:AK651))/STDEV(Rankings!AK2:AK651)*-1</f>
        <v>-0.75933849820681243</v>
      </c>
      <c r="AE413" s="118">
        <f>IFERROR((VLOOKUP($A413,Pitchers!$A1:$S251,13,FALSE)-AVERAGE(Rankings!AL2:AL651))/STDEV(Rankings!AL2:AL651)*-1,0)</f>
        <v>-0.84344639521192932</v>
      </c>
      <c r="AF413" s="118">
        <f>(VLOOKUP($A413,Pitchers!$A1:$S251,14,FALSE)-AVERAGE(Rankings!AM2:AM651))/STDEV(Rankings!AM2:AM651)</f>
        <v>-0.66530400930338851</v>
      </c>
      <c r="AG413" s="118">
        <f>(VLOOKUP($A413,Pitchers!$A1:$S251,15,FALSE)-AVERAGE(Rankings!AN2:AN651))/STDEV(Rankings!AN2:AN651)</f>
        <v>1.0356973054061076</v>
      </c>
      <c r="AH413" s="118">
        <f>(VLOOKUP($A413,Pitchers!$A1:$S251,16,FALSE)-AVERAGE(Rankings!AO2:AO651))/STDEV(Rankings!AO2:AO651)*-1</f>
        <v>-0.6515823410522481</v>
      </c>
      <c r="AI413" s="118">
        <f>IFERROR((VLOOKUP($A413,Pitchers!$A1:$S251,17,FALSE)-AVERAGE(Rankings!AP2:AP651))/STDEV(Rankings!AP2:AP651),0)</f>
        <v>1.197343925526992</v>
      </c>
      <c r="AJ413" s="118">
        <f>(VLOOKUP($A413,Pitchers!$A1:$S251,18,FALSE)-AVERAGE(Rankings!AQ2:AQ651))/STDEV(Rankings!AQ2:AQ651)</f>
        <v>-0.69471541349839372</v>
      </c>
      <c r="AK413" s="118">
        <f>IFERROR((VLOOKUP($A413,Pitchers!$A1:$S251,19,FALSE)-AVERAGE(Rankings!AR2:AR651))/STDEV(Rankings!AR2:AR651)*-1,0)</f>
        <v>0.47686441955275594</v>
      </c>
    </row>
    <row r="414" spans="1:37" ht="18.600000000000001" customHeight="1">
      <c r="A414" s="26" t="s">
        <v>138</v>
      </c>
      <c r="B414" s="27" t="s">
        <v>76</v>
      </c>
      <c r="C414" s="127" t="s">
        <v>31</v>
      </c>
      <c r="D414" s="67">
        <f>(V414*Settings!$G$2)+(Y414*Settings!$G$5)+(Z414*Settings!$G$6)+(AA414*Settings!$G$7)+(AB414*Settings!$G$8)+(AC414*Settings!$G$9)+(AD414*Settings!$G$10)+(AE414*Settings!$G$11)+(AF414*Settings!$G$12)+(AG414*Settings!$G$13)+(AH414*Settings!$G$14)+(AI414*Settings!$G$15)+(AJ414*Settings!$G$16)+(AK414*Settings!$G$17)+(W414*Settings!$G$3)+(X414*Settings!$G$4)</f>
        <v>5.3848936013571986</v>
      </c>
      <c r="E414" s="67"/>
      <c r="F414" s="67"/>
      <c r="G414" s="67"/>
      <c r="H414" s="67"/>
      <c r="I414" s="67"/>
      <c r="J414" s="67"/>
      <c r="K414" s="72"/>
      <c r="L414" s="72"/>
      <c r="M414" s="67"/>
      <c r="N414" s="67"/>
      <c r="O414" s="67"/>
      <c r="P414" s="67"/>
      <c r="Q414" s="67"/>
      <c r="R414" s="72"/>
      <c r="S414" s="72"/>
      <c r="T414" s="67"/>
      <c r="U414" s="67"/>
      <c r="V414" s="118">
        <f>(VLOOKUP($A414,Pitchers!$A1:$S251,4,FALSE)-AVERAGE(Rankings!AC2:AC651))/STDEV(Rankings!AC2:AC651)</f>
        <v>1.6389335844604254</v>
      </c>
      <c r="W414" s="118">
        <f>(VLOOKUP($A414,Pitchers!$A1:$S251,5,FALSE)-AVERAGE(Rankings!AD2:AD651))/STDEV(Rankings!AD2:AD651)*-1</f>
        <v>1.0366065089590235</v>
      </c>
      <c r="X414" s="118">
        <f>(VLOOKUP($A414,Pitchers!$A1:$S251,6,FALSE)-AVERAGE(Rankings!AE2:AE651))/STDEV(Rankings!AE2:AE651)*-1</f>
        <v>1.137817027456564</v>
      </c>
      <c r="Y414" s="118">
        <f>(VLOOKUP($A414,Pitchers!$A1:$S251,7,FALSE)-AVERAGE(Rankings!AF2:AF651))/STDEV(Rankings!AF2:AF651)</f>
        <v>1.8172081011442236</v>
      </c>
      <c r="Z414" s="118">
        <f>(VLOOKUP($A414,Pitchers!$A1:$S251,8,FALSE)-AVERAGE(Rankings!AG2:AG651))/STDEV(Rankings!AG2:AG651)</f>
        <v>1.8759748387945876</v>
      </c>
      <c r="AA414" s="118">
        <f>(VLOOKUP($A414,Pitchers!$A1:$S251,9,FALSE)-AVERAGE(Rankings!AH2:AH651))/STDEV(Rankings!AH2:AH651)</f>
        <v>-0.48271287499720011</v>
      </c>
      <c r="AB414" s="118">
        <f>(VLOOKUP($A414,Pitchers!$A1:$S251,10,FALSE)-AVERAGE(Rankings!AI2:AI651))/STDEV(Rankings!AI2:AI651)*-1</f>
        <v>-1.0587494043690928</v>
      </c>
      <c r="AC414" s="118">
        <f>(VLOOKUP($A414,Pitchers!$A1:$S251,11,FALSE)-AVERAGE(Rankings!AJ2:AJ651))/STDEV(Rankings!AJ2:AJ651)*-1</f>
        <v>-1.4520287960660987</v>
      </c>
      <c r="AD414" s="118">
        <f>(VLOOKUP($A414,Pitchers!$A1:$S251,12,FALSE)-AVERAGE(Rankings!AK2:AK651))/STDEV(Rankings!AK2:AK651)*-1</f>
        <v>-0.62087446703060445</v>
      </c>
      <c r="AE414" s="118">
        <f>IFERROR((VLOOKUP($A414,Pitchers!$A1:$S251,13,FALSE)-AVERAGE(Rankings!AL2:AL651))/STDEV(Rankings!AL2:AL651)*-1,0)</f>
        <v>-1.1959916515277127</v>
      </c>
      <c r="AF414" s="118">
        <f>(VLOOKUP($A414,Pitchers!$A1:$S251,14,FALSE)-AVERAGE(Rankings!AM2:AM651))/STDEV(Rankings!AM2:AM651)</f>
        <v>-0.59374900273672793</v>
      </c>
      <c r="AG414" s="118">
        <f>(VLOOKUP($A414,Pitchers!$A1:$S251,15,FALSE)-AVERAGE(Rankings!AN2:AN651))/STDEV(Rankings!AN2:AN651)</f>
        <v>1.1629728675491391</v>
      </c>
      <c r="AH414" s="118">
        <f>(VLOOKUP($A414,Pitchers!$A1:$S251,16,FALSE)-AVERAGE(Rankings!AO2:AO651))/STDEV(Rankings!AO2:AO651)*-1</f>
        <v>-0.98043105011862974</v>
      </c>
      <c r="AI414" s="118">
        <f>IFERROR((VLOOKUP($A414,Pitchers!$A1:$S251,17,FALSE)-AVERAGE(Rankings!AP2:AP651))/STDEV(Rankings!AP2:AP651),0)</f>
        <v>1.9722059210694618</v>
      </c>
      <c r="AJ414" s="118">
        <f>(VLOOKUP($A414,Pitchers!$A1:$S251,18,FALSE)-AVERAGE(Rankings!AQ2:AQ651))/STDEV(Rankings!AQ2:AQ651)</f>
        <v>-0.69471541349839372</v>
      </c>
      <c r="AK414" s="118">
        <f>IFERROR((VLOOKUP($A414,Pitchers!$A1:$S251,19,FALSE)-AVERAGE(Rankings!AR2:AR651))/STDEV(Rankings!AR2:AR651)*-1,0)</f>
        <v>0.47686441955275594</v>
      </c>
    </row>
    <row r="415" spans="1:37" ht="18.600000000000001" customHeight="1">
      <c r="A415" s="26" t="s">
        <v>133</v>
      </c>
      <c r="B415" s="27" t="s">
        <v>134</v>
      </c>
      <c r="C415" s="127" t="s">
        <v>31</v>
      </c>
      <c r="D415" s="67">
        <f>(V415*Settings!$G$2)+(Y415*Settings!$G$5)+(Z415*Settings!$G$6)+(AA415*Settings!$G$7)+(AB415*Settings!$G$8)+(AC415*Settings!$G$9)+(AD415*Settings!$G$10)+(AE415*Settings!$G$11)+(AF415*Settings!$G$12)+(AG415*Settings!$G$13)+(AH415*Settings!$G$14)+(AI415*Settings!$G$15)+(AJ415*Settings!$G$16)+(AK415*Settings!$G$17)+(W415*Settings!$G$3)+(X415*Settings!$G$4)</f>
        <v>5.0351465828187649</v>
      </c>
      <c r="E415" s="67"/>
      <c r="F415" s="67"/>
      <c r="G415" s="67"/>
      <c r="H415" s="67"/>
      <c r="I415" s="67"/>
      <c r="J415" s="67"/>
      <c r="K415" s="72"/>
      <c r="L415" s="72"/>
      <c r="M415" s="67"/>
      <c r="N415" s="67"/>
      <c r="O415" s="67"/>
      <c r="P415" s="67"/>
      <c r="Q415" s="67"/>
      <c r="R415" s="72"/>
      <c r="S415" s="72"/>
      <c r="T415" s="67"/>
      <c r="U415" s="67"/>
      <c r="V415" s="118">
        <f>(VLOOKUP($A415,Pitchers!$A1:$S251,4,FALSE)-AVERAGE(Rankings!AC2:AC651))/STDEV(Rankings!AC2:AC651)</f>
        <v>1.8945092403296413</v>
      </c>
      <c r="W415" s="118">
        <f>(VLOOKUP($A415,Pitchers!$A1:$S251,5,FALSE)-AVERAGE(Rankings!AD2:AD651))/STDEV(Rankings!AD2:AD651)*-1</f>
        <v>1.086053743388957</v>
      </c>
      <c r="X415" s="118">
        <f>(VLOOKUP($A415,Pitchers!$A1:$S251,6,FALSE)-AVERAGE(Rankings!AE2:AE651))/STDEV(Rankings!AE2:AE651)*-1</f>
        <v>1.0030870584502569</v>
      </c>
      <c r="Y415" s="118">
        <f>(VLOOKUP($A415,Pitchers!$A1:$S251,7,FALSE)-AVERAGE(Rankings!AF2:AF651))/STDEV(Rankings!AF2:AF651)</f>
        <v>1.6498478934679055</v>
      </c>
      <c r="Z415" s="118">
        <f>(VLOOKUP($A415,Pitchers!$A1:$S251,8,FALSE)-AVERAGE(Rankings!AG2:AG651))/STDEV(Rankings!AG2:AG651)</f>
        <v>1.7788707625088456</v>
      </c>
      <c r="AA415" s="118">
        <f>(VLOOKUP($A415,Pitchers!$A1:$S251,9,FALSE)-AVERAGE(Rankings!AH2:AH651))/STDEV(Rankings!AH2:AH651)</f>
        <v>-0.48271287499720011</v>
      </c>
      <c r="AB415" s="118">
        <f>(VLOOKUP($A415,Pitchers!$A1:$S251,10,FALSE)-AVERAGE(Rankings!AI2:AI651))/STDEV(Rankings!AI2:AI651)*-1</f>
        <v>-1.2457841232827283</v>
      </c>
      <c r="AC415" s="118">
        <f>(VLOOKUP($A415,Pitchers!$A1:$S251,11,FALSE)-AVERAGE(Rankings!AJ2:AJ651))/STDEV(Rankings!AJ2:AJ651)*-1</f>
        <v>-1.6629257645678555</v>
      </c>
      <c r="AD415" s="118">
        <f>(VLOOKUP($A415,Pitchers!$A1:$S251,12,FALSE)-AVERAGE(Rankings!AK2:AK651))/STDEV(Rankings!AK2:AK651)*-1</f>
        <v>-1.0788587880833509</v>
      </c>
      <c r="AE415" s="118">
        <f>IFERROR((VLOOKUP($A415,Pitchers!$A1:$S251,13,FALSE)-AVERAGE(Rankings!AL2:AL651))/STDEV(Rankings!AL2:AL651)*-1,0)</f>
        <v>-0.76134681497400725</v>
      </c>
      <c r="AF415" s="118">
        <f>(VLOOKUP($A415,Pitchers!$A1:$S251,14,FALSE)-AVERAGE(Rankings!AM2:AM651))/STDEV(Rankings!AM2:AM651)</f>
        <v>-0.59162360650207457</v>
      </c>
      <c r="AG415" s="118">
        <f>(VLOOKUP($A415,Pitchers!$A1:$S251,15,FALSE)-AVERAGE(Rankings!AN2:AN651))/STDEV(Rankings!AN2:AN651)</f>
        <v>1.1689885929711594</v>
      </c>
      <c r="AH415" s="118">
        <f>(VLOOKUP($A415,Pitchers!$A1:$S251,16,FALSE)-AVERAGE(Rankings!AO2:AO651))/STDEV(Rankings!AO2:AO651)*-1</f>
        <v>-1.3376420021581021</v>
      </c>
      <c r="AI415" s="118">
        <f>IFERROR((VLOOKUP($A415,Pitchers!$A1:$S251,17,FALSE)-AVERAGE(Rankings!AP2:AP651))/STDEV(Rankings!AP2:AP651),0)</f>
        <v>1.6896259859582108</v>
      </c>
      <c r="AJ415" s="118">
        <f>(VLOOKUP($A415,Pitchers!$A1:$S251,18,FALSE)-AVERAGE(Rankings!AQ2:AQ651))/STDEV(Rankings!AQ2:AQ651)</f>
        <v>-0.69471541349839372</v>
      </c>
      <c r="AK415" s="118">
        <f>IFERROR((VLOOKUP($A415,Pitchers!$A1:$S251,19,FALSE)-AVERAGE(Rankings!AR2:AR651))/STDEV(Rankings!AR2:AR651)*-1,0)</f>
        <v>0.47686441955275594</v>
      </c>
    </row>
    <row r="416" spans="1:37" ht="18.600000000000001" customHeight="1">
      <c r="A416" s="26" t="s">
        <v>147</v>
      </c>
      <c r="B416" s="27" t="s">
        <v>94</v>
      </c>
      <c r="C416" s="127" t="s">
        <v>31</v>
      </c>
      <c r="D416" s="67">
        <f>(V416*Settings!$G$2)+(Y416*Settings!$G$5)+(Z416*Settings!$G$6)+(AA416*Settings!$G$7)+(AB416*Settings!$G$8)+(AC416*Settings!$G$9)+(AD416*Settings!$G$10)+(AE416*Settings!$G$11)+(AF416*Settings!$G$12)+(AG416*Settings!$G$13)+(AH416*Settings!$G$14)+(AI416*Settings!$G$15)+(AJ416*Settings!$G$16)+(AK416*Settings!$G$17)+(W416*Settings!$G$3)+(X416*Settings!$G$4)</f>
        <v>4.9284666939339132</v>
      </c>
      <c r="E416" s="67"/>
      <c r="F416" s="67"/>
      <c r="G416" s="67"/>
      <c r="H416" s="67"/>
      <c r="I416" s="67"/>
      <c r="J416" s="67"/>
      <c r="K416" s="72"/>
      <c r="L416" s="72"/>
      <c r="M416" s="67"/>
      <c r="N416" s="67"/>
      <c r="O416" s="67"/>
      <c r="P416" s="67"/>
      <c r="Q416" s="67"/>
      <c r="R416" s="72"/>
      <c r="S416" s="72"/>
      <c r="T416" s="67"/>
      <c r="U416" s="67"/>
      <c r="V416" s="118">
        <f>(VLOOKUP($A416,Pitchers!$A1:$S251,4,FALSE)-AVERAGE(Rankings!AC2:AC651))/STDEV(Rankings!AC2:AC651)</f>
        <v>1.3036408646470603</v>
      </c>
      <c r="W416" s="118">
        <f>(VLOOKUP($A416,Pitchers!$A1:$S251,5,FALSE)-AVERAGE(Rankings!AD2:AD651))/STDEV(Rankings!AD2:AD651)*-1</f>
        <v>0.75766798555170667</v>
      </c>
      <c r="X416" s="118">
        <f>(VLOOKUP($A416,Pitchers!$A1:$S251,6,FALSE)-AVERAGE(Rankings!AE2:AE651))/STDEV(Rankings!AE2:AE651)*-1</f>
        <v>1.1447650114004402</v>
      </c>
      <c r="Y416" s="118">
        <f>(VLOOKUP($A416,Pitchers!$A1:$S251,7,FALSE)-AVERAGE(Rankings!AF2:AF651))/STDEV(Rankings!AF2:AF651)</f>
        <v>1.7350203962932071</v>
      </c>
      <c r="Z416" s="118">
        <f>(VLOOKUP($A416,Pitchers!$A1:$S251,8,FALSE)-AVERAGE(Rankings!AG2:AG651))/STDEV(Rankings!AG2:AG651)</f>
        <v>1.7737261756857596</v>
      </c>
      <c r="AA416" s="118">
        <f>(VLOOKUP($A416,Pitchers!$A1:$S251,9,FALSE)-AVERAGE(Rankings!AH2:AH651))/STDEV(Rankings!AH2:AH651)</f>
        <v>-0.48271287499720011</v>
      </c>
      <c r="AB416" s="118">
        <f>(VLOOKUP($A416,Pitchers!$A1:$S251,10,FALSE)-AVERAGE(Rankings!AI2:AI651))/STDEV(Rankings!AI2:AI651)*-1</f>
        <v>-0.89443948006116347</v>
      </c>
      <c r="AC416" s="118">
        <f>(VLOOKUP($A416,Pitchers!$A1:$S251,11,FALSE)-AVERAGE(Rankings!AJ2:AJ651))/STDEV(Rankings!AJ2:AJ651)*-1</f>
        <v>-1.2020960636988658</v>
      </c>
      <c r="AD416" s="118">
        <f>(VLOOKUP($A416,Pitchers!$A1:$S251,12,FALSE)-AVERAGE(Rankings!AK2:AK651))/STDEV(Rankings!AK2:AK651)*-1</f>
        <v>-0.15778222201278733</v>
      </c>
      <c r="AE416" s="118">
        <f>IFERROR((VLOOKUP($A416,Pitchers!$A1:$S251,13,FALSE)-AVERAGE(Rankings!AL2:AL651))/STDEV(Rankings!AL2:AL651)*-1,0)</f>
        <v>-1.1380390066538855</v>
      </c>
      <c r="AF416" s="118">
        <f>(VLOOKUP($A416,Pitchers!$A1:$S251,14,FALSE)-AVERAGE(Rankings!AM2:AM651))/STDEV(Rankings!AM2:AM651)</f>
        <v>-0.6334230657835892</v>
      </c>
      <c r="AG416" s="118">
        <f>(VLOOKUP($A416,Pitchers!$A1:$S251,15,FALSE)-AVERAGE(Rankings!AN2:AN651))/STDEV(Rankings!AN2:AN651)</f>
        <v>1.1157064535189789</v>
      </c>
      <c r="AH416" s="118">
        <f>(VLOOKUP($A416,Pitchers!$A1:$S251,16,FALSE)-AVERAGE(Rankings!AO2:AO651))/STDEV(Rankings!AO2:AO651)*-1</f>
        <v>-0.6515823410522481</v>
      </c>
      <c r="AI416" s="118">
        <f>IFERROR((VLOOKUP($A416,Pitchers!$A1:$S251,17,FALSE)-AVERAGE(Rankings!AP2:AP651))/STDEV(Rankings!AP2:AP651),0)</f>
        <v>1.197343925526992</v>
      </c>
      <c r="AJ416" s="118">
        <f>(VLOOKUP($A416,Pitchers!$A1:$S251,18,FALSE)-AVERAGE(Rankings!AQ2:AQ651))/STDEV(Rankings!AQ2:AQ651)</f>
        <v>-0.69471541349839372</v>
      </c>
      <c r="AK416" s="118">
        <f>IFERROR((VLOOKUP($A416,Pitchers!$A1:$S251,19,FALSE)-AVERAGE(Rankings!AR2:AR651))/STDEV(Rankings!AR2:AR651)*-1,0)</f>
        <v>0.47686441955275594</v>
      </c>
    </row>
    <row r="417" spans="1:37" ht="18.600000000000001" customHeight="1">
      <c r="A417" s="26" t="s">
        <v>143</v>
      </c>
      <c r="B417" s="27" t="s">
        <v>63</v>
      </c>
      <c r="C417" s="127" t="s">
        <v>31</v>
      </c>
      <c r="D417" s="67">
        <f>(V417*Settings!$G$2)+(Y417*Settings!$G$5)+(Z417*Settings!$G$6)+(AA417*Settings!$G$7)+(AB417*Settings!$G$8)+(AC417*Settings!$G$9)+(AD417*Settings!$G$10)+(AE417*Settings!$G$11)+(AF417*Settings!$G$12)+(AG417*Settings!$G$13)+(AH417*Settings!$G$14)+(AI417*Settings!$G$15)+(AJ417*Settings!$G$16)+(AK417*Settings!$G$17)+(W417*Settings!$G$3)+(X417*Settings!$G$4)</f>
        <v>4.2428333701014882</v>
      </c>
      <c r="E417" s="67"/>
      <c r="F417" s="67"/>
      <c r="G417" s="67"/>
      <c r="H417" s="67"/>
      <c r="I417" s="67"/>
      <c r="J417" s="67"/>
      <c r="K417" s="72"/>
      <c r="L417" s="72"/>
      <c r="M417" s="67"/>
      <c r="N417" s="67"/>
      <c r="O417" s="67"/>
      <c r="P417" s="67"/>
      <c r="Q417" s="67"/>
      <c r="R417" s="72"/>
      <c r="S417" s="72"/>
      <c r="T417" s="67"/>
      <c r="U417" s="67"/>
      <c r="V417" s="118">
        <f>(VLOOKUP($A417,Pitchers!$A1:$S251,4,FALSE)-AVERAGE(Rankings!AC2:AC651))/STDEV(Rankings!AC2:AC651)</f>
        <v>1.4599367058226143</v>
      </c>
      <c r="W417" s="118">
        <f>(VLOOKUP($A417,Pitchers!$A1:$S251,5,FALSE)-AVERAGE(Rankings!AD2:AD651))/STDEV(Rankings!AD2:AD651)*-1</f>
        <v>0.15965930702524603</v>
      </c>
      <c r="X417" s="118">
        <f>(VLOOKUP($A417,Pitchers!$A1:$S251,6,FALSE)-AVERAGE(Rankings!AE2:AE651))/STDEV(Rankings!AE2:AE651)*-1</f>
        <v>1.1785883255414324</v>
      </c>
      <c r="Y417" s="118">
        <f>(VLOOKUP($A417,Pitchers!$A1:$S251,7,FALSE)-AVERAGE(Rankings!AF2:AF651))/STDEV(Rankings!AF2:AF651)</f>
        <v>1.6019971164943079</v>
      </c>
      <c r="Z417" s="118">
        <f>(VLOOKUP($A417,Pitchers!$A1:$S251,8,FALSE)-AVERAGE(Rankings!AG2:AG651))/STDEV(Rankings!AG2:AG651)</f>
        <v>1.7853014960377023</v>
      </c>
      <c r="AA417" s="118">
        <f>(VLOOKUP($A417,Pitchers!$A1:$S251,9,FALSE)-AVERAGE(Rankings!AH2:AH651))/STDEV(Rankings!AH2:AH651)</f>
        <v>-0.48271287499720011</v>
      </c>
      <c r="AB417" s="118">
        <f>(VLOOKUP($A417,Pitchers!$A1:$S251,10,FALSE)-AVERAGE(Rankings!AI2:AI651))/STDEV(Rankings!AI2:AI651)*-1</f>
        <v>-1.2758804955569525</v>
      </c>
      <c r="AC417" s="118">
        <f>(VLOOKUP($A417,Pitchers!$A1:$S251,11,FALSE)-AVERAGE(Rankings!AJ2:AJ651))/STDEV(Rankings!AJ2:AJ651)*-1</f>
        <v>-1.2119140067267009</v>
      </c>
      <c r="AD417" s="118">
        <f>(VLOOKUP($A417,Pitchers!$A1:$S251,12,FALSE)-AVERAGE(Rankings!AK2:AK651))/STDEV(Rankings!AK2:AK651)*-1</f>
        <v>-0.6845270579799394</v>
      </c>
      <c r="AE417" s="118">
        <f>IFERROR((VLOOKUP($A417,Pitchers!$A1:$S251,13,FALSE)-AVERAGE(Rankings!AL2:AL651))/STDEV(Rankings!AL2:AL651)*-1,0)</f>
        <v>-1.5968307785716851</v>
      </c>
      <c r="AF417" s="118">
        <f>(VLOOKUP($A417,Pitchers!$A1:$S251,14,FALSE)-AVERAGE(Rankings!AM2:AM651))/STDEV(Rankings!AM2:AM651)</f>
        <v>-0.65467702813012196</v>
      </c>
      <c r="AG417" s="118">
        <f>(VLOOKUP($A417,Pitchers!$A1:$S251,15,FALSE)-AVERAGE(Rankings!AN2:AN651))/STDEV(Rankings!AN2:AN651)</f>
        <v>1.0899247731388917</v>
      </c>
      <c r="AH417" s="118">
        <f>(VLOOKUP($A417,Pitchers!$A1:$S251,16,FALSE)-AVERAGE(Rankings!AO2:AO651))/STDEV(Rankings!AO2:AO651)*-1</f>
        <v>-0.99422889805148529</v>
      </c>
      <c r="AI417" s="118">
        <f>IFERROR((VLOOKUP($A417,Pitchers!$A1:$S251,17,FALSE)-AVERAGE(Rankings!AP2:AP651))/STDEV(Rankings!AP2:AP651),0)</f>
        <v>1.333284626499355</v>
      </c>
      <c r="AJ417" s="118">
        <f>(VLOOKUP($A417,Pitchers!$A1:$S251,18,FALSE)-AVERAGE(Rankings!AQ2:AQ651))/STDEV(Rankings!AQ2:AQ651)</f>
        <v>-0.69471541349839372</v>
      </c>
      <c r="AK417" s="118">
        <f>IFERROR((VLOOKUP($A417,Pitchers!$A1:$S251,19,FALSE)-AVERAGE(Rankings!AR2:AR651))/STDEV(Rankings!AR2:AR651)*-1,0)</f>
        <v>0.47686441955275594</v>
      </c>
    </row>
    <row r="418" spans="1:37" ht="18.600000000000001" customHeight="1">
      <c r="A418" s="26" t="s">
        <v>152</v>
      </c>
      <c r="B418" s="27" t="s">
        <v>78</v>
      </c>
      <c r="C418" s="127" t="s">
        <v>31</v>
      </c>
      <c r="D418" s="67">
        <f>(V418*Settings!$G$2)+(Y418*Settings!$G$5)+(Z418*Settings!$G$6)+(AA418*Settings!$G$7)+(AB418*Settings!$G$8)+(AC418*Settings!$G$9)+(AD418*Settings!$G$10)+(AE418*Settings!$G$11)+(AF418*Settings!$G$12)+(AG418*Settings!$G$13)+(AH418*Settings!$G$14)+(AI418*Settings!$G$15)+(AJ418*Settings!$G$16)+(AK418*Settings!$G$17)+(W418*Settings!$G$3)+(X418*Settings!$G$4)</f>
        <v>5.7680705875569904</v>
      </c>
      <c r="E418" s="67"/>
      <c r="F418" s="67"/>
      <c r="G418" s="67"/>
      <c r="H418" s="67"/>
      <c r="I418" s="67"/>
      <c r="J418" s="67"/>
      <c r="K418" s="72"/>
      <c r="L418" s="72"/>
      <c r="M418" s="67"/>
      <c r="N418" s="67"/>
      <c r="O418" s="67"/>
      <c r="P418" s="67"/>
      <c r="Q418" s="67"/>
      <c r="R418" s="72"/>
      <c r="S418" s="72"/>
      <c r="T418" s="67"/>
      <c r="U418" s="67"/>
      <c r="V418" s="118">
        <f>(VLOOKUP($A418,Pitchers!$A1:$S251,4,FALSE)-AVERAGE(Rankings!AC2:AC651))/STDEV(Rankings!AC2:AC651)</f>
        <v>1.3938265200344497</v>
      </c>
      <c r="W418" s="118">
        <f>(VLOOKUP($A418,Pitchers!$A1:$S251,5,FALSE)-AVERAGE(Rankings!AD2:AD651))/STDEV(Rankings!AD2:AD651)*-1</f>
        <v>0.69151727920769346</v>
      </c>
      <c r="X418" s="118">
        <f>(VLOOKUP($A418,Pitchers!$A1:$S251,6,FALSE)-AVERAGE(Rankings!AE2:AE651))/STDEV(Rankings!AE2:AE651)*-1</f>
        <v>1.3584783421852693</v>
      </c>
      <c r="Y418" s="118">
        <f>(VLOOKUP($A418,Pitchers!$A1:$S251,7,FALSE)-AVERAGE(Rankings!AF2:AF651))/STDEV(Rankings!AF2:AF651)</f>
        <v>2.2625249174061293</v>
      </c>
      <c r="Z418" s="118">
        <f>(VLOOKUP($A418,Pitchers!$A1:$S251,8,FALSE)-AVERAGE(Rankings!AG2:AG651))/STDEV(Rankings!AG2:AG651)</f>
        <v>1.9382629237550986</v>
      </c>
      <c r="AA418" s="118">
        <f>(VLOOKUP($A418,Pitchers!$A1:$S251,9,FALSE)-AVERAGE(Rankings!AH2:AH651))/STDEV(Rankings!AH2:AH651)</f>
        <v>-0.48271287499720011</v>
      </c>
      <c r="AB418" s="118">
        <f>(VLOOKUP($A418,Pitchers!$A1:$S251,10,FALSE)-AVERAGE(Rankings!AI2:AI651))/STDEV(Rankings!AI2:AI651)*-1</f>
        <v>-0.99824552840456515</v>
      </c>
      <c r="AC418" s="118">
        <f>(VLOOKUP($A418,Pitchers!$A1:$S251,11,FALSE)-AVERAGE(Rankings!AJ2:AJ651))/STDEV(Rankings!AJ2:AJ651)*-1</f>
        <v>-0.5918146131546308</v>
      </c>
      <c r="AD418" s="118">
        <f>(VLOOKUP($A418,Pitchers!$A1:$S251,12,FALSE)-AVERAGE(Rankings!AK2:AK651))/STDEV(Rankings!AK2:AK651)*-1</f>
        <v>-2.2855673189428098</v>
      </c>
      <c r="AE418" s="118">
        <f>IFERROR((VLOOKUP($A418,Pitchers!$A1:$S251,13,FALSE)-AVERAGE(Rankings!AL2:AL651))/STDEV(Rankings!AL2:AL651)*-1,0)</f>
        <v>-1.5744224225538057</v>
      </c>
      <c r="AF418" s="118">
        <f>(VLOOKUP($A418,Pitchers!$A1:$S251,14,FALSE)-AVERAGE(Rankings!AM2:AM651))/STDEV(Rankings!AM2:AM651)</f>
        <v>-0.4904887520723325</v>
      </c>
      <c r="AG418" s="118">
        <f>(VLOOKUP($A418,Pitchers!$A1:$S251,15,FALSE)-AVERAGE(Rankings!AN2:AN651))/STDEV(Rankings!AN2:AN651)</f>
        <v>1.0809183727927809</v>
      </c>
      <c r="AH418" s="118">
        <f>(VLOOKUP($A418,Pitchers!$A1:$S251,16,FALSE)-AVERAGE(Rankings!AO2:AO651))/STDEV(Rankings!AO2:AO651)*-1</f>
        <v>-0.801840905041041</v>
      </c>
      <c r="AI418" s="118">
        <f>IFERROR((VLOOKUP($A418,Pitchers!$A1:$S251,17,FALSE)-AVERAGE(Rankings!AP2:AP651))/STDEV(Rankings!AP2:AP651),0)</f>
        <v>1.8498592901943351</v>
      </c>
      <c r="AJ418" s="118">
        <f>(VLOOKUP($A418,Pitchers!$A1:$S251,18,FALSE)-AVERAGE(Rankings!AQ2:AQ651))/STDEV(Rankings!AQ2:AQ651)</f>
        <v>-0.69471541349839372</v>
      </c>
      <c r="AK418" s="118">
        <f>IFERROR((VLOOKUP($A418,Pitchers!$A1:$S251,19,FALSE)-AVERAGE(Rankings!AR2:AR651))/STDEV(Rankings!AR2:AR651)*-1,0)</f>
        <v>0.47686441955275594</v>
      </c>
    </row>
    <row r="419" spans="1:37" ht="18.600000000000001" customHeight="1">
      <c r="A419" s="26" t="s">
        <v>189</v>
      </c>
      <c r="B419" s="27" t="s">
        <v>71</v>
      </c>
      <c r="C419" s="127" t="s">
        <v>31</v>
      </c>
      <c r="D419" s="67">
        <f>(V419*Settings!$G$2)+(Y419*Settings!$G$5)+(Z419*Settings!$G$6)+(AA419*Settings!$G$7)+(AB419*Settings!$G$8)+(AC419*Settings!$G$9)+(AD419*Settings!$G$10)+(AE419*Settings!$G$11)+(AF419*Settings!$G$12)+(AG419*Settings!$G$13)+(AH419*Settings!$G$14)+(AI419*Settings!$G$15)+(AJ419*Settings!$G$16)+(AK419*Settings!$G$17)+(W419*Settings!$G$3)+(X419*Settings!$G$4)</f>
        <v>3.5668376867258602</v>
      </c>
      <c r="E419" s="67"/>
      <c r="F419" s="67"/>
      <c r="G419" s="67"/>
      <c r="H419" s="67"/>
      <c r="I419" s="67"/>
      <c r="J419" s="67"/>
      <c r="K419" s="72"/>
      <c r="L419" s="72"/>
      <c r="M419" s="67"/>
      <c r="N419" s="67"/>
      <c r="O419" s="67"/>
      <c r="P419" s="67"/>
      <c r="Q419" s="67"/>
      <c r="R419" s="72"/>
      <c r="S419" s="72"/>
      <c r="T419" s="67"/>
      <c r="U419" s="67"/>
      <c r="V419" s="118">
        <f>(VLOOKUP($A419,Pitchers!$A1:$S251,4,FALSE)-AVERAGE(Rankings!AC2:AC651))/STDEV(Rankings!AC2:AC651)</f>
        <v>1.455950852625407</v>
      </c>
      <c r="W419" s="118">
        <f>(VLOOKUP($A419,Pitchers!$A1:$S251,5,FALSE)-AVERAGE(Rankings!AD2:AD651))/STDEV(Rankings!AD2:AD651)*-1</f>
        <v>5.807123437309307E-2</v>
      </c>
      <c r="X419" s="118">
        <f>(VLOOKUP($A419,Pitchers!$A1:$S251,6,FALSE)-AVERAGE(Rankings!AE2:AE651))/STDEV(Rankings!AE2:AE651)*-1</f>
        <v>0.44415145920250787</v>
      </c>
      <c r="Y419" s="118">
        <f>(VLOOKUP($A419,Pitchers!$A1:$S251,7,FALSE)-AVERAGE(Rankings!AF2:AF651))/STDEV(Rankings!AF2:AF651)</f>
        <v>2.0584831877900709</v>
      </c>
      <c r="Z419" s="118">
        <f>(VLOOKUP($A419,Pitchers!$A1:$S251,8,FALSE)-AVERAGE(Rankings!AG2:AG651))/STDEV(Rankings!AG2:AG651)</f>
        <v>1.4888446803573889</v>
      </c>
      <c r="AA419" s="118">
        <f>(VLOOKUP($A419,Pitchers!$A1:$S251,9,FALSE)-AVERAGE(Rankings!AH2:AH651))/STDEV(Rankings!AH2:AH651)</f>
        <v>-0.48271287499720011</v>
      </c>
      <c r="AB419" s="118">
        <f>(VLOOKUP($A419,Pitchers!$A1:$S251,10,FALSE)-AVERAGE(Rankings!AI2:AI651))/STDEV(Rankings!AI2:AI651)*-1</f>
        <v>-1.3143652148332838</v>
      </c>
      <c r="AC419" s="118">
        <f>(VLOOKUP($A419,Pitchers!$A1:$S251,11,FALSE)-AVERAGE(Rankings!AJ2:AJ651))/STDEV(Rankings!AJ2:AJ651)*-1</f>
        <v>-1.1584817398636778</v>
      </c>
      <c r="AD419" s="118">
        <f>(VLOOKUP($A419,Pitchers!$A1:$S251,12,FALSE)-AVERAGE(Rankings!AK2:AK651))/STDEV(Rankings!AK2:AK651)*-1</f>
        <v>-1.7217499566716354</v>
      </c>
      <c r="AE419" s="118">
        <f>IFERROR((VLOOKUP($A419,Pitchers!$A1:$S251,13,FALSE)-AVERAGE(Rankings!AL2:AL651))/STDEV(Rankings!AL2:AL651)*-1,0)</f>
        <v>-2.1618690660915023</v>
      </c>
      <c r="AF419" s="118">
        <f>(VLOOKUP($A419,Pitchers!$A1:$S251,14,FALSE)-AVERAGE(Rankings!AM2:AM651))/STDEV(Rankings!AM2:AM651)</f>
        <v>-0.59020667567897234</v>
      </c>
      <c r="AG419" s="118">
        <f>(VLOOKUP($A419,Pitchers!$A1:$S251,15,FALSE)-AVERAGE(Rankings!AN2:AN651))/STDEV(Rankings!AN2:AN651)</f>
        <v>1.1681292036251567</v>
      </c>
      <c r="AH419" s="118">
        <f>(VLOOKUP($A419,Pitchers!$A1:$S251,16,FALSE)-AVERAGE(Rankings!AO2:AO651))/STDEV(Rankings!AO2:AO651)*-1</f>
        <v>-1.3380252757117925</v>
      </c>
      <c r="AI419" s="118">
        <f>IFERROR((VLOOKUP($A419,Pitchers!$A1:$S251,17,FALSE)-AVERAGE(Rankings!AP2:AP651))/STDEV(Rankings!AP2:AP651),0)</f>
        <v>1.333284626499355</v>
      </c>
      <c r="AJ419" s="118">
        <f>(VLOOKUP($A419,Pitchers!$A1:$S251,18,FALSE)-AVERAGE(Rankings!AQ2:AQ651))/STDEV(Rankings!AQ2:AQ651)</f>
        <v>-0.69471541349839372</v>
      </c>
      <c r="AK419" s="118">
        <f>IFERROR((VLOOKUP($A419,Pitchers!$A1:$S251,19,FALSE)-AVERAGE(Rankings!AR2:AR651))/STDEV(Rankings!AR2:AR651)*-1,0)</f>
        <v>0.47686441955275594</v>
      </c>
    </row>
    <row r="420" spans="1:37" ht="18.600000000000001" customHeight="1">
      <c r="A420" s="26" t="s">
        <v>162</v>
      </c>
      <c r="B420" s="27" t="s">
        <v>120</v>
      </c>
      <c r="C420" s="127" t="s">
        <v>31</v>
      </c>
      <c r="D420" s="67">
        <f>(V420*Settings!$G$2)+(Y420*Settings!$G$5)+(Z420*Settings!$G$6)+(AA420*Settings!$G$7)+(AB420*Settings!$G$8)+(AC420*Settings!$G$9)+(AD420*Settings!$G$10)+(AE420*Settings!$G$11)+(AF420*Settings!$G$12)+(AG420*Settings!$G$13)+(AH420*Settings!$G$14)+(AI420*Settings!$G$15)+(AJ420*Settings!$G$16)+(AK420*Settings!$G$17)+(W420*Settings!$G$3)+(X420*Settings!$G$4)</f>
        <v>3.7103550998128791</v>
      </c>
      <c r="E420" s="67"/>
      <c r="F420" s="67"/>
      <c r="G420" s="67"/>
      <c r="H420" s="67"/>
      <c r="I420" s="67"/>
      <c r="J420" s="67"/>
      <c r="K420" s="72"/>
      <c r="L420" s="72"/>
      <c r="M420" s="67"/>
      <c r="N420" s="67"/>
      <c r="O420" s="67"/>
      <c r="P420" s="67"/>
      <c r="Q420" s="67"/>
      <c r="R420" s="72"/>
      <c r="S420" s="72"/>
      <c r="T420" s="67"/>
      <c r="U420" s="67"/>
      <c r="V420" s="118">
        <f>(VLOOKUP($A420,Pitchers!$A1:$S251,4,FALSE)-AVERAGE(Rankings!AC2:AC651))/STDEV(Rankings!AC2:AC651)</f>
        <v>1.3165376195322767</v>
      </c>
      <c r="W420" s="118">
        <f>(VLOOKUP($A420,Pitchers!$A1:$S251,5,FALSE)-AVERAGE(Rankings!AD2:AD651))/STDEV(Rankings!AD2:AD651)*-1</f>
        <v>0.66658651105415745</v>
      </c>
      <c r="X420" s="118">
        <f>(VLOOKUP($A420,Pitchers!$A1:$S251,6,FALSE)-AVERAGE(Rankings!AE2:AE651))/STDEV(Rankings!AE2:AE651)*-1</f>
        <v>0.7825063731419083</v>
      </c>
      <c r="Y420" s="118">
        <f>(VLOOKUP($A420,Pitchers!$A1:$S251,7,FALSE)-AVERAGE(Rankings!AF2:AF651))/STDEV(Rankings!AF2:AF651)</f>
        <v>1.5416195889672109</v>
      </c>
      <c r="Z420" s="118">
        <f>(VLOOKUP($A420,Pitchers!$A1:$S251,8,FALSE)-AVERAGE(Rankings!AG2:AG651))/STDEV(Rankings!AG2:AG651)</f>
        <v>1.202355501646803</v>
      </c>
      <c r="AA420" s="118">
        <f>(VLOOKUP($A420,Pitchers!$A1:$S251,9,FALSE)-AVERAGE(Rankings!AH2:AH651))/STDEV(Rankings!AH2:AH651)</f>
        <v>-0.48271287499720011</v>
      </c>
      <c r="AB420" s="118">
        <f>(VLOOKUP($A420,Pitchers!$A1:$S251,10,FALSE)-AVERAGE(Rankings!AI2:AI651))/STDEV(Rankings!AI2:AI651)*-1</f>
        <v>-0.94182093100639508</v>
      </c>
      <c r="AC420" s="118">
        <f>(VLOOKUP($A420,Pitchers!$A1:$S251,11,FALSE)-AVERAGE(Rankings!AJ2:AJ651))/STDEV(Rankings!AJ2:AJ651)*-1</f>
        <v>-1.008097285600787</v>
      </c>
      <c r="AD420" s="118">
        <f>(VLOOKUP($A420,Pitchers!$A1:$S251,12,FALSE)-AVERAGE(Rankings!AK2:AK651))/STDEV(Rankings!AK2:AK651)*-1</f>
        <v>-1.2687949761383426</v>
      </c>
      <c r="AE420" s="118">
        <f>IFERROR((VLOOKUP($A420,Pitchers!$A1:$S251,13,FALSE)-AVERAGE(Rankings!AL2:AL651))/STDEV(Rankings!AL2:AL651)*-1,0)</f>
        <v>-0.8772521047216616</v>
      </c>
      <c r="AF420" s="118">
        <f>(VLOOKUP($A420,Pitchers!$A1:$S251,14,FALSE)-AVERAGE(Rankings!AM2:AM651))/STDEV(Rankings!AM2:AM651)</f>
        <v>-0.64192465072220251</v>
      </c>
      <c r="AG420" s="118">
        <f>(VLOOKUP($A420,Pitchers!$A1:$S251,15,FALSE)-AVERAGE(Rankings!AN2:AN651))/STDEV(Rankings!AN2:AN651)</f>
        <v>1.1053937813669437</v>
      </c>
      <c r="AH420" s="118">
        <f>(VLOOKUP($A420,Pitchers!$A1:$S251,16,FALSE)-AVERAGE(Rankings!AO2:AO651))/STDEV(Rankings!AO2:AO651)*-1</f>
        <v>-0.83670346748472213</v>
      </c>
      <c r="AI420" s="118">
        <f>IFERROR((VLOOKUP($A420,Pitchers!$A1:$S251,17,FALSE)-AVERAGE(Rankings!AP2:AP651))/STDEV(Rankings!AP2:AP651),0)</f>
        <v>1.197343925526992</v>
      </c>
      <c r="AJ420" s="118">
        <f>(VLOOKUP($A420,Pitchers!$A1:$S251,18,FALSE)-AVERAGE(Rankings!AQ2:AQ651))/STDEV(Rankings!AQ2:AQ651)</f>
        <v>-0.69471541349839372</v>
      </c>
      <c r="AK420" s="118">
        <f>IFERROR((VLOOKUP($A420,Pitchers!$A1:$S251,19,FALSE)-AVERAGE(Rankings!AR2:AR651))/STDEV(Rankings!AR2:AR651)*-1,0)</f>
        <v>0.47686441955275594</v>
      </c>
    </row>
    <row r="421" spans="1:37" ht="18.600000000000001" customHeight="1">
      <c r="A421" s="26" t="s">
        <v>144</v>
      </c>
      <c r="B421" s="27" t="s">
        <v>91</v>
      </c>
      <c r="C421" s="127" t="s">
        <v>31</v>
      </c>
      <c r="D421" s="67">
        <f>(V421*Settings!$G$2)+(Y421*Settings!$G$5)+(Z421*Settings!$G$6)+(AA421*Settings!$G$7)+(AB421*Settings!$G$8)+(AC421*Settings!$G$9)+(AD421*Settings!$G$10)+(AE421*Settings!$G$11)+(AF421*Settings!$G$12)+(AG421*Settings!$G$13)+(AH421*Settings!$G$14)+(AI421*Settings!$G$15)+(AJ421*Settings!$G$16)+(AK421*Settings!$G$17)+(W421*Settings!$G$3)+(X421*Settings!$G$4)</f>
        <v>4.8847106598886265</v>
      </c>
      <c r="E421" s="67"/>
      <c r="F421" s="67"/>
      <c r="G421" s="67"/>
      <c r="H421" s="67"/>
      <c r="I421" s="67"/>
      <c r="J421" s="67"/>
      <c r="K421" s="72"/>
      <c r="L421" s="72"/>
      <c r="M421" s="67"/>
      <c r="N421" s="67"/>
      <c r="O421" s="67"/>
      <c r="P421" s="67"/>
      <c r="Q421" s="67"/>
      <c r="R421" s="72"/>
      <c r="S421" s="72"/>
      <c r="T421" s="67"/>
      <c r="U421" s="67"/>
      <c r="V421" s="118">
        <f>(VLOOKUP($A421,Pitchers!$A1:$S251,4,FALSE)-AVERAGE(Rankings!AC2:AC651))/STDEV(Rankings!AC2:AC651)</f>
        <v>1.4225063372925171</v>
      </c>
      <c r="W421" s="118">
        <f>(VLOOKUP($A421,Pitchers!$A1:$S251,5,FALSE)-AVERAGE(Rankings!AD2:AD651))/STDEV(Rankings!AD2:AD651)*-1</f>
        <v>1.0481675156844861</v>
      </c>
      <c r="X421" s="118">
        <f>(VLOOKUP($A421,Pitchers!$A1:$S251,6,FALSE)-AVERAGE(Rankings!AE2:AE651))/STDEV(Rankings!AE2:AE651)*-1</f>
        <v>1.0564369845936523</v>
      </c>
      <c r="Y421" s="118">
        <f>(VLOOKUP($A421,Pitchers!$A1:$S251,7,FALSE)-AVERAGE(Rankings!AF2:AF651))/STDEV(Rankings!AF2:AF651)</f>
        <v>1.4881282488926002</v>
      </c>
      <c r="Z421" s="118">
        <f>(VLOOKUP($A421,Pitchers!$A1:$S251,8,FALSE)-AVERAGE(Rankings!AG2:AG651))/STDEV(Rankings!AG2:AG651)</f>
        <v>1.7746907857150884</v>
      </c>
      <c r="AA421" s="118">
        <f>(VLOOKUP($A421,Pitchers!$A1:$S251,9,FALSE)-AVERAGE(Rankings!AH2:AH651))/STDEV(Rankings!AH2:AH651)</f>
        <v>-0.48271287499720011</v>
      </c>
      <c r="AB421" s="118">
        <f>(VLOOKUP($A421,Pitchers!$A1:$S251,10,FALSE)-AVERAGE(Rankings!AI2:AI651))/STDEV(Rankings!AI2:AI651)*-1</f>
        <v>-0.87623930898992641</v>
      </c>
      <c r="AC421" s="118">
        <f>(VLOOKUP($A421,Pitchers!$A1:$S251,11,FALSE)-AVERAGE(Rankings!AJ2:AJ651))/STDEV(Rankings!AJ2:AJ651)*-1</f>
        <v>-1.2597292773382223</v>
      </c>
      <c r="AD421" s="118">
        <f>(VLOOKUP($A421,Pitchers!$A1:$S251,12,FALSE)-AVERAGE(Rankings!AK2:AK651))/STDEV(Rankings!AK2:AK651)*-1</f>
        <v>-0.52625999850838268</v>
      </c>
      <c r="AE421" s="118">
        <f>IFERROR((VLOOKUP($A421,Pitchers!$A1:$S251,13,FALSE)-AVERAGE(Rankings!AL2:AL651))/STDEV(Rankings!AL2:AL651)*-1,0)</f>
        <v>-0.56817133206124892</v>
      </c>
      <c r="AF421" s="118">
        <f>(VLOOKUP($A421,Pitchers!$A1:$S251,14,FALSE)-AVERAGE(Rankings!AM2:AM651))/STDEV(Rankings!AM2:AM651)</f>
        <v>-0.67734792129975741</v>
      </c>
      <c r="AG421" s="118">
        <f>(VLOOKUP($A421,Pitchers!$A1:$S251,15,FALSE)-AVERAGE(Rankings!AN2:AN651))/STDEV(Rankings!AN2:AN651)</f>
        <v>1.0624243140667979</v>
      </c>
      <c r="AH421" s="118">
        <f>(VLOOKUP($A421,Pitchers!$A1:$S251,16,FALSE)-AVERAGE(Rankings!AO2:AO651))/STDEV(Rankings!AO2:AO651)*-1</f>
        <v>-0.83440382616257924</v>
      </c>
      <c r="AI421" s="118">
        <f>IFERROR((VLOOKUP($A421,Pitchers!$A1:$S251,17,FALSE)-AVERAGE(Rankings!AP2:AP651))/STDEV(Rankings!AP2:AP651),0)</f>
        <v>1.4692253274717182</v>
      </c>
      <c r="AJ421" s="118">
        <f>(VLOOKUP($A421,Pitchers!$A1:$S251,18,FALSE)-AVERAGE(Rankings!AQ2:AQ651))/STDEV(Rankings!AQ2:AQ651)</f>
        <v>-0.69471541349839372</v>
      </c>
      <c r="AK421" s="118">
        <f>IFERROR((VLOOKUP($A421,Pitchers!$A1:$S251,19,FALSE)-AVERAGE(Rankings!AR2:AR651))/STDEV(Rankings!AR2:AR651)*-1,0)</f>
        <v>0.47686441955275594</v>
      </c>
    </row>
    <row r="422" spans="1:37" ht="18.600000000000001" customHeight="1">
      <c r="A422" s="26" t="s">
        <v>177</v>
      </c>
      <c r="B422" s="27" t="s">
        <v>71</v>
      </c>
      <c r="C422" s="127" t="s">
        <v>31</v>
      </c>
      <c r="D422" s="67">
        <f>(V422*Settings!$G$2)+(Y422*Settings!$G$5)+(Z422*Settings!$G$6)+(AA422*Settings!$G$7)+(AB422*Settings!$G$8)+(AC422*Settings!$G$9)+(AD422*Settings!$G$10)+(AE422*Settings!$G$11)+(AF422*Settings!$G$12)+(AG422*Settings!$G$13)+(AH422*Settings!$G$14)+(AI422*Settings!$G$15)+(AJ422*Settings!$G$16)+(AK422*Settings!$G$17)+(W422*Settings!$G$3)+(X422*Settings!$G$4)</f>
        <v>4.4469853553627381</v>
      </c>
      <c r="E422" s="67"/>
      <c r="F422" s="67"/>
      <c r="G422" s="67"/>
      <c r="H422" s="67"/>
      <c r="I422" s="67"/>
      <c r="J422" s="67"/>
      <c r="K422" s="72"/>
      <c r="L422" s="72"/>
      <c r="M422" s="67"/>
      <c r="N422" s="67"/>
      <c r="O422" s="67"/>
      <c r="P422" s="67"/>
      <c r="Q422" s="67"/>
      <c r="R422" s="72"/>
      <c r="S422" s="72"/>
      <c r="T422" s="67"/>
      <c r="U422" s="67"/>
      <c r="V422" s="118">
        <f>(VLOOKUP($A422,Pitchers!$A1:$S251,4,FALSE)-AVERAGE(Rankings!AC2:AC651))/STDEV(Rankings!AC2:AC651)</f>
        <v>1.5244204802487002</v>
      </c>
      <c r="W422" s="118">
        <f>(VLOOKUP($A422,Pitchers!$A1:$S251,5,FALSE)-AVERAGE(Rankings!AD2:AD651))/STDEV(Rankings!AD2:AD651)*-1</f>
        <v>1.077296638045367</v>
      </c>
      <c r="X422" s="118">
        <f>(VLOOKUP($A422,Pitchers!$A1:$S251,6,FALSE)-AVERAGE(Rankings!AE2:AE651))/STDEV(Rankings!AE2:AE651)*-1</f>
        <v>0.47426293567195521</v>
      </c>
      <c r="Y422" s="118">
        <f>(VLOOKUP($A422,Pitchers!$A1:$S251,7,FALSE)-AVERAGE(Rankings!AF2:AF651))/STDEV(Rankings!AF2:AF651)</f>
        <v>1.7362425182984271</v>
      </c>
      <c r="Z422" s="118">
        <f>(VLOOKUP($A422,Pitchers!$A1:$S251,8,FALSE)-AVERAGE(Rankings!AG2:AG651))/STDEV(Rankings!AG2:AG651)</f>
        <v>1.6418961383441883</v>
      </c>
      <c r="AA422" s="118">
        <f>(VLOOKUP($A422,Pitchers!$A1:$S251,9,FALSE)-AVERAGE(Rankings!AH2:AH651))/STDEV(Rankings!AH2:AH651)</f>
        <v>-0.48271287499720011</v>
      </c>
      <c r="AB422" s="118">
        <f>(VLOOKUP($A422,Pitchers!$A1:$S251,10,FALSE)-AVERAGE(Rankings!AI2:AI651))/STDEV(Rankings!AI2:AI651)*-1</f>
        <v>-0.94751483927449187</v>
      </c>
      <c r="AC422" s="118">
        <f>(VLOOKUP($A422,Pitchers!$A1:$S251,11,FALSE)-AVERAGE(Rankings!AJ2:AJ651))/STDEV(Rankings!AJ2:AJ651)*-1</f>
        <v>-1.2116307968316673</v>
      </c>
      <c r="AD422" s="118">
        <f>(VLOOKUP($A422,Pitchers!$A1:$S251,12,FALSE)-AVERAGE(Rankings!AK2:AK651))/STDEV(Rankings!AK2:AK651)*-1</f>
        <v>-1.7860312151859024</v>
      </c>
      <c r="AE422" s="118">
        <f>IFERROR((VLOOKUP($A422,Pitchers!$A1:$S251,13,FALSE)-AVERAGE(Rankings!AL2:AL651))/STDEV(Rankings!AL2:AL651)*-1,0)</f>
        <v>-0.47158359060487032</v>
      </c>
      <c r="AF422" s="118">
        <f>(VLOOKUP($A422,Pitchers!$A1:$S251,14,FALSE)-AVERAGE(Rankings!AM2:AM651))/STDEV(Rankings!AM2:AM651)</f>
        <v>-0.59799979520603452</v>
      </c>
      <c r="AG422" s="118">
        <f>(VLOOKUP($A422,Pitchers!$A1:$S251,15,FALSE)-AVERAGE(Rankings!AN2:AN651))/STDEV(Rankings!AN2:AN651)</f>
        <v>1.1586759208191244</v>
      </c>
      <c r="AH422" s="118">
        <f>(VLOOKUP($A422,Pitchers!$A1:$S251,16,FALSE)-AVERAGE(Rankings!AO2:AO651))/STDEV(Rankings!AO2:AO651)*-1</f>
        <v>-0.99844490714207934</v>
      </c>
      <c r="AI422" s="118">
        <f>IFERROR((VLOOKUP($A422,Pitchers!$A1:$S251,17,FALSE)-AVERAGE(Rankings!AP2:AP651))/STDEV(Rankings!AP2:AP651),0)</f>
        <v>1.7346223579800628</v>
      </c>
      <c r="AJ422" s="118">
        <f>(VLOOKUP($A422,Pitchers!$A1:$S251,18,FALSE)-AVERAGE(Rankings!AQ2:AQ651))/STDEV(Rankings!AQ2:AQ651)</f>
        <v>-0.69471541349839372</v>
      </c>
      <c r="AK422" s="118">
        <f>IFERROR((VLOOKUP($A422,Pitchers!$A1:$S251,19,FALSE)-AVERAGE(Rankings!AR2:AR651))/STDEV(Rankings!AR2:AR651)*-1,0)</f>
        <v>0.47686441955275594</v>
      </c>
    </row>
    <row r="423" spans="1:37" ht="18.600000000000001" customHeight="1">
      <c r="A423" s="26" t="s">
        <v>171</v>
      </c>
      <c r="B423" s="27" t="s">
        <v>63</v>
      </c>
      <c r="C423" s="127" t="s">
        <v>31</v>
      </c>
      <c r="D423" s="67">
        <f>(V423*Settings!$G$2)+(Y423*Settings!$G$5)+(Z423*Settings!$G$6)+(AA423*Settings!$G$7)+(AB423*Settings!$G$8)+(AC423*Settings!$G$9)+(AD423*Settings!$G$10)+(AE423*Settings!$G$11)+(AF423*Settings!$G$12)+(AG423*Settings!$G$13)+(AH423*Settings!$G$14)+(AI423*Settings!$G$15)+(AJ423*Settings!$G$16)+(AK423*Settings!$G$17)+(W423*Settings!$G$3)+(X423*Settings!$G$4)</f>
        <v>3.2878944226296034</v>
      </c>
      <c r="E423" s="67"/>
      <c r="F423" s="67"/>
      <c r="G423" s="67"/>
      <c r="H423" s="67"/>
      <c r="I423" s="67"/>
      <c r="J423" s="67"/>
      <c r="K423" s="72"/>
      <c r="L423" s="72"/>
      <c r="M423" s="67"/>
      <c r="N423" s="67"/>
      <c r="O423" s="67"/>
      <c r="P423" s="67"/>
      <c r="Q423" s="67"/>
      <c r="R423" s="72"/>
      <c r="S423" s="72"/>
      <c r="T423" s="67"/>
      <c r="U423" s="67"/>
      <c r="V423" s="118">
        <f>(VLOOKUP($A423,Pitchers!$A1:$S251,4,FALSE)-AVERAGE(Rankings!AC2:AC651))/STDEV(Rankings!AC2:AC651)</f>
        <v>1.0353162053473508</v>
      </c>
      <c r="W423" s="118">
        <f>(VLOOKUP($A423,Pitchers!$A1:$S251,5,FALSE)-AVERAGE(Rankings!AD2:AD651))/STDEV(Rankings!AD2:AD651)*-1</f>
        <v>0.66959768094339123</v>
      </c>
      <c r="X423" s="118">
        <f>(VLOOKUP($A423,Pitchers!$A1:$S251,6,FALSE)-AVERAGE(Rankings!AE2:AE651))/STDEV(Rankings!AE2:AE651)*-1</f>
        <v>0.91842836783669479</v>
      </c>
      <c r="Y423" s="118">
        <f>(VLOOKUP($A423,Pitchers!$A1:$S251,7,FALSE)-AVERAGE(Rankings!AF2:AF651))/STDEV(Rankings!AF2:AF651)</f>
        <v>1.0327326864630324</v>
      </c>
      <c r="Z423" s="118">
        <f>(VLOOKUP($A423,Pitchers!$A1:$S251,8,FALSE)-AVERAGE(Rankings!AG2:AG651))/STDEV(Rankings!AG2:AG651)</f>
        <v>1.1498485623836849</v>
      </c>
      <c r="AA423" s="118">
        <f>(VLOOKUP($A423,Pitchers!$A1:$S251,9,FALSE)-AVERAGE(Rankings!AH2:AH651))/STDEV(Rankings!AH2:AH651)</f>
        <v>-0.48271287499720011</v>
      </c>
      <c r="AB423" s="118">
        <f>(VLOOKUP($A423,Pitchers!$A1:$S251,10,FALSE)-AVERAGE(Rankings!AI2:AI651))/STDEV(Rankings!AI2:AI651)*-1</f>
        <v>-0.69839110100526425</v>
      </c>
      <c r="AC423" s="118">
        <f>(VLOOKUP($A423,Pitchers!$A1:$S251,11,FALSE)-AVERAGE(Rankings!AJ2:AJ651))/STDEV(Rankings!AJ2:AJ651)*-1</f>
        <v>-0.86182409498080259</v>
      </c>
      <c r="AD423" s="118">
        <f>(VLOOKUP($A423,Pitchers!$A1:$S251,12,FALSE)-AVERAGE(Rankings!AK2:AK651))/STDEV(Rankings!AK2:AK651)*-1</f>
        <v>-0.50086182888514175</v>
      </c>
      <c r="AE423" s="118">
        <f>IFERROR((VLOOKUP($A423,Pitchers!$A1:$S251,13,FALSE)-AVERAGE(Rankings!AL2:AL651))/STDEV(Rankings!AL2:AL651)*-1,0)</f>
        <v>-0.73526812478078496</v>
      </c>
      <c r="AF423" s="118">
        <f>(VLOOKUP($A423,Pitchers!$A1:$S251,14,FALSE)-AVERAGE(Rankings!AM2:AM651))/STDEV(Rankings!AM2:AM651)</f>
        <v>-0.80365313487108658</v>
      </c>
      <c r="AG423" s="118">
        <f>(VLOOKUP($A423,Pitchers!$A1:$S251,15,FALSE)-AVERAGE(Rankings!AN2:AN651))/STDEV(Rankings!AN2:AN651)</f>
        <v>0.90843893104999596</v>
      </c>
      <c r="AH423" s="118">
        <f>(VLOOKUP($A423,Pitchers!$A1:$S251,16,FALSE)-AVERAGE(Rankings!AO2:AO651))/STDEV(Rankings!AO2:AO651)*-1</f>
        <v>-0.37114108181696787</v>
      </c>
      <c r="AI423" s="118">
        <f>IFERROR((VLOOKUP($A423,Pitchers!$A1:$S251,17,FALSE)-AVERAGE(Rankings!AP2:AP651))/STDEV(Rankings!AP2:AP651),0)</f>
        <v>1.0885913647491012</v>
      </c>
      <c r="AJ423" s="118">
        <f>(VLOOKUP($A423,Pitchers!$A1:$S251,18,FALSE)-AVERAGE(Rankings!AQ2:AQ651))/STDEV(Rankings!AQ2:AQ651)</f>
        <v>-0.69471541349839372</v>
      </c>
      <c r="AK423" s="118">
        <f>IFERROR((VLOOKUP($A423,Pitchers!$A1:$S251,19,FALSE)-AVERAGE(Rankings!AR2:AR651))/STDEV(Rankings!AR2:AR651)*-1,0)</f>
        <v>0.47686441955275594</v>
      </c>
    </row>
    <row r="424" spans="1:37" ht="18.600000000000001" customHeight="1">
      <c r="A424" s="26" t="s">
        <v>169</v>
      </c>
      <c r="B424" s="27" t="s">
        <v>94</v>
      </c>
      <c r="C424" s="127" t="s">
        <v>31</v>
      </c>
      <c r="D424" s="67">
        <f>(V424*Settings!$G$2)+(Y424*Settings!$G$5)+(Z424*Settings!$G$6)+(AA424*Settings!$G$7)+(AB424*Settings!$G$8)+(AC424*Settings!$G$9)+(AD424*Settings!$G$10)+(AE424*Settings!$G$11)+(AF424*Settings!$G$12)+(AG424*Settings!$G$13)+(AH424*Settings!$G$14)+(AI424*Settings!$G$15)+(AJ424*Settings!$G$16)+(AK424*Settings!$G$17)+(W424*Settings!$G$3)+(X424*Settings!$G$4)</f>
        <v>4.3582794029998873</v>
      </c>
      <c r="E424" s="67"/>
      <c r="F424" s="67"/>
      <c r="G424" s="67"/>
      <c r="H424" s="67"/>
      <c r="I424" s="67"/>
      <c r="J424" s="67"/>
      <c r="K424" s="72"/>
      <c r="L424" s="72"/>
      <c r="M424" s="67"/>
      <c r="N424" s="67"/>
      <c r="O424" s="67"/>
      <c r="P424" s="67"/>
      <c r="Q424" s="67"/>
      <c r="R424" s="72"/>
      <c r="S424" s="72"/>
      <c r="T424" s="67"/>
      <c r="U424" s="67"/>
      <c r="V424" s="118">
        <f>(VLOOKUP($A424,Pitchers!$A1:$S251,4,FALSE)-AVERAGE(Rankings!AC2:AC651))/STDEV(Rankings!AC2:AC651)</f>
        <v>1.5842999070159438</v>
      </c>
      <c r="W424" s="118">
        <f>(VLOOKUP($A424,Pitchers!$A1:$S251,5,FALSE)-AVERAGE(Rankings!AD2:AD651))/STDEV(Rankings!AD2:AD651)*-1</f>
        <v>0.5011446743298974</v>
      </c>
      <c r="X424" s="118">
        <f>(VLOOKUP($A424,Pitchers!$A1:$S251,6,FALSE)-AVERAGE(Rankings!AE2:AE651))/STDEV(Rankings!AE2:AE651)*-1</f>
        <v>0.95358926867146687</v>
      </c>
      <c r="Y424" s="118">
        <f>(VLOOKUP($A424,Pitchers!$A1:$S251,7,FALSE)-AVERAGE(Rankings!AF2:AF651))/STDEV(Rankings!AF2:AF651)</f>
        <v>1.472663705057321</v>
      </c>
      <c r="Z424" s="118">
        <f>(VLOOKUP($A424,Pitchers!$A1:$S251,8,FALSE)-AVERAGE(Rankings!AG2:AG651))/STDEV(Rankings!AG2:AG651)</f>
        <v>1.9135946299384019</v>
      </c>
      <c r="AA424" s="118">
        <f>(VLOOKUP($A424,Pitchers!$A1:$S251,9,FALSE)-AVERAGE(Rankings!AH2:AH651))/STDEV(Rankings!AH2:AH651)</f>
        <v>-0.48271287499720011</v>
      </c>
      <c r="AB424" s="118">
        <f>(VLOOKUP($A424,Pitchers!$A1:$S251,10,FALSE)-AVERAGE(Rankings!AI2:AI651))/STDEV(Rankings!AI2:AI651)*-1</f>
        <v>-1.2434841910501504</v>
      </c>
      <c r="AC424" s="118">
        <f>(VLOOKUP($A424,Pitchers!$A1:$S251,11,FALSE)-AVERAGE(Rankings!AJ2:AJ651))/STDEV(Rankings!AJ2:AJ651)*-1</f>
        <v>-1.2318567035019896</v>
      </c>
      <c r="AD424" s="118">
        <f>(VLOOKUP($A424,Pitchers!$A1:$S251,12,FALSE)-AVERAGE(Rankings!AK2:AK651))/STDEV(Rankings!AK2:AK651)*-1</f>
        <v>-1.3709927471625527</v>
      </c>
      <c r="AE424" s="118">
        <f>IFERROR((VLOOKUP($A424,Pitchers!$A1:$S251,13,FALSE)-AVERAGE(Rankings!AL2:AL651))/STDEV(Rankings!AL2:AL651)*-1,0)</f>
        <v>-1.3457026507850998</v>
      </c>
      <c r="AF424" s="118">
        <f>(VLOOKUP($A424,Pitchers!$A1:$S251,14,FALSE)-AVERAGE(Rankings!AM2:AM651))/STDEV(Rankings!AM2:AM651)</f>
        <v>-0.59091514109052334</v>
      </c>
      <c r="AG424" s="118">
        <f>(VLOOKUP($A424,Pitchers!$A1:$S251,15,FALSE)-AVERAGE(Rankings!AN2:AN651))/STDEV(Rankings!AN2:AN651)</f>
        <v>1.1672698142791538</v>
      </c>
      <c r="AH424" s="118">
        <f>(VLOOKUP($A424,Pitchers!$A1:$S251,16,FALSE)-AVERAGE(Rankings!AO2:AO651))/STDEV(Rankings!AO2:AO651)*-1</f>
        <v>-0.83095436417936552</v>
      </c>
      <c r="AI424" s="118">
        <f>IFERROR((VLOOKUP($A424,Pitchers!$A1:$S251,17,FALSE)-AVERAGE(Rankings!AP2:AP651))/STDEV(Rankings!AP2:AP651),0)</f>
        <v>1.333284626499355</v>
      </c>
      <c r="AJ424" s="118">
        <f>(VLOOKUP($A424,Pitchers!$A1:$S251,18,FALSE)-AVERAGE(Rankings!AQ2:AQ651))/STDEV(Rankings!AQ2:AQ651)</f>
        <v>-0.69471541349839372</v>
      </c>
      <c r="AK424" s="118">
        <f>IFERROR((VLOOKUP($A424,Pitchers!$A1:$S251,19,FALSE)-AVERAGE(Rankings!AR2:AR651))/STDEV(Rankings!AR2:AR651)*-1,0)</f>
        <v>0.47686441955275594</v>
      </c>
    </row>
    <row r="425" spans="1:37" ht="18.600000000000001" customHeight="1">
      <c r="A425" s="26" t="s">
        <v>179</v>
      </c>
      <c r="B425" s="27" t="s">
        <v>76</v>
      </c>
      <c r="C425" s="127" t="s">
        <v>31</v>
      </c>
      <c r="D425" s="67">
        <f>(V425*Settings!$G$2)+(Y425*Settings!$G$5)+(Z425*Settings!$G$6)+(AA425*Settings!$G$7)+(AB425*Settings!$G$8)+(AC425*Settings!$G$9)+(AD425*Settings!$G$10)+(AE425*Settings!$G$11)+(AF425*Settings!$G$12)+(AG425*Settings!$G$13)+(AH425*Settings!$G$14)+(AI425*Settings!$G$15)+(AJ425*Settings!$G$16)+(AK425*Settings!$G$17)+(W425*Settings!$G$3)+(X425*Settings!$G$4)</f>
        <v>3.6880205773660784</v>
      </c>
      <c r="E425" s="67"/>
      <c r="F425" s="67"/>
      <c r="G425" s="67"/>
      <c r="H425" s="67"/>
      <c r="I425" s="67"/>
      <c r="J425" s="67"/>
      <c r="K425" s="72"/>
      <c r="L425" s="72"/>
      <c r="M425" s="67"/>
      <c r="N425" s="67"/>
      <c r="O425" s="67"/>
      <c r="P425" s="67"/>
      <c r="Q425" s="67"/>
      <c r="R425" s="72"/>
      <c r="S425" s="72"/>
      <c r="T425" s="67"/>
      <c r="U425" s="67"/>
      <c r="V425" s="118">
        <f>(VLOOKUP($A425,Pitchers!$A1:$S251,4,FALSE)-AVERAGE(Rankings!AC2:AC651))/STDEV(Rankings!AC2:AC651)</f>
        <v>1.5462510440242103</v>
      </c>
      <c r="W425" s="118">
        <f>(VLOOKUP($A425,Pitchers!$A1:$S251,5,FALSE)-AVERAGE(Rankings!AD2:AD651))/STDEV(Rankings!AD2:AD651)*-1</f>
        <v>8.361308409769258E-2</v>
      </c>
      <c r="X425" s="118">
        <f>(VLOOKUP($A425,Pitchers!$A1:$S251,6,FALSE)-AVERAGE(Rankings!AE2:AE651))/STDEV(Rankings!AE2:AE651)*-1</f>
        <v>0.94360836376302593</v>
      </c>
      <c r="Y425" s="118">
        <f>(VLOOKUP($A425,Pitchers!$A1:$S251,7,FALSE)-AVERAGE(Rankings!AF2:AF651))/STDEV(Rankings!AF2:AF651)</f>
        <v>1.7144088386282543</v>
      </c>
      <c r="Z425" s="118">
        <f>(VLOOKUP($A425,Pitchers!$A1:$S251,8,FALSE)-AVERAGE(Rankings!AG2:AG651))/STDEV(Rankings!AG2:AG651)</f>
        <v>1.4291031658743059</v>
      </c>
      <c r="AA425" s="118">
        <f>(VLOOKUP($A425,Pitchers!$A1:$S251,9,FALSE)-AVERAGE(Rankings!AH2:AH651))/STDEV(Rankings!AH2:AH651)</f>
        <v>-0.48271287499720011</v>
      </c>
      <c r="AB425" s="118">
        <f>(VLOOKUP($A425,Pitchers!$A1:$S251,10,FALSE)-AVERAGE(Rankings!AI2:AI651))/STDEV(Rankings!AI2:AI651)*-1</f>
        <v>-1.3873184145182711</v>
      </c>
      <c r="AC425" s="118">
        <f>(VLOOKUP($A425,Pitchers!$A1:$S251,11,FALSE)-AVERAGE(Rankings!AJ2:AJ651))/STDEV(Rankings!AJ2:AJ651)*-1</f>
        <v>-1.1692909175241304</v>
      </c>
      <c r="AD425" s="118">
        <f>(VLOOKUP($A425,Pitchers!$A1:$S251,12,FALSE)-AVERAGE(Rankings!AK2:AK651))/STDEV(Rankings!AK2:AK651)*-1</f>
        <v>-1.4432030753395202</v>
      </c>
      <c r="AE425" s="118">
        <f>IFERROR((VLOOKUP($A425,Pitchers!$A1:$S251,13,FALSE)-AVERAGE(Rankings!AL2:AL651))/STDEV(Rankings!AL2:AL651)*-1,0)</f>
        <v>-2.0720424665370691</v>
      </c>
      <c r="AF425" s="118">
        <f>(VLOOKUP($A425,Pitchers!$A1:$S251,14,FALSE)-AVERAGE(Rankings!AM2:AM651))/STDEV(Rankings!AM2:AM651)</f>
        <v>-0.59519427217629217</v>
      </c>
      <c r="AG425" s="118">
        <f>(VLOOKUP($A425,Pitchers!$A1:$S251,15,FALSE)-AVERAGE(Rankings!AN2:AN651))/STDEV(Rankings!AN2:AN651)</f>
        <v>1.1878607830093832</v>
      </c>
      <c r="AH425" s="118">
        <f>(VLOOKUP($A425,Pitchers!$A1:$S251,16,FALSE)-AVERAGE(Rankings!AO2:AO651))/STDEV(Rankings!AO2:AO651)*-1</f>
        <v>-1.4263315024820651</v>
      </c>
      <c r="AI425" s="118">
        <f>IFERROR((VLOOKUP($A425,Pitchers!$A1:$S251,17,FALSE)-AVERAGE(Rankings!AP2:AP651))/STDEV(Rankings!AP2:AP651),0)</f>
        <v>1.4964134676661907</v>
      </c>
      <c r="AJ425" s="118">
        <f>(VLOOKUP($A425,Pitchers!$A1:$S251,18,FALSE)-AVERAGE(Rankings!AQ2:AQ651))/STDEV(Rankings!AQ2:AQ651)</f>
        <v>-0.69471541349839372</v>
      </c>
      <c r="AK425" s="118">
        <f>IFERROR((VLOOKUP($A425,Pitchers!$A1:$S251,19,FALSE)-AVERAGE(Rankings!AR2:AR651))/STDEV(Rankings!AR2:AR651)*-1,0)</f>
        <v>0.47686441955275594</v>
      </c>
    </row>
    <row r="426" spans="1:37" ht="18.600000000000001" customHeight="1">
      <c r="A426" s="26" t="s">
        <v>163</v>
      </c>
      <c r="B426" s="27" t="s">
        <v>78</v>
      </c>
      <c r="C426" s="127" t="s">
        <v>31</v>
      </c>
      <c r="D426" s="67">
        <f>(V426*Settings!$G$2)+(Y426*Settings!$G$5)+(Z426*Settings!$G$6)+(AA426*Settings!$G$7)+(AB426*Settings!$G$8)+(AC426*Settings!$G$9)+(AD426*Settings!$G$10)+(AE426*Settings!$G$11)+(AF426*Settings!$G$12)+(AG426*Settings!$G$13)+(AH426*Settings!$G$14)+(AI426*Settings!$G$15)+(AJ426*Settings!$G$16)+(AK426*Settings!$G$17)+(W426*Settings!$G$3)+(X426*Settings!$G$4)</f>
        <v>4.0234105258828272</v>
      </c>
      <c r="E426" s="67"/>
      <c r="F426" s="67"/>
      <c r="G426" s="67"/>
      <c r="H426" s="67"/>
      <c r="I426" s="67"/>
      <c r="J426" s="67"/>
      <c r="K426" s="72"/>
      <c r="L426" s="72"/>
      <c r="M426" s="67"/>
      <c r="N426" s="67"/>
      <c r="O426" s="67"/>
      <c r="P426" s="67"/>
      <c r="Q426" s="67"/>
      <c r="R426" s="72"/>
      <c r="S426" s="72"/>
      <c r="T426" s="67"/>
      <c r="U426" s="67"/>
      <c r="V426" s="118">
        <f>(VLOOKUP($A426,Pitchers!$A1:$S251,4,FALSE)-AVERAGE(Rankings!AC2:AC651))/STDEV(Rankings!AC2:AC651)</f>
        <v>1.6180651231807934</v>
      </c>
      <c r="W426" s="118">
        <f>(VLOOKUP($A426,Pitchers!$A1:$S251,5,FALSE)-AVERAGE(Rankings!AD2:AD651))/STDEV(Rankings!AD2:AD651)*-1</f>
        <v>1.1409463744185995</v>
      </c>
      <c r="X426" s="118">
        <f>(VLOOKUP($A426,Pitchers!$A1:$S251,6,FALSE)-AVERAGE(Rankings!AE2:AE651))/STDEV(Rankings!AE2:AE651)*-1</f>
        <v>-0.17091795311600028</v>
      </c>
      <c r="Y426" s="118">
        <f>(VLOOKUP($A426,Pitchers!$A1:$S251,7,FALSE)-AVERAGE(Rankings!AF2:AF651))/STDEV(Rankings!AF2:AF651)</f>
        <v>1.4162345717009333</v>
      </c>
      <c r="Z426" s="118">
        <f>(VLOOKUP($A426,Pitchers!$A1:$S251,8,FALSE)-AVERAGE(Rankings!AG2:AG651))/STDEV(Rankings!AG2:AG651)</f>
        <v>2.1198604078764953</v>
      </c>
      <c r="AA426" s="118">
        <f>(VLOOKUP($A426,Pitchers!$A1:$S251,9,FALSE)-AVERAGE(Rankings!AH2:AH651))/STDEV(Rankings!AH2:AH651)</f>
        <v>-0.48271287499720011</v>
      </c>
      <c r="AB426" s="118">
        <f>(VLOOKUP($A426,Pitchers!$A1:$S251,10,FALSE)-AVERAGE(Rankings!AI2:AI651))/STDEV(Rankings!AI2:AI651)*-1</f>
        <v>-0.99648448391878941</v>
      </c>
      <c r="AC426" s="118">
        <f>(VLOOKUP($A426,Pitchers!$A1:$S251,11,FALSE)-AVERAGE(Rankings!AJ2:AJ651))/STDEV(Rankings!AJ2:AJ651)*-1</f>
        <v>-1.4373018815243475</v>
      </c>
      <c r="AD426" s="118">
        <f>(VLOOKUP($A426,Pitchers!$A1:$S251,12,FALSE)-AVERAGE(Rankings!AK2:AK651))/STDEV(Rankings!AK2:AK651)*-1</f>
        <v>-2.2146253275780916</v>
      </c>
      <c r="AE426" s="118">
        <f>IFERROR((VLOOKUP($A426,Pitchers!$A1:$S251,13,FALSE)-AVERAGE(Rankings!AL2:AL651))/STDEV(Rankings!AL2:AL651)*-1,0)</f>
        <v>-6.1085689415259624E-2</v>
      </c>
      <c r="AF426" s="118">
        <f>(VLOOKUP($A426,Pitchers!$A1:$S251,14,FALSE)-AVERAGE(Rankings!AM2:AM651))/STDEV(Rankings!AM2:AM651)</f>
        <v>-0.62392962926880435</v>
      </c>
      <c r="AG426" s="118">
        <f>(VLOOKUP($A426,Pitchers!$A1:$S251,15,FALSE)-AVERAGE(Rankings!AN2:AN651))/STDEV(Rankings!AN2:AN651)</f>
        <v>1.1272222707554183</v>
      </c>
      <c r="AH426" s="118">
        <f>(VLOOKUP($A426,Pitchers!$A1:$S251,16,FALSE)-AVERAGE(Rankings!AO2:AO651))/STDEV(Rankings!AO2:AO651)*-1</f>
        <v>-0.63433503113617951</v>
      </c>
      <c r="AI426" s="118">
        <f>IFERROR((VLOOKUP($A426,Pitchers!$A1:$S251,17,FALSE)-AVERAGE(Rankings!AP2:AP651))/STDEV(Rankings!AP2:AP651),0)</f>
        <v>1.9042355705832801</v>
      </c>
      <c r="AJ426" s="118">
        <f>(VLOOKUP($A426,Pitchers!$A1:$S251,18,FALSE)-AVERAGE(Rankings!AQ2:AQ651))/STDEV(Rankings!AQ2:AQ651)</f>
        <v>-0.69471541349839372</v>
      </c>
      <c r="AK426" s="118">
        <f>IFERROR((VLOOKUP($A426,Pitchers!$A1:$S251,19,FALSE)-AVERAGE(Rankings!AR2:AR651))/STDEV(Rankings!AR2:AR651)*-1,0)</f>
        <v>0.47686441955275594</v>
      </c>
    </row>
    <row r="427" spans="1:37" ht="18.600000000000001" customHeight="1">
      <c r="A427" s="26" t="s">
        <v>153</v>
      </c>
      <c r="B427" s="27" t="s">
        <v>68</v>
      </c>
      <c r="C427" s="127" t="s">
        <v>31</v>
      </c>
      <c r="D427" s="67">
        <f>(V427*Settings!$G$2)+(Y427*Settings!$G$5)+(Z427*Settings!$G$6)+(AA427*Settings!$G$7)+(AB427*Settings!$G$8)+(AC427*Settings!$G$9)+(AD427*Settings!$G$10)+(AE427*Settings!$G$11)+(AF427*Settings!$G$12)+(AG427*Settings!$G$13)+(AH427*Settings!$G$14)+(AI427*Settings!$G$15)+(AJ427*Settings!$G$16)+(AK427*Settings!$G$17)+(W427*Settings!$G$3)+(X427*Settings!$G$4)</f>
        <v>2.9984677745185535</v>
      </c>
      <c r="E427" s="67"/>
      <c r="F427" s="67"/>
      <c r="G427" s="67"/>
      <c r="H427" s="67"/>
      <c r="I427" s="67"/>
      <c r="J427" s="67"/>
      <c r="K427" s="72"/>
      <c r="L427" s="72"/>
      <c r="M427" s="67"/>
      <c r="N427" s="67"/>
      <c r="O427" s="67"/>
      <c r="P427" s="67"/>
      <c r="Q427" s="67"/>
      <c r="R427" s="72"/>
      <c r="S427" s="72"/>
      <c r="T427" s="67"/>
      <c r="U427" s="67"/>
      <c r="V427" s="118">
        <f>(VLOOKUP($A427,Pitchers!$A1:$S251,4,FALSE)-AVERAGE(Rankings!AC2:AC651))/STDEV(Rankings!AC2:AC651)</f>
        <v>0.73946075405607925</v>
      </c>
      <c r="W427" s="118">
        <f>(VLOOKUP($A427,Pitchers!$A1:$S251,5,FALSE)-AVERAGE(Rankings!AD2:AD651))/STDEV(Rankings!AD2:AD651)*-1</f>
        <v>0.6223134953033943</v>
      </c>
      <c r="X427" s="118">
        <f>(VLOOKUP($A427,Pitchers!$A1:$S251,6,FALSE)-AVERAGE(Rankings!AE2:AE651))/STDEV(Rankings!AE2:AE651)*-1</f>
        <v>0.8916394433292435</v>
      </c>
      <c r="Y427" s="118">
        <f>(VLOOKUP($A427,Pitchers!$A1:$S251,7,FALSE)-AVERAGE(Rankings!AF2:AF651))/STDEV(Rankings!AF2:AF651)</f>
        <v>0.97045311405358126</v>
      </c>
      <c r="Z427" s="118">
        <f>(VLOOKUP($A427,Pitchers!$A1:$S251,8,FALSE)-AVERAGE(Rankings!AG2:AG651))/STDEV(Rankings!AG2:AG651)</f>
        <v>0.99677459682953462</v>
      </c>
      <c r="AA427" s="118">
        <f>(VLOOKUP($A427,Pitchers!$A1:$S251,9,FALSE)-AVERAGE(Rankings!AH2:AH651))/STDEV(Rankings!AH2:AH651)</f>
        <v>-0.48271287499720011</v>
      </c>
      <c r="AB427" s="118">
        <f>(VLOOKUP($A427,Pitchers!$A1:$S251,10,FALSE)-AVERAGE(Rankings!AI2:AI651))/STDEV(Rankings!AI2:AI651)*-1</f>
        <v>-0.4594797939226008</v>
      </c>
      <c r="AC427" s="118">
        <f>(VLOOKUP($A427,Pitchers!$A1:$S251,11,FALSE)-AVERAGE(Rankings!AJ2:AJ651))/STDEV(Rankings!AJ2:AJ651)*-1</f>
        <v>-0.50768640581013535</v>
      </c>
      <c r="AD427" s="118">
        <f>(VLOOKUP($A427,Pitchers!$A1:$S251,12,FALSE)-AVERAGE(Rankings!AK2:AK651))/STDEV(Rankings!AK2:AK651)*-1</f>
        <v>-0.54967786530208884</v>
      </c>
      <c r="AE427" s="118">
        <f>IFERROR((VLOOKUP($A427,Pitchers!$A1:$S251,13,FALSE)-AVERAGE(Rankings!AL2:AL651))/STDEV(Rankings!AL2:AL651)*-1,0)</f>
        <v>-0.64930503488460767</v>
      </c>
      <c r="AF427" s="118">
        <f>(VLOOKUP($A427,Pitchers!$A1:$S251,14,FALSE)-AVERAGE(Rankings!AM2:AM651))/STDEV(Rankings!AM2:AM651)</f>
        <v>-0.74809173497019199</v>
      </c>
      <c r="AG427" s="118">
        <f>(VLOOKUP($A427,Pitchers!$A1:$S251,15,FALSE)-AVERAGE(Rankings!AN2:AN651))/STDEV(Rankings!AN2:AN651)</f>
        <v>0.88023377271418046</v>
      </c>
      <c r="AH427" s="118">
        <f>(VLOOKUP($A427,Pitchers!$A1:$S251,16,FALSE)-AVERAGE(Rankings!AO2:AO651))/STDEV(Rankings!AO2:AO651)*-1</f>
        <v>-0.18077677317000915</v>
      </c>
      <c r="AI427" s="118">
        <f>IFERROR((VLOOKUP($A427,Pitchers!$A1:$S251,17,FALSE)-AVERAGE(Rankings!AP2:AP651))/STDEV(Rankings!AP2:AP651),0)</f>
        <v>1.6896259859582108</v>
      </c>
      <c r="AJ427" s="118">
        <f>(VLOOKUP($A427,Pitchers!$A1:$S251,18,FALSE)-AVERAGE(Rankings!AQ2:AQ651))/STDEV(Rankings!AQ2:AQ651)</f>
        <v>-0.49233019247151538</v>
      </c>
      <c r="AK427" s="118">
        <f>IFERROR((VLOOKUP($A427,Pitchers!$A1:$S251,19,FALSE)-AVERAGE(Rankings!AR2:AR651))/STDEV(Rankings!AR2:AR651)*-1,0)</f>
        <v>0.47686441955275594</v>
      </c>
    </row>
    <row r="428" spans="1:37" ht="18.600000000000001" customHeight="1">
      <c r="A428" s="26" t="s">
        <v>150</v>
      </c>
      <c r="B428" s="27" t="s">
        <v>81</v>
      </c>
      <c r="C428" s="127" t="s">
        <v>31</v>
      </c>
      <c r="D428" s="67">
        <f>(V428*Settings!$G$2)+(Y428*Settings!$G$5)+(Z428*Settings!$G$6)+(AA428*Settings!$G$7)+(AB428*Settings!$G$8)+(AC428*Settings!$G$9)+(AD428*Settings!$G$10)+(AE428*Settings!$G$11)+(AF428*Settings!$G$12)+(AG428*Settings!$G$13)+(AH428*Settings!$G$14)+(AI428*Settings!$G$15)+(AJ428*Settings!$G$16)+(AK428*Settings!$G$17)+(W428*Settings!$G$3)+(X428*Settings!$G$4)</f>
        <v>4.6839463019312557</v>
      </c>
      <c r="E428" s="67"/>
      <c r="F428" s="67"/>
      <c r="G428" s="67"/>
      <c r="H428" s="67"/>
      <c r="I428" s="67"/>
      <c r="J428" s="67"/>
      <c r="K428" s="72"/>
      <c r="L428" s="72"/>
      <c r="M428" s="67"/>
      <c r="N428" s="67"/>
      <c r="O428" s="67"/>
      <c r="P428" s="67"/>
      <c r="Q428" s="67"/>
      <c r="R428" s="72"/>
      <c r="S428" s="72"/>
      <c r="T428" s="67"/>
      <c r="U428" s="67"/>
      <c r="V428" s="118">
        <f>(VLOOKUP($A428,Pitchers!$A1:$S251,4,FALSE)-AVERAGE(Rankings!AC2:AC651))/STDEV(Rankings!AC2:AC651)</f>
        <v>1.3709422249539307</v>
      </c>
      <c r="W428" s="118">
        <f>(VLOOKUP($A428,Pitchers!$A1:$S251,5,FALSE)-AVERAGE(Rankings!AD2:AD651))/STDEV(Rankings!AD2:AD651)*-1</f>
        <v>0.66670793418266816</v>
      </c>
      <c r="X428" s="118">
        <f>(VLOOKUP($A428,Pitchers!$A1:$S251,6,FALSE)-AVERAGE(Rankings!AE2:AE651))/STDEV(Rankings!AE2:AE651)*-1</f>
        <v>1.175031480619313</v>
      </c>
      <c r="Y428" s="118">
        <f>(VLOOKUP($A428,Pitchers!$A1:$S251,7,FALSE)-AVERAGE(Rankings!AF2:AF651))/STDEV(Rankings!AF2:AF651)</f>
        <v>1.2672767011416719</v>
      </c>
      <c r="Z428" s="118">
        <f>(VLOOKUP($A428,Pitchers!$A1:$S251,8,FALSE)-AVERAGE(Rankings!AG2:AG651))/STDEV(Rankings!AG2:AG651)</f>
        <v>2.0576430609848022</v>
      </c>
      <c r="AA428" s="118">
        <f>(VLOOKUP($A428,Pitchers!$A1:$S251,9,FALSE)-AVERAGE(Rankings!AH2:AH651))/STDEV(Rankings!AH2:AH651)</f>
        <v>-0.48271287499720011</v>
      </c>
      <c r="AB428" s="118">
        <f>(VLOOKUP($A428,Pitchers!$A1:$S251,10,FALSE)-AVERAGE(Rankings!AI2:AI651))/STDEV(Rankings!AI2:AI651)*-1</f>
        <v>-0.98865027620348855</v>
      </c>
      <c r="AC428" s="118">
        <f>(VLOOKUP($A428,Pitchers!$A1:$S251,11,FALSE)-AVERAGE(Rankings!AJ2:AJ651))/STDEV(Rankings!AJ2:AJ651)*-1</f>
        <v>-1.1634143122021812</v>
      </c>
      <c r="AD428" s="118">
        <f>(VLOOKUP($A428,Pitchers!$A1:$S251,12,FALSE)-AVERAGE(Rankings!AK2:AK651))/STDEV(Rankings!AK2:AK651)*-1</f>
        <v>-0.50960030803769241</v>
      </c>
      <c r="AE428" s="118">
        <f>IFERROR((VLOOKUP($A428,Pitchers!$A1:$S251,13,FALSE)-AVERAGE(Rankings!AL2:AL651))/STDEV(Rankings!AL2:AL651)*-1,0)</f>
        <v>-1.258773683474359</v>
      </c>
      <c r="AF428" s="118">
        <f>(VLOOKUP($A428,Pitchers!$A1:$S251,14,FALSE)-AVERAGE(Rankings!AM2:AM651))/STDEV(Rankings!AM2:AM651)</f>
        <v>-0.59091514109052334</v>
      </c>
      <c r="AG428" s="118">
        <f>(VLOOKUP($A428,Pitchers!$A1:$S251,15,FALSE)-AVERAGE(Rankings!AN2:AN651))/STDEV(Rankings!AN2:AN651)</f>
        <v>1.1672698142791538</v>
      </c>
      <c r="AH428" s="118">
        <f>(VLOOKUP($A428,Pitchers!$A1:$S251,16,FALSE)-AVERAGE(Rankings!AO2:AO651))/STDEV(Rankings!AO2:AO651)*-1</f>
        <v>-0.63740121956570306</v>
      </c>
      <c r="AI428" s="118">
        <f>IFERROR((VLOOKUP($A428,Pitchers!$A1:$S251,17,FALSE)-AVERAGE(Rankings!AP2:AP651))/STDEV(Rankings!AP2:AP651),0)</f>
        <v>1.197343925526992</v>
      </c>
      <c r="AJ428" s="118">
        <f>(VLOOKUP($A428,Pitchers!$A1:$S251,18,FALSE)-AVERAGE(Rankings!AQ2:AQ651))/STDEV(Rankings!AQ2:AQ651)</f>
        <v>-0.69471541349839372</v>
      </c>
      <c r="AK428" s="118">
        <f>IFERROR((VLOOKUP($A428,Pitchers!$A1:$S251,19,FALSE)-AVERAGE(Rankings!AR2:AR651))/STDEV(Rankings!AR2:AR651)*-1,0)</f>
        <v>0.47686441955275594</v>
      </c>
    </row>
    <row r="429" spans="1:37" ht="18.600000000000001" customHeight="1">
      <c r="A429" s="26" t="s">
        <v>151</v>
      </c>
      <c r="B429" s="27" t="s">
        <v>73</v>
      </c>
      <c r="C429" s="127" t="s">
        <v>31</v>
      </c>
      <c r="D429" s="67">
        <f>(V429*Settings!$G$2)+(Y429*Settings!$G$5)+(Z429*Settings!$G$6)+(AA429*Settings!$G$7)+(AB429*Settings!$G$8)+(AC429*Settings!$G$9)+(AD429*Settings!$G$10)+(AE429*Settings!$G$11)+(AF429*Settings!$G$12)+(AG429*Settings!$G$13)+(AH429*Settings!$G$14)+(AI429*Settings!$G$15)+(AJ429*Settings!$G$16)+(AK429*Settings!$G$17)+(W429*Settings!$G$3)+(X429*Settings!$G$4)</f>
        <v>4.6392329804638974</v>
      </c>
      <c r="E429" s="67"/>
      <c r="F429" s="67"/>
      <c r="G429" s="67"/>
      <c r="H429" s="67"/>
      <c r="I429" s="67"/>
      <c r="J429" s="67"/>
      <c r="K429" s="72"/>
      <c r="L429" s="72"/>
      <c r="M429" s="67"/>
      <c r="N429" s="67"/>
      <c r="O429" s="67"/>
      <c r="P429" s="67"/>
      <c r="Q429" s="67"/>
      <c r="R429" s="72"/>
      <c r="S429" s="72"/>
      <c r="T429" s="67"/>
      <c r="U429" s="67"/>
      <c r="V429" s="118">
        <f>(VLOOKUP($A429,Pitchers!$A1:$S251,4,FALSE)-AVERAGE(Rankings!AC2:AC651))/STDEV(Rankings!AC2:AC651)</f>
        <v>1.4604750250762601</v>
      </c>
      <c r="W429" s="118">
        <f>(VLOOKUP($A429,Pitchers!$A1:$S251,5,FALSE)-AVERAGE(Rankings!AD2:AD651))/STDEV(Rankings!AD2:AD651)*-1</f>
        <v>1.1599893390601723</v>
      </c>
      <c r="X429" s="118">
        <f>(VLOOKUP($A429,Pitchers!$A1:$S251,6,FALSE)-AVERAGE(Rankings!AE2:AE651))/STDEV(Rankings!AE2:AE651)*-1</f>
        <v>0.71550302062611737</v>
      </c>
      <c r="Y429" s="118">
        <f>(VLOOKUP($A429,Pitchers!$A1:$S251,7,FALSE)-AVERAGE(Rankings!AF2:AF651))/STDEV(Rankings!AF2:AF651)</f>
        <v>1.1595184435660615</v>
      </c>
      <c r="Z429" s="118">
        <f>(VLOOKUP($A429,Pitchers!$A1:$S251,8,FALSE)-AVERAGE(Rankings!AG2:AG651))/STDEV(Rankings!AG2:AG651)</f>
        <v>2.0869350522087466</v>
      </c>
      <c r="AA429" s="118">
        <f>(VLOOKUP($A429,Pitchers!$A1:$S251,9,FALSE)-AVERAGE(Rankings!AH2:AH651))/STDEV(Rankings!AH2:AH651)</f>
        <v>-0.48271287499720011</v>
      </c>
      <c r="AB429" s="118">
        <f>(VLOOKUP($A429,Pitchers!$A1:$S251,10,FALSE)-AVERAGE(Rankings!AI2:AI651))/STDEV(Rankings!AI2:AI651)*-1</f>
        <v>-0.86093632045781643</v>
      </c>
      <c r="AC429" s="118">
        <f>(VLOOKUP($A429,Pitchers!$A1:$S251,11,FALSE)-AVERAGE(Rankings!AJ2:AJ651))/STDEV(Rankings!AJ2:AJ651)*-1</f>
        <v>-1.4382482745902514</v>
      </c>
      <c r="AD429" s="118">
        <f>(VLOOKUP($A429,Pitchers!$A1:$S251,12,FALSE)-AVERAGE(Rankings!AK2:AK651))/STDEV(Rankings!AK2:AK651)*-1</f>
        <v>-0.48505869797167095</v>
      </c>
      <c r="AE429" s="118">
        <f>IFERROR((VLOOKUP($A429,Pitchers!$A1:$S251,13,FALSE)-AVERAGE(Rankings!AL2:AL651))/STDEV(Rankings!AL2:AL651)*-1,0)</f>
        <v>-0.48124236475050819</v>
      </c>
      <c r="AF429" s="118">
        <f>(VLOOKUP($A429,Pitchers!$A1:$S251,14,FALSE)-AVERAGE(Rankings!AM2:AM651))/STDEV(Rankings!AM2:AM651)</f>
        <v>-0.64115950807772737</v>
      </c>
      <c r="AG429" s="118">
        <f>(VLOOKUP($A429,Pitchers!$A1:$S251,15,FALSE)-AVERAGE(Rankings!AN2:AN651))/STDEV(Rankings!AN2:AN651)</f>
        <v>1.1063219218606271</v>
      </c>
      <c r="AH429" s="118">
        <f>(VLOOKUP($A429,Pitchers!$A1:$S251,16,FALSE)-AVERAGE(Rankings!AO2:AO651))/STDEV(Rankings!AO2:AO651)*-1</f>
        <v>-0.64909106295326091</v>
      </c>
      <c r="AI429" s="118">
        <f>IFERROR((VLOOKUP($A429,Pitchers!$A1:$S251,17,FALSE)-AVERAGE(Rankings!AP2:AP651))/STDEV(Rankings!AP2:AP651),0)</f>
        <v>1.8226711499998627</v>
      </c>
      <c r="AJ429" s="118">
        <f>(VLOOKUP($A429,Pitchers!$A1:$S251,18,FALSE)-AVERAGE(Rankings!AQ2:AQ651))/STDEV(Rankings!AQ2:AQ651)</f>
        <v>-0.69471541349839372</v>
      </c>
      <c r="AK429" s="118">
        <f>IFERROR((VLOOKUP($A429,Pitchers!$A1:$S251,19,FALSE)-AVERAGE(Rankings!AR2:AR651))/STDEV(Rankings!AR2:AR651)*-1,0)</f>
        <v>0.47686441955275594</v>
      </c>
    </row>
    <row r="430" spans="1:37" ht="18.600000000000001" customHeight="1">
      <c r="A430" s="26" t="s">
        <v>170</v>
      </c>
      <c r="B430" s="27" t="s">
        <v>68</v>
      </c>
      <c r="C430" s="127" t="s">
        <v>31</v>
      </c>
      <c r="D430" s="67">
        <f>(V430*Settings!$G$2)+(Y430*Settings!$G$5)+(Z430*Settings!$G$6)+(AA430*Settings!$G$7)+(AB430*Settings!$G$8)+(AC430*Settings!$G$9)+(AD430*Settings!$G$10)+(AE430*Settings!$G$11)+(AF430*Settings!$G$12)+(AG430*Settings!$G$13)+(AH430*Settings!$G$14)+(AI430*Settings!$G$15)+(AJ430*Settings!$G$16)+(AK430*Settings!$G$17)+(W430*Settings!$G$3)+(X430*Settings!$G$4)</f>
        <v>3.2613051484051434</v>
      </c>
      <c r="E430" s="67"/>
      <c r="F430" s="67"/>
      <c r="G430" s="67"/>
      <c r="H430" s="67"/>
      <c r="I430" s="67"/>
      <c r="J430" s="67"/>
      <c r="K430" s="72"/>
      <c r="L430" s="72"/>
      <c r="M430" s="67"/>
      <c r="N430" s="67"/>
      <c r="O430" s="67"/>
      <c r="P430" s="67"/>
      <c r="Q430" s="67"/>
      <c r="R430" s="72"/>
      <c r="S430" s="72"/>
      <c r="T430" s="67"/>
      <c r="U430" s="67"/>
      <c r="V430" s="118">
        <f>(VLOOKUP($A430,Pitchers!$A1:$S251,4,FALSE)-AVERAGE(Rankings!AC2:AC651))/STDEV(Rankings!AC2:AC651)</f>
        <v>0.97432005246882125</v>
      </c>
      <c r="W430" s="118">
        <f>(VLOOKUP($A430,Pitchers!$A1:$S251,5,FALSE)-AVERAGE(Rankings!AD2:AD651))/STDEV(Rankings!AD2:AD651)*-1</f>
        <v>0.42952796057305315</v>
      </c>
      <c r="X430" s="118">
        <f>(VLOOKUP($A430,Pitchers!$A1:$S251,6,FALSE)-AVERAGE(Rankings!AE2:AE651))/STDEV(Rankings!AE2:AE651)*-1</f>
        <v>1.0112821734539377</v>
      </c>
      <c r="Y430" s="118">
        <f>(VLOOKUP($A430,Pitchers!$A1:$S251,7,FALSE)-AVERAGE(Rankings!AF2:AF651))/STDEV(Rankings!AF2:AF651)</f>
        <v>1.0832321778594807</v>
      </c>
      <c r="Z430" s="118">
        <f>(VLOOKUP($A430,Pitchers!$A1:$S251,8,FALSE)-AVERAGE(Rankings!AG2:AG651))/STDEV(Rankings!AG2:AG651)</f>
        <v>1.2199757115158718</v>
      </c>
      <c r="AA430" s="118">
        <f>(VLOOKUP($A430,Pitchers!$A1:$S251,9,FALSE)-AVERAGE(Rankings!AH2:AH651))/STDEV(Rankings!AH2:AH651)</f>
        <v>-0.48271287499720011</v>
      </c>
      <c r="AB430" s="118">
        <f>(VLOOKUP($A430,Pitchers!$A1:$S251,10,FALSE)-AVERAGE(Rankings!AI2:AI651))/STDEV(Rankings!AI2:AI651)*-1</f>
        <v>-0.73282907833391198</v>
      </c>
      <c r="AC430" s="118">
        <f>(VLOOKUP($A430,Pitchers!$A1:$S251,11,FALSE)-AVERAGE(Rankings!AJ2:AJ651))/STDEV(Rankings!AJ2:AJ651)*-1</f>
        <v>-0.74002731953910494</v>
      </c>
      <c r="AD430" s="118">
        <f>(VLOOKUP($A430,Pitchers!$A1:$S251,12,FALSE)-AVERAGE(Rankings!AK2:AK651))/STDEV(Rankings!AK2:AK651)*-1</f>
        <v>-0.57145333808241083</v>
      </c>
      <c r="AE430" s="118">
        <f>IFERROR((VLOOKUP($A430,Pitchers!$A1:$S251,13,FALSE)-AVERAGE(Rankings!AL2:AL651))/STDEV(Rankings!AL2:AL651)*-1,0)</f>
        <v>-1.2771253543510708</v>
      </c>
      <c r="AF430" s="118">
        <f>(VLOOKUP($A430,Pitchers!$A1:$S251,14,FALSE)-AVERAGE(Rankings!AM2:AM651))/STDEV(Rankings!AM2:AM651)</f>
        <v>-0.76070596162285931</v>
      </c>
      <c r="AG430" s="118">
        <f>(VLOOKUP($A430,Pitchers!$A1:$S251,15,FALSE)-AVERAGE(Rankings!AN2:AN651))/STDEV(Rankings!AN2:AN651)</f>
        <v>0.96130856361609529</v>
      </c>
      <c r="AH430" s="118">
        <f>(VLOOKUP($A430,Pitchers!$A1:$S251,16,FALSE)-AVERAGE(Rankings!AO2:AO651))/STDEV(Rankings!AO2:AO651)*-1</f>
        <v>-0.50961781676531659</v>
      </c>
      <c r="AI430" s="118">
        <f>IFERROR((VLOOKUP($A430,Pitchers!$A1:$S251,17,FALSE)-AVERAGE(Rankings!AP2:AP651))/STDEV(Rankings!AP2:AP651),0)</f>
        <v>1.3604727666938277</v>
      </c>
      <c r="AJ430" s="118">
        <f>(VLOOKUP($A430,Pitchers!$A1:$S251,18,FALSE)-AVERAGE(Rankings!AQ2:AQ651))/STDEV(Rankings!AQ2:AQ651)</f>
        <v>-0.69471541349839372</v>
      </c>
      <c r="AK430" s="118">
        <f>IFERROR((VLOOKUP($A430,Pitchers!$A1:$S251,19,FALSE)-AVERAGE(Rankings!AR2:AR651))/STDEV(Rankings!AR2:AR651)*-1,0)</f>
        <v>0.47686441955275594</v>
      </c>
    </row>
    <row r="431" spans="1:37" ht="18.600000000000001" customHeight="1">
      <c r="A431" s="26" t="s">
        <v>167</v>
      </c>
      <c r="B431" s="27" t="s">
        <v>101</v>
      </c>
      <c r="C431" s="127" t="s">
        <v>31</v>
      </c>
      <c r="D431" s="67">
        <f>(V431*Settings!$G$2)+(Y431*Settings!$G$5)+(Z431*Settings!$G$6)+(AA431*Settings!$G$7)+(AB431*Settings!$G$8)+(AC431*Settings!$G$9)+(AD431*Settings!$G$10)+(AE431*Settings!$G$11)+(AF431*Settings!$G$12)+(AG431*Settings!$G$13)+(AH431*Settings!$G$14)+(AI431*Settings!$G$15)+(AJ431*Settings!$G$16)+(AK431*Settings!$G$17)+(W431*Settings!$G$3)+(X431*Settings!$G$4)</f>
        <v>2.5528582559806328</v>
      </c>
      <c r="E431" s="67"/>
      <c r="F431" s="67"/>
      <c r="G431" s="67"/>
      <c r="H431" s="67"/>
      <c r="I431" s="67"/>
      <c r="J431" s="67"/>
      <c r="K431" s="72"/>
      <c r="L431" s="72"/>
      <c r="M431" s="67"/>
      <c r="N431" s="67"/>
      <c r="O431" s="67"/>
      <c r="P431" s="67"/>
      <c r="Q431" s="67"/>
      <c r="R431" s="72"/>
      <c r="S431" s="72"/>
      <c r="T431" s="67"/>
      <c r="U431" s="67"/>
      <c r="V431" s="118">
        <f>(VLOOKUP($A431,Pitchers!$A1:$S251,4,FALSE)-AVERAGE(Rankings!AC2:AC651))/STDEV(Rankings!AC2:AC651)</f>
        <v>0.10710606060720697</v>
      </c>
      <c r="W431" s="118">
        <f>(VLOOKUP($A431,Pitchers!$A1:$S251,5,FALSE)-AVERAGE(Rankings!AD2:AD651))/STDEV(Rankings!AD2:AD651)*-1</f>
        <v>0.99359899597331247</v>
      </c>
      <c r="X431" s="118">
        <f>(VLOOKUP($A431,Pitchers!$A1:$S251,6,FALSE)-AVERAGE(Rankings!AE2:AE651))/STDEV(Rankings!AE2:AE651)*-1</f>
        <v>1.174323116213136</v>
      </c>
      <c r="Y431" s="118">
        <f>(VLOOKUP($A431,Pitchers!$A1:$S251,7,FALSE)-AVERAGE(Rankings!AF2:AF651))/STDEV(Rankings!AF2:AF651)</f>
        <v>0.70192776199635032</v>
      </c>
      <c r="Z431" s="118">
        <f>(VLOOKUP($A431,Pitchers!$A1:$S251,8,FALSE)-AVERAGE(Rankings!AG2:AG651))/STDEV(Rankings!AG2:AG651)</f>
        <v>0.16572125679503377</v>
      </c>
      <c r="AA431" s="118">
        <f>(VLOOKUP($A431,Pitchers!$A1:$S251,9,FALSE)-AVERAGE(Rankings!AH2:AH651))/STDEV(Rankings!AH2:AH651)</f>
        <v>-0.48271287499720011</v>
      </c>
      <c r="AB431" s="118">
        <f>(VLOOKUP($A431,Pitchers!$A1:$S251,10,FALSE)-AVERAGE(Rankings!AI2:AI651))/STDEV(Rankings!AI2:AI651)*-1</f>
        <v>0.18786063707729569</v>
      </c>
      <c r="AC431" s="118">
        <f>(VLOOKUP($A431,Pitchers!$A1:$S251,11,FALSE)-AVERAGE(Rankings!AJ2:AJ651))/STDEV(Rankings!AJ2:AJ651)*-1</f>
        <v>0.196347196328332</v>
      </c>
      <c r="AD431" s="118">
        <f>(VLOOKUP($A431,Pitchers!$A1:$S251,12,FALSE)-AVERAGE(Rankings!AK2:AK651))/STDEV(Rankings!AK2:AK651)*-1</f>
        <v>-0.19998153230882781</v>
      </c>
      <c r="AE431" s="118">
        <f>IFERROR((VLOOKUP($A431,Pitchers!$A1:$S251,13,FALSE)-AVERAGE(Rankings!AL2:AL651))/STDEV(Rankings!AL2:AL651)*-1,0)</f>
        <v>-5.6256302342440431E-2</v>
      </c>
      <c r="AF431" s="118">
        <f>(VLOOKUP($A431,Pitchers!$A1:$S251,14,FALSE)-AVERAGE(Rankings!AM2:AM651))/STDEV(Rankings!AM2:AM651)</f>
        <v>-1.2029584101295154</v>
      </c>
      <c r="AG431" s="118">
        <f>(VLOOKUP($A431,Pitchers!$A1:$S251,15,FALSE)-AVERAGE(Rankings!AN2:AN651))/STDEV(Rankings!AN2:AN651)</f>
        <v>0.42484335826723679</v>
      </c>
      <c r="AH431" s="118">
        <f>(VLOOKUP($A431,Pitchers!$A1:$S251,16,FALSE)-AVERAGE(Rankings!AO2:AO651))/STDEV(Rankings!AO2:AO651)*-1</f>
        <v>0.35374419027772525</v>
      </c>
      <c r="AI431" s="118">
        <f>IFERROR((VLOOKUP($A431,Pitchers!$A1:$S251,17,FALSE)-AVERAGE(Rankings!AP2:AP651))/STDEV(Rankings!AP2:AP651),0)</f>
        <v>1.0614032245546288</v>
      </c>
      <c r="AJ431" s="118">
        <f>(VLOOKUP($A431,Pitchers!$A1:$S251,18,FALSE)-AVERAGE(Rankings!AQ2:AQ651))/STDEV(Rankings!AQ2:AQ651)</f>
        <v>-0.69471541349839372</v>
      </c>
      <c r="AK431" s="118">
        <f>IFERROR((VLOOKUP($A431,Pitchers!$A1:$S251,19,FALSE)-AVERAGE(Rankings!AR2:AR651))/STDEV(Rankings!AR2:AR651)*-1,0)</f>
        <v>0.47686441955275594</v>
      </c>
    </row>
    <row r="432" spans="1:37" ht="18.600000000000001" customHeight="1">
      <c r="A432" s="26" t="s">
        <v>222</v>
      </c>
      <c r="B432" s="27" t="s">
        <v>223</v>
      </c>
      <c r="C432" s="127" t="s">
        <v>31</v>
      </c>
      <c r="D432" s="67">
        <f>(V432*Settings!$G$2)+(Y432*Settings!$G$5)+(Z432*Settings!$G$6)+(AA432*Settings!$G$7)+(AB432*Settings!$G$8)+(AC432*Settings!$G$9)+(AD432*Settings!$G$10)+(AE432*Settings!$G$11)+(AF432*Settings!$G$12)+(AG432*Settings!$G$13)+(AH432*Settings!$G$14)+(AI432*Settings!$G$15)+(AJ432*Settings!$G$16)+(AK432*Settings!$G$17)+(W432*Settings!$G$3)+(X432*Settings!$G$4)</f>
        <v>3.6363277664338289</v>
      </c>
      <c r="E432" s="67"/>
      <c r="F432" s="67"/>
      <c r="G432" s="67"/>
      <c r="H432" s="67"/>
      <c r="I432" s="67"/>
      <c r="J432" s="67"/>
      <c r="K432" s="72"/>
      <c r="L432" s="72"/>
      <c r="M432" s="67"/>
      <c r="N432" s="67"/>
      <c r="O432" s="67"/>
      <c r="P432" s="67"/>
      <c r="Q432" s="67"/>
      <c r="R432" s="72"/>
      <c r="S432" s="72"/>
      <c r="T432" s="67"/>
      <c r="U432" s="67"/>
      <c r="V432" s="118">
        <f>(VLOOKUP($A432,Pitchers!$A1:$S251,4,FALSE)-AVERAGE(Rankings!AC2:AC651))/STDEV(Rankings!AC2:AC651)</f>
        <v>1.3020446907919947</v>
      </c>
      <c r="W432" s="118">
        <f>(VLOOKUP($A432,Pitchers!$A1:$S251,5,FALSE)-AVERAGE(Rankings!AD2:AD651))/STDEV(Rankings!AD2:AD651)*-1</f>
        <v>9.5834519849718691E-2</v>
      </c>
      <c r="X432" s="118">
        <f>(VLOOKUP($A432,Pitchers!$A1:$S251,6,FALSE)-AVERAGE(Rankings!AE2:AE651))/STDEV(Rankings!AE2:AE651)*-1</f>
        <v>0.84997057922770591</v>
      </c>
      <c r="Y432" s="118">
        <f>(VLOOKUP($A432,Pitchers!$A1:$S251,7,FALSE)-AVERAGE(Rankings!AF2:AF651))/STDEV(Rankings!AF2:AF651)</f>
        <v>2.2042127760678532</v>
      </c>
      <c r="Z432" s="118">
        <f>(VLOOKUP($A432,Pitchers!$A1:$S251,8,FALSE)-AVERAGE(Rankings!AG2:AG651))/STDEV(Rankings!AG2:AG651)</f>
        <v>0.96902276628575101</v>
      </c>
      <c r="AA432" s="118">
        <f>(VLOOKUP($A432,Pitchers!$A1:$S251,9,FALSE)-AVERAGE(Rankings!AH2:AH651))/STDEV(Rankings!AH2:AH651)</f>
        <v>-0.48271287499720011</v>
      </c>
      <c r="AB432" s="118">
        <f>(VLOOKUP($A432,Pitchers!$A1:$S251,10,FALSE)-AVERAGE(Rankings!AI2:AI651))/STDEV(Rankings!AI2:AI651)*-1</f>
        <v>-1.1565077087163089</v>
      </c>
      <c r="AC432" s="118">
        <f>(VLOOKUP($A432,Pitchers!$A1:$S251,11,FALSE)-AVERAGE(Rankings!AJ2:AJ651))/STDEV(Rankings!AJ2:AJ651)*-1</f>
        <v>-0.82440923574790137</v>
      </c>
      <c r="AD432" s="118">
        <f>(VLOOKUP($A432,Pitchers!$A1:$S251,12,FALSE)-AVERAGE(Rankings!AK2:AK651))/STDEV(Rankings!AK2:AK651)*-1</f>
        <v>-1.7460762480966672</v>
      </c>
      <c r="AE432" s="118">
        <f>IFERROR((VLOOKUP($A432,Pitchers!$A1:$S251,13,FALSE)-AVERAGE(Rankings!AL2:AL651))/STDEV(Rankings!AL2:AL651)*-1,0)</f>
        <v>-1.5496959607409724</v>
      </c>
      <c r="AF432" s="118">
        <f>(VLOOKUP($A432,Pitchers!$A1:$S251,14,FALSE)-AVERAGE(Rankings!AM2:AM651))/STDEV(Rankings!AM2:AM651)</f>
        <v>-0.46289260736159421</v>
      </c>
      <c r="AG432" s="118">
        <f>(VLOOKUP($A432,Pitchers!$A1:$S251,15,FALSE)-AVERAGE(Rankings!AN2:AN651))/STDEV(Rankings!AN2:AN651)</f>
        <v>1.0240955492350681</v>
      </c>
      <c r="AH432" s="118">
        <f>(VLOOKUP($A432,Pitchers!$A1:$S251,16,FALSE)-AVERAGE(Rankings!AO2:AO651))/STDEV(Rankings!AO2:AO651)*-1</f>
        <v>-1.6524322372751183</v>
      </c>
      <c r="AI432" s="118">
        <f>IFERROR((VLOOKUP($A432,Pitchers!$A1:$S251,17,FALSE)-AVERAGE(Rankings!AP2:AP651))/STDEV(Rankings!AP2:AP651),0)</f>
        <v>1.6459482387357904</v>
      </c>
      <c r="AJ432" s="118">
        <f>(VLOOKUP($A432,Pitchers!$A1:$S251,18,FALSE)-AVERAGE(Rankings!AQ2:AQ651))/STDEV(Rankings!AQ2:AQ651)</f>
        <v>-0.69471541349839372</v>
      </c>
      <c r="AK432" s="118">
        <f>IFERROR((VLOOKUP($A432,Pitchers!$A1:$S251,19,FALSE)-AVERAGE(Rankings!AR2:AR651))/STDEV(Rankings!AR2:AR651)*-1,0)</f>
        <v>0.47686441955275594</v>
      </c>
    </row>
    <row r="433" spans="1:37" ht="18.600000000000001" customHeight="1">
      <c r="A433" s="26" t="s">
        <v>231</v>
      </c>
      <c r="B433" s="27" t="s">
        <v>223</v>
      </c>
      <c r="C433" s="127" t="s">
        <v>31</v>
      </c>
      <c r="D433" s="67">
        <f>(V433*Settings!$G$2)+(Y433*Settings!$G$5)+(Z433*Settings!$G$6)+(AA433*Settings!$G$7)+(AB433*Settings!$G$8)+(AC433*Settings!$G$9)+(AD433*Settings!$G$10)+(AE433*Settings!$G$11)+(AF433*Settings!$G$12)+(AG433*Settings!$G$13)+(AH433*Settings!$G$14)+(AI433*Settings!$G$15)+(AJ433*Settings!$G$16)+(AK433*Settings!$G$17)+(W433*Settings!$G$3)+(X433*Settings!$G$4)</f>
        <v>1.5968315493061109</v>
      </c>
      <c r="E433" s="67"/>
      <c r="F433" s="67"/>
      <c r="G433" s="67"/>
      <c r="H433" s="67"/>
      <c r="I433" s="67"/>
      <c r="J433" s="67"/>
      <c r="K433" s="72"/>
      <c r="L433" s="72"/>
      <c r="M433" s="67"/>
      <c r="N433" s="67"/>
      <c r="O433" s="67"/>
      <c r="P433" s="67"/>
      <c r="Q433" s="67"/>
      <c r="R433" s="72"/>
      <c r="S433" s="72"/>
      <c r="T433" s="67"/>
      <c r="U433" s="67"/>
      <c r="V433" s="118">
        <f>(VLOOKUP($A433,Pitchers!$A1:$S251,4,FALSE)-AVERAGE(Rankings!AC2:AC651))/STDEV(Rankings!AC2:AC651)</f>
        <v>1.0140599251330706</v>
      </c>
      <c r="W433" s="118">
        <f>(VLOOKUP($A433,Pitchers!$A1:$S251,5,FALSE)-AVERAGE(Rankings!AD2:AD651))/STDEV(Rankings!AD2:AD651)*-1</f>
        <v>-7.4343960245972521E-2</v>
      </c>
      <c r="X433" s="118">
        <f>(VLOOKUP($A433,Pitchers!$A1:$S251,6,FALSE)-AVERAGE(Rankings!AE2:AE651))/STDEV(Rankings!AE2:AE651)*-1</f>
        <v>-5.7901451397840802E-2</v>
      </c>
      <c r="Y433" s="118">
        <f>(VLOOKUP($A433,Pitchers!$A1:$S251,7,FALSE)-AVERAGE(Rankings!AF2:AF651))/STDEV(Rankings!AF2:AF651)</f>
        <v>1.6027595326067952</v>
      </c>
      <c r="Z433" s="118">
        <f>(VLOOKUP($A433,Pitchers!$A1:$S251,8,FALSE)-AVERAGE(Rankings!AG2:AG651))/STDEV(Rankings!AG2:AG651)</f>
        <v>0.60903030334032937</v>
      </c>
      <c r="AA433" s="118">
        <f>(VLOOKUP($A433,Pitchers!$A1:$S251,9,FALSE)-AVERAGE(Rankings!AH2:AH651))/STDEV(Rankings!AH2:AH651)</f>
        <v>-0.48271287499720011</v>
      </c>
      <c r="AB433" s="118">
        <f>(VLOOKUP($A433,Pitchers!$A1:$S251,10,FALSE)-AVERAGE(Rankings!AI2:AI651))/STDEV(Rankings!AI2:AI651)*-1</f>
        <v>-0.95283254288916053</v>
      </c>
      <c r="AC433" s="118">
        <f>(VLOOKUP($A433,Pitchers!$A1:$S251,11,FALSE)-AVERAGE(Rankings!AJ2:AJ651))/STDEV(Rankings!AJ2:AJ651)*-1</f>
        <v>-0.8670946311273795</v>
      </c>
      <c r="AD433" s="118">
        <f>(VLOOKUP($A433,Pitchers!$A1:$S251,12,FALSE)-AVERAGE(Rankings!AK2:AK651))/STDEV(Rankings!AK2:AK651)*-1</f>
        <v>-1.4278132933499916</v>
      </c>
      <c r="AE433" s="118">
        <f>IFERROR((VLOOKUP($A433,Pitchers!$A1:$S251,13,FALSE)-AVERAGE(Rankings!AL2:AL651))/STDEV(Rankings!AL2:AL651)*-1,0)</f>
        <v>-0.83108316430551266</v>
      </c>
      <c r="AF433" s="118">
        <f>(VLOOKUP($A433,Pitchers!$A1:$S251,14,FALSE)-AVERAGE(Rankings!AM2:AM651))/STDEV(Rankings!AM2:AM651)</f>
        <v>-0.67898589333126347</v>
      </c>
      <c r="AG433" s="118">
        <f>(VLOOKUP($A433,Pitchers!$A1:$S251,15,FALSE)-AVERAGE(Rankings!AN2:AN651))/STDEV(Rankings!AN2:AN651)</f>
        <v>0.94647550350408516</v>
      </c>
      <c r="AH433" s="118">
        <f>(VLOOKUP($A433,Pitchers!$A1:$S251,16,FALSE)-AVERAGE(Rankings!AO2:AO651))/STDEV(Rankings!AO2:AO651)*-1</f>
        <v>-1.165920119162646</v>
      </c>
      <c r="AI433" s="118">
        <f>IFERROR((VLOOKUP($A433,Pitchers!$A1:$S251,17,FALSE)-AVERAGE(Rankings!AP2:AP651))/STDEV(Rankings!AP2:AP651),0)</f>
        <v>1.5507897480551363</v>
      </c>
      <c r="AJ433" s="118">
        <f>(VLOOKUP($A433,Pitchers!$A1:$S251,18,FALSE)-AVERAGE(Rankings!AQ2:AQ651))/STDEV(Rankings!AQ2:AQ651)</f>
        <v>-0.69471541349839372</v>
      </c>
      <c r="AK433" s="118">
        <f>IFERROR((VLOOKUP($A433,Pitchers!$A1:$S251,19,FALSE)-AVERAGE(Rankings!AR2:AR651))/STDEV(Rankings!AR2:AR651)*-1,0)</f>
        <v>0.47686441955275594</v>
      </c>
    </row>
    <row r="434" spans="1:37" ht="18.600000000000001" customHeight="1">
      <c r="A434" s="26" t="s">
        <v>154</v>
      </c>
      <c r="B434" s="27" t="s">
        <v>81</v>
      </c>
      <c r="C434" s="127" t="s">
        <v>31</v>
      </c>
      <c r="D434" s="67">
        <f>(V434*Settings!$G$2)+(Y434*Settings!$G$5)+(Z434*Settings!$G$6)+(AA434*Settings!$G$7)+(AB434*Settings!$G$8)+(AC434*Settings!$G$9)+(AD434*Settings!$G$10)+(AE434*Settings!$G$11)+(AF434*Settings!$G$12)+(AG434*Settings!$G$13)+(AH434*Settings!$G$14)+(AI434*Settings!$G$15)+(AJ434*Settings!$G$16)+(AK434*Settings!$G$17)+(W434*Settings!$G$3)+(X434*Settings!$G$4)</f>
        <v>3.7199255021190791</v>
      </c>
      <c r="E434" s="67"/>
      <c r="F434" s="67"/>
      <c r="G434" s="67"/>
      <c r="H434" s="67"/>
      <c r="I434" s="67"/>
      <c r="J434" s="67"/>
      <c r="K434" s="72"/>
      <c r="L434" s="72"/>
      <c r="M434" s="67"/>
      <c r="N434" s="67"/>
      <c r="O434" s="67"/>
      <c r="P434" s="67"/>
      <c r="Q434" s="67"/>
      <c r="R434" s="72"/>
      <c r="S434" s="72"/>
      <c r="T434" s="67"/>
      <c r="U434" s="67"/>
      <c r="V434" s="118">
        <f>(VLOOKUP($A434,Pitchers!$A1:$S251,4,FALSE)-AVERAGE(Rankings!AC2:AC651))/STDEV(Rankings!AC2:AC651)</f>
        <v>0.5045002058092477</v>
      </c>
      <c r="W434" s="118">
        <f>(VLOOKUP($A434,Pitchers!$A1:$S251,5,FALSE)-AVERAGE(Rankings!AD2:AD651))/STDEV(Rankings!AD2:AD651)*-1</f>
        <v>1.0949698341906429</v>
      </c>
      <c r="X434" s="118">
        <f>(VLOOKUP($A434,Pitchers!$A1:$S251,6,FALSE)-AVERAGE(Rankings!AE2:AE651))/STDEV(Rankings!AE2:AE651)*-1</f>
        <v>1.3675117953793663</v>
      </c>
      <c r="Y434" s="118">
        <f>(VLOOKUP($A434,Pitchers!$A1:$S251,7,FALSE)-AVERAGE(Rankings!AF2:AF651))/STDEV(Rankings!AF2:AF651)</f>
        <v>0.66995281991748079</v>
      </c>
      <c r="Z434" s="118">
        <f>(VLOOKUP($A434,Pitchers!$A1:$S251,8,FALSE)-AVERAGE(Rankings!AG2:AG651))/STDEV(Rankings!AG2:AG651)</f>
        <v>1.0702039276287894</v>
      </c>
      <c r="AA434" s="118">
        <f>(VLOOKUP($A434,Pitchers!$A1:$S251,9,FALSE)-AVERAGE(Rankings!AH2:AH651))/STDEV(Rankings!AH2:AH651)</f>
        <v>-0.48271287499720011</v>
      </c>
      <c r="AB434" s="118">
        <f>(VLOOKUP($A434,Pitchers!$A1:$S251,10,FALSE)-AVERAGE(Rankings!AI2:AI651))/STDEV(Rankings!AI2:AI651)*-1</f>
        <v>-0.10885807369721774</v>
      </c>
      <c r="AC434" s="118">
        <f>(VLOOKUP($A434,Pitchers!$A1:$S251,11,FALSE)-AVERAGE(Rankings!AJ2:AJ651))/STDEV(Rankings!AJ2:AJ651)*-1</f>
        <v>-0.41911510722905282</v>
      </c>
      <c r="AD434" s="118">
        <f>(VLOOKUP($A434,Pitchers!$A1:$S251,12,FALSE)-AVERAGE(Rankings!AK2:AK651))/STDEV(Rankings!AK2:AK651)*-1</f>
        <v>0.50058988536194038</v>
      </c>
      <c r="AE434" s="118">
        <f>IFERROR((VLOOKUP($A434,Pitchers!$A1:$S251,13,FALSE)-AVERAGE(Rankings!AL2:AL651))/STDEV(Rankings!AL2:AL651)*-1,0)</f>
        <v>-0.3943133974397669</v>
      </c>
      <c r="AF434" s="118">
        <f>(VLOOKUP($A434,Pitchers!$A1:$S251,14,FALSE)-AVERAGE(Rankings!AM2:AM651))/STDEV(Rankings!AM2:AM651)</f>
        <v>-1.0262671364886722</v>
      </c>
      <c r="AG434" s="118">
        <f>(VLOOKUP($A434,Pitchers!$A1:$S251,15,FALSE)-AVERAGE(Rankings!AN2:AN651))/STDEV(Rankings!AN2:AN651)</f>
        <v>0.63917506116036327</v>
      </c>
      <c r="AH434" s="118">
        <f>(VLOOKUP($A434,Pitchers!$A1:$S251,16,FALSE)-AVERAGE(Rankings!AO2:AO651))/STDEV(Rankings!AO2:AO651)*-1</f>
        <v>4.1759517573722871E-2</v>
      </c>
      <c r="AI434" s="118">
        <f>IFERROR((VLOOKUP($A434,Pitchers!$A1:$S251,17,FALSE)-AVERAGE(Rankings!AP2:AP651))/STDEV(Rankings!AP2:AP651),0)</f>
        <v>1.197343925526992</v>
      </c>
      <c r="AJ434" s="118">
        <f>(VLOOKUP($A434,Pitchers!$A1:$S251,18,FALSE)-AVERAGE(Rankings!AQ2:AQ651))/STDEV(Rankings!AQ2:AQ651)</f>
        <v>-0.69471541349839372</v>
      </c>
      <c r="AK434" s="118">
        <f>IFERROR((VLOOKUP($A434,Pitchers!$A1:$S251,19,FALSE)-AVERAGE(Rankings!AR2:AR651))/STDEV(Rankings!AR2:AR651)*-1,0)</f>
        <v>0.47686441955275594</v>
      </c>
    </row>
    <row r="435" spans="1:37" ht="18.600000000000001" customHeight="1">
      <c r="A435" s="26" t="s">
        <v>224</v>
      </c>
      <c r="B435" s="27" t="s">
        <v>63</v>
      </c>
      <c r="C435" s="127" t="s">
        <v>31</v>
      </c>
      <c r="D435" s="67">
        <f>(V435*Settings!$G$2)+(Y435*Settings!$G$5)+(Z435*Settings!$G$6)+(AA435*Settings!$G$7)+(AB435*Settings!$G$8)+(AC435*Settings!$G$9)+(AD435*Settings!$G$10)+(AE435*Settings!$G$11)+(AF435*Settings!$G$12)+(AG435*Settings!$G$13)+(AH435*Settings!$G$14)+(AI435*Settings!$G$15)+(AJ435*Settings!$G$16)+(AK435*Settings!$G$17)+(W435*Settings!$G$3)+(X435*Settings!$G$4)</f>
        <v>2.6950146282822312</v>
      </c>
      <c r="E435" s="67"/>
      <c r="F435" s="67"/>
      <c r="G435" s="67"/>
      <c r="H435" s="67"/>
      <c r="I435" s="67"/>
      <c r="J435" s="67"/>
      <c r="K435" s="72"/>
      <c r="L435" s="72"/>
      <c r="M435" s="67"/>
      <c r="N435" s="67"/>
      <c r="O435" s="67"/>
      <c r="P435" s="67"/>
      <c r="Q435" s="67"/>
      <c r="R435" s="72"/>
      <c r="S435" s="72"/>
      <c r="T435" s="67"/>
      <c r="U435" s="67"/>
      <c r="V435" s="118">
        <f>(VLOOKUP($A435,Pitchers!$A1:$S251,4,FALSE)-AVERAGE(Rankings!AC2:AC651))/STDEV(Rankings!AC2:AC651)</f>
        <v>0.68562745425935867</v>
      </c>
      <c r="W435" s="118">
        <f>(VLOOKUP($A435,Pitchers!$A1:$S251,5,FALSE)-AVERAGE(Rankings!AD2:AD651))/STDEV(Rankings!AD2:AD651)*-1</f>
        <v>0.51193600425200791</v>
      </c>
      <c r="X435" s="118">
        <f>(VLOOKUP($A435,Pitchers!$A1:$S251,6,FALSE)-AVERAGE(Rankings!AE2:AE651))/STDEV(Rankings!AE2:AE651)*-1</f>
        <v>0.16983273695027912</v>
      </c>
      <c r="Y435" s="118">
        <f>(VLOOKUP($A435,Pitchers!$A1:$S251,7,FALSE)-AVERAGE(Rankings!AF2:AF651))/STDEV(Rankings!AF2:AF651)</f>
        <v>1.438937838182512</v>
      </c>
      <c r="Z435" s="118">
        <f>(VLOOKUP($A435,Pitchers!$A1:$S251,8,FALSE)-AVERAGE(Rankings!AG2:AG651))/STDEV(Rankings!AG2:AG651)</f>
        <v>1.0570209238946322</v>
      </c>
      <c r="AA435" s="118">
        <f>(VLOOKUP($A435,Pitchers!$A1:$S251,9,FALSE)-AVERAGE(Rankings!AH2:AH651))/STDEV(Rankings!AH2:AH651)</f>
        <v>-0.48271287499720011</v>
      </c>
      <c r="AB435" s="118">
        <f>(VLOOKUP($A435,Pitchers!$A1:$S251,10,FALSE)-AVERAGE(Rankings!AI2:AI651))/STDEV(Rankings!AI2:AI651)*-1</f>
        <v>-0.44934870428272328</v>
      </c>
      <c r="AC435" s="118">
        <f>(VLOOKUP($A435,Pitchers!$A1:$S251,11,FALSE)-AVERAGE(Rankings!AJ2:AJ651))/STDEV(Rankings!AJ2:AJ651)*-1</f>
        <v>-0.32589185011379596</v>
      </c>
      <c r="AD435" s="118">
        <f>(VLOOKUP($A435,Pitchers!$A1:$S251,12,FALSE)-AVERAGE(Rankings!AK2:AK651))/STDEV(Rankings!AK2:AK651)*-1</f>
        <v>-1.629650158409141</v>
      </c>
      <c r="AE435" s="118">
        <f>IFERROR((VLOOKUP($A435,Pitchers!$A1:$S251,13,FALSE)-AVERAGE(Rankings!AL2:AL651))/STDEV(Rankings!AL2:AL651)*-1,0)</f>
        <v>-0.43777788109513754</v>
      </c>
      <c r="AF435" s="118">
        <f>(VLOOKUP($A435,Pitchers!$A1:$S251,14,FALSE)-AVERAGE(Rankings!AM2:AM651))/STDEV(Rankings!AM2:AM651)</f>
        <v>-0.81712814699878855</v>
      </c>
      <c r="AG435" s="118">
        <f>(VLOOKUP($A435,Pitchers!$A1:$S251,15,FALSE)-AVERAGE(Rankings!AN2:AN651))/STDEV(Rankings!AN2:AN651)</f>
        <v>0.87030782576784682</v>
      </c>
      <c r="AH435" s="118">
        <f>(VLOOKUP($A435,Pitchers!$A1:$S251,16,FALSE)-AVERAGE(Rankings!AO2:AO651))/STDEV(Rankings!AO2:AO651)*-1</f>
        <v>-0.54752357122529949</v>
      </c>
      <c r="AI435" s="118">
        <f>IFERROR((VLOOKUP($A435,Pitchers!$A1:$S251,17,FALSE)-AVERAGE(Rankings!AP2:AP651))/STDEV(Rankings!AP2:AP651),0)</f>
        <v>0.92546252358226566</v>
      </c>
      <c r="AJ435" s="118">
        <f>(VLOOKUP($A435,Pitchers!$A1:$S251,18,FALSE)-AVERAGE(Rankings!AQ2:AQ651))/STDEV(Rankings!AQ2:AQ651)</f>
        <v>-0.69471541349839372</v>
      </c>
      <c r="AK435" s="118">
        <f>IFERROR((VLOOKUP($A435,Pitchers!$A1:$S251,19,FALSE)-AVERAGE(Rankings!AR2:AR651))/STDEV(Rankings!AR2:AR651)*-1,0)</f>
        <v>0.47686441955275594</v>
      </c>
    </row>
    <row r="436" spans="1:37" ht="18.600000000000001" customHeight="1">
      <c r="A436" s="26" t="s">
        <v>193</v>
      </c>
      <c r="B436" s="27" t="s">
        <v>101</v>
      </c>
      <c r="C436" s="127" t="s">
        <v>31</v>
      </c>
      <c r="D436" s="67">
        <f>(V436*Settings!$G$2)+(Y436*Settings!$G$5)+(Z436*Settings!$G$6)+(AA436*Settings!$G$7)+(AB436*Settings!$G$8)+(AC436*Settings!$G$9)+(AD436*Settings!$G$10)+(AE436*Settings!$G$11)+(AF436*Settings!$G$12)+(AG436*Settings!$G$13)+(AH436*Settings!$G$14)+(AI436*Settings!$G$15)+(AJ436*Settings!$G$16)+(AK436*Settings!$G$17)+(W436*Settings!$G$3)+(X436*Settings!$G$4)</f>
        <v>3.1989412269541502</v>
      </c>
      <c r="E436" s="67"/>
      <c r="F436" s="67"/>
      <c r="G436" s="67"/>
      <c r="H436" s="67"/>
      <c r="I436" s="67"/>
      <c r="J436" s="67"/>
      <c r="K436" s="72"/>
      <c r="L436" s="72"/>
      <c r="M436" s="67"/>
      <c r="N436" s="67"/>
      <c r="O436" s="67"/>
      <c r="P436" s="67"/>
      <c r="Q436" s="67"/>
      <c r="R436" s="72"/>
      <c r="S436" s="72"/>
      <c r="T436" s="67"/>
      <c r="U436" s="67"/>
      <c r="V436" s="118">
        <f>(VLOOKUP($A436,Pitchers!$A1:$S251,4,FALSE)-AVERAGE(Rankings!AC2:AC651))/STDEV(Rankings!AC2:AC651)</f>
        <v>0.91852933223703515</v>
      </c>
      <c r="W436" s="118">
        <f>(VLOOKUP($A436,Pitchers!$A1:$S251,5,FALSE)-AVERAGE(Rankings!AD2:AD651))/STDEV(Rankings!AD2:AD651)*-1</f>
        <v>0.69320957124635785</v>
      </c>
      <c r="X436" s="118">
        <f>(VLOOKUP($A436,Pitchers!$A1:$S251,6,FALSE)-AVERAGE(Rankings!AE2:AE651))/STDEV(Rankings!AE2:AE651)*-1</f>
        <v>0.91067356338485161</v>
      </c>
      <c r="Y436" s="118">
        <f>(VLOOKUP($A436,Pitchers!$A1:$S251,7,FALSE)-AVERAGE(Rankings!AF2:AF651))/STDEV(Rankings!AF2:AF651)</f>
        <v>1.0307112496617077</v>
      </c>
      <c r="Z436" s="118">
        <f>(VLOOKUP($A436,Pitchers!$A1:$S251,8,FALSE)-AVERAGE(Rankings!AG2:AG651))/STDEV(Rankings!AG2:AG651)</f>
        <v>1.0470597176584326</v>
      </c>
      <c r="AA436" s="118">
        <f>(VLOOKUP($A436,Pitchers!$A1:$S251,9,FALSE)-AVERAGE(Rankings!AH2:AH651))/STDEV(Rankings!AH2:AH651)</f>
        <v>-0.48271287499720011</v>
      </c>
      <c r="AB436" s="118">
        <f>(VLOOKUP($A436,Pitchers!$A1:$S251,10,FALSE)-AVERAGE(Rankings!AI2:AI651))/STDEV(Rankings!AI2:AI651)*-1</f>
        <v>-0.58938732782855696</v>
      </c>
      <c r="AC436" s="118">
        <f>(VLOOKUP($A436,Pitchers!$A1:$S251,11,FALSE)-AVERAGE(Rankings!AJ2:AJ651))/STDEV(Rankings!AJ2:AJ651)*-1</f>
        <v>-0.73987155409683614</v>
      </c>
      <c r="AD436" s="118">
        <f>(VLOOKUP($A436,Pitchers!$A1:$S251,12,FALSE)-AVERAGE(Rankings!AK2:AK651))/STDEV(Rankings!AK2:AK651)*-1</f>
        <v>-0.4584361982657254</v>
      </c>
      <c r="AE436" s="118">
        <f>IFERROR((VLOOKUP($A436,Pitchers!$A1:$S251,13,FALSE)-AVERAGE(Rankings!AL2:AL651))/STDEV(Rankings!AL2:AL651)*-1,0)</f>
        <v>-0.98436790999678603</v>
      </c>
      <c r="AF436" s="118">
        <f>(VLOOKUP($A436,Pitchers!$A1:$S251,14,FALSE)-AVERAGE(Rankings!AM2:AM651))/STDEV(Rankings!AM2:AM651)</f>
        <v>-0.59517514361018031</v>
      </c>
      <c r="AG436" s="118">
        <f>(VLOOKUP($A436,Pitchers!$A1:$S251,15,FALSE)-AVERAGE(Rankings!AN2:AN651))/STDEV(Rankings!AN2:AN651)</f>
        <v>0.93385966790476238</v>
      </c>
      <c r="AH436" s="118">
        <f>(VLOOKUP($A436,Pitchers!$A1:$S251,16,FALSE)-AVERAGE(Rankings!AO2:AO651))/STDEV(Rankings!AO2:AO651)*-1</f>
        <v>-0.78598871086040556</v>
      </c>
      <c r="AI436" s="118">
        <f>IFERROR((VLOOKUP($A436,Pitchers!$A1:$S251,17,FALSE)-AVERAGE(Rankings!AP2:AP651))/STDEV(Rankings!AP2:AP651),0)</f>
        <v>1.637130218599383</v>
      </c>
      <c r="AJ436" s="118">
        <f>(VLOOKUP($A436,Pitchers!$A1:$S251,18,FALSE)-AVERAGE(Rankings!AQ2:AQ651))/STDEV(Rankings!AQ2:AQ651)</f>
        <v>-0.69471541349839372</v>
      </c>
      <c r="AK436" s="118">
        <f>IFERROR((VLOOKUP($A436,Pitchers!$A1:$S251,19,FALSE)-AVERAGE(Rankings!AR2:AR651))/STDEV(Rankings!AR2:AR651)*-1,0)</f>
        <v>0.47686441955275594</v>
      </c>
    </row>
    <row r="437" spans="1:37" ht="18.600000000000001" customHeight="1">
      <c r="A437" s="26" t="s">
        <v>201</v>
      </c>
      <c r="B437" s="27" t="s">
        <v>156</v>
      </c>
      <c r="C437" s="127" t="s">
        <v>31</v>
      </c>
      <c r="D437" s="67">
        <f>(V437*Settings!$G$2)+(Y437*Settings!$G$5)+(Z437*Settings!$G$6)+(AA437*Settings!$G$7)+(AB437*Settings!$G$8)+(AC437*Settings!$G$9)+(AD437*Settings!$G$10)+(AE437*Settings!$G$11)+(AF437*Settings!$G$12)+(AG437*Settings!$G$13)+(AH437*Settings!$G$14)+(AI437*Settings!$G$15)+(AJ437*Settings!$G$16)+(AK437*Settings!$G$17)+(W437*Settings!$G$3)+(X437*Settings!$G$4)</f>
        <v>3.0510371447377551</v>
      </c>
      <c r="E437" s="67"/>
      <c r="F437" s="67"/>
      <c r="G437" s="67"/>
      <c r="H437" s="67"/>
      <c r="I437" s="67"/>
      <c r="J437" s="67"/>
      <c r="K437" s="72"/>
      <c r="L437" s="72"/>
      <c r="M437" s="67"/>
      <c r="N437" s="67"/>
      <c r="O437" s="67"/>
      <c r="P437" s="67"/>
      <c r="Q437" s="67"/>
      <c r="R437" s="72"/>
      <c r="S437" s="72"/>
      <c r="T437" s="67"/>
      <c r="U437" s="67"/>
      <c r="V437" s="118">
        <f>(VLOOKUP($A437,Pitchers!$A1:$S251,4,FALSE)-AVERAGE(Rankings!AC2:AC651))/STDEV(Rankings!AC2:AC651)</f>
        <v>1.0744084914030656</v>
      </c>
      <c r="W437" s="118">
        <f>(VLOOKUP($A437,Pitchers!$A1:$S251,5,FALSE)-AVERAGE(Rankings!AD2:AD651))/STDEV(Rankings!AD2:AD651)*-1</f>
        <v>3.0764169648777049E-3</v>
      </c>
      <c r="X437" s="118">
        <f>(VLOOKUP($A437,Pitchers!$A1:$S251,6,FALSE)-AVERAGE(Rankings!AE2:AE651))/STDEV(Rankings!AE2:AE651)*-1</f>
        <v>1.086333764731418</v>
      </c>
      <c r="Y437" s="118">
        <f>(VLOOKUP($A437,Pitchers!$A1:$S251,7,FALSE)-AVERAGE(Rankings!AF2:AF651))/STDEV(Rankings!AF2:AF651)</f>
        <v>1.2307305527163559</v>
      </c>
      <c r="Z437" s="118">
        <f>(VLOOKUP($A437,Pitchers!$A1:$S251,8,FALSE)-AVERAGE(Rankings!AG2:AG651))/STDEV(Rankings!AG2:AG651)</f>
        <v>1.2136092853223033</v>
      </c>
      <c r="AA437" s="118">
        <f>(VLOOKUP($A437,Pitchers!$A1:$S251,9,FALSE)-AVERAGE(Rankings!AH2:AH651))/STDEV(Rankings!AH2:AH651)</f>
        <v>-0.48271287499720011</v>
      </c>
      <c r="AB437" s="118">
        <f>(VLOOKUP($A437,Pitchers!$A1:$S251,10,FALSE)-AVERAGE(Rankings!AI2:AI651))/STDEV(Rankings!AI2:AI651)*-1</f>
        <v>-0.98081403494952069</v>
      </c>
      <c r="AC437" s="118">
        <f>(VLOOKUP($A437,Pitchers!$A1:$S251,11,FALSE)-AVERAGE(Rankings!AJ2:AJ651))/STDEV(Rankings!AJ2:AJ651)*-1</f>
        <v>-0.76765208471718283</v>
      </c>
      <c r="AD437" s="118">
        <f>(VLOOKUP($A437,Pitchers!$A1:$S251,12,FALSE)-AVERAGE(Rankings!AK2:AK651))/STDEV(Rankings!AK2:AK651)*-1</f>
        <v>-0.78731420484627257</v>
      </c>
      <c r="AE437" s="118">
        <f>IFERROR((VLOOKUP($A437,Pitchers!$A1:$S251,13,FALSE)-AVERAGE(Rankings!AL2:AL651))/STDEV(Rankings!AL2:AL651)*-1,0)</f>
        <v>-1.3022381671297292</v>
      </c>
      <c r="AF437" s="118">
        <f>(VLOOKUP($A437,Pitchers!$A1:$S251,14,FALSE)-AVERAGE(Rankings!AM2:AM651))/STDEV(Rankings!AM2:AM651)</f>
        <v>-0.70894547865493629</v>
      </c>
      <c r="AG437" s="118">
        <f>(VLOOKUP($A437,Pitchers!$A1:$S251,15,FALSE)-AVERAGE(Rankings!AN2:AN651))/STDEV(Rankings!AN2:AN651)</f>
        <v>1.0240955492350681</v>
      </c>
      <c r="AH437" s="118">
        <f>(VLOOKUP($A437,Pitchers!$A1:$S251,16,FALSE)-AVERAGE(Rankings!AO2:AO651))/STDEV(Rankings!AO2:AO651)*-1</f>
        <v>-1.0982876678784343</v>
      </c>
      <c r="AI437" s="118">
        <f>IFERROR((VLOOKUP($A437,Pitchers!$A1:$S251,17,FALSE)-AVERAGE(Rankings!AP2:AP651))/STDEV(Rankings!AP2:AP651),0)</f>
        <v>0.78952182260990256</v>
      </c>
      <c r="AJ437" s="118">
        <f>(VLOOKUP($A437,Pitchers!$A1:$S251,18,FALSE)-AVERAGE(Rankings!AQ2:AQ651))/STDEV(Rankings!AQ2:AQ651)</f>
        <v>-0.69471541349839372</v>
      </c>
      <c r="AK437" s="118">
        <f>IFERROR((VLOOKUP($A437,Pitchers!$A1:$S251,19,FALSE)-AVERAGE(Rankings!AR2:AR651))/STDEV(Rankings!AR2:AR651)*-1,0)</f>
        <v>0.47686441955275594</v>
      </c>
    </row>
    <row r="438" spans="1:37" ht="18.600000000000001" customHeight="1">
      <c r="A438" s="26" t="s">
        <v>240</v>
      </c>
      <c r="B438" s="27" t="s">
        <v>73</v>
      </c>
      <c r="C438" s="127" t="s">
        <v>31</v>
      </c>
      <c r="D438" s="67">
        <f>(V438*Settings!$G$2)+(Y438*Settings!$G$5)+(Z438*Settings!$G$6)+(AA438*Settings!$G$7)+(AB438*Settings!$G$8)+(AC438*Settings!$G$9)+(AD438*Settings!$G$10)+(AE438*Settings!$G$11)+(AF438*Settings!$G$12)+(AG438*Settings!$G$13)+(AH438*Settings!$G$14)+(AI438*Settings!$G$15)+(AJ438*Settings!$G$16)+(AK438*Settings!$G$17)+(W438*Settings!$G$3)+(X438*Settings!$G$4)</f>
        <v>2.1840950671248889</v>
      </c>
      <c r="E438" s="67"/>
      <c r="F438" s="67"/>
      <c r="G438" s="67"/>
      <c r="H438" s="67"/>
      <c r="I438" s="67"/>
      <c r="J438" s="67"/>
      <c r="K438" s="72"/>
      <c r="L438" s="72"/>
      <c r="M438" s="67"/>
      <c r="N438" s="67"/>
      <c r="O438" s="67"/>
      <c r="P438" s="67"/>
      <c r="Q438" s="67"/>
      <c r="R438" s="72"/>
      <c r="S438" s="72"/>
      <c r="T438" s="67"/>
      <c r="U438" s="67"/>
      <c r="V438" s="118">
        <f>(VLOOKUP($A438,Pitchers!$A1:$S251,4,FALSE)-AVERAGE(Rankings!AC2:AC651))/STDEV(Rankings!AC2:AC651)</f>
        <v>1.0847510932337505</v>
      </c>
      <c r="W438" s="118">
        <f>(VLOOKUP($A438,Pitchers!$A1:$S251,5,FALSE)-AVERAGE(Rankings!AD2:AD651))/STDEV(Rankings!AD2:AD651)*-1</f>
        <v>-2.81577926308729E-2</v>
      </c>
      <c r="X438" s="118">
        <f>(VLOOKUP($A438,Pitchers!$A1:$S251,6,FALSE)-AVERAGE(Rankings!AE2:AE651))/STDEV(Rankings!AE2:AE651)*-1</f>
        <v>6.3607850834629637E-2</v>
      </c>
      <c r="Y438" s="118">
        <f>(VLOOKUP($A438,Pitchers!$A1:$S251,7,FALSE)-AVERAGE(Rankings!AF2:AF651))/STDEV(Rankings!AF2:AF651)</f>
        <v>1.4791621037966145</v>
      </c>
      <c r="Z438" s="118">
        <f>(VLOOKUP($A438,Pitchers!$A1:$S251,8,FALSE)-AVERAGE(Rankings!AG2:AG651))/STDEV(Rankings!AG2:AG651)</f>
        <v>1.1521957801217177</v>
      </c>
      <c r="AA438" s="118">
        <f>(VLOOKUP($A438,Pitchers!$A1:$S251,9,FALSE)-AVERAGE(Rankings!AH2:AH651))/STDEV(Rankings!AH2:AH651)</f>
        <v>-0.48271287499720011</v>
      </c>
      <c r="AB438" s="118">
        <f>(VLOOKUP($A438,Pitchers!$A1:$S251,10,FALSE)-AVERAGE(Rankings!AI2:AI651))/STDEV(Rankings!AI2:AI651)*-1</f>
        <v>-1.0021661909548827</v>
      </c>
      <c r="AC438" s="118">
        <f>(VLOOKUP($A438,Pitchers!$A1:$S251,11,FALSE)-AVERAGE(Rankings!AJ2:AJ651))/STDEV(Rankings!AJ2:AJ651)*-1</f>
        <v>-0.90305001536787344</v>
      </c>
      <c r="AD438" s="118">
        <f>(VLOOKUP($A438,Pitchers!$A1:$S251,12,FALSE)-AVERAGE(Rankings!AK2:AK651))/STDEV(Rankings!AK2:AK651)*-1</f>
        <v>-1.4753908546640233</v>
      </c>
      <c r="AE438" s="118">
        <f>IFERROR((VLOOKUP($A438,Pitchers!$A1:$S251,13,FALSE)-AVERAGE(Rankings!AL2:AL651))/STDEV(Rankings!AL2:AL651)*-1,0)</f>
        <v>-0.86759333057602428</v>
      </c>
      <c r="AF438" s="118">
        <f>(VLOOKUP($A438,Pitchers!$A1:$S251,14,FALSE)-AVERAGE(Rankings!AM2:AM651))/STDEV(Rankings!AM2:AM651)</f>
        <v>-0.66672094012649097</v>
      </c>
      <c r="AG438" s="118">
        <f>(VLOOKUP($A438,Pitchers!$A1:$S251,15,FALSE)-AVERAGE(Rankings!AN2:AN651))/STDEV(Rankings!AN2:AN651)</f>
        <v>1.0485881455961514</v>
      </c>
      <c r="AH438" s="118">
        <f>(VLOOKUP($A438,Pitchers!$A1:$S251,16,FALSE)-AVERAGE(Rankings!AO2:AO651))/STDEV(Rankings!AO2:AO651)*-1</f>
        <v>-0.4871579865190579</v>
      </c>
      <c r="AI438" s="118">
        <f>IFERROR((VLOOKUP($A438,Pitchers!$A1:$S251,17,FALSE)-AVERAGE(Rankings!AP2:AP651))/STDEV(Rankings!AP2:AP651),0)</f>
        <v>0.92546252358226566</v>
      </c>
      <c r="AJ438" s="118">
        <f>(VLOOKUP($A438,Pitchers!$A1:$S251,18,FALSE)-AVERAGE(Rankings!AQ2:AQ651))/STDEV(Rankings!AQ2:AQ651)</f>
        <v>-0.69471541349839372</v>
      </c>
      <c r="AK438" s="118">
        <f>IFERROR((VLOOKUP($A438,Pitchers!$A1:$S251,19,FALSE)-AVERAGE(Rankings!AR2:AR651))/STDEV(Rankings!AR2:AR651)*-1,0)</f>
        <v>0.47686441955275594</v>
      </c>
    </row>
    <row r="439" spans="1:37" ht="18.600000000000001" customHeight="1">
      <c r="A439" s="26" t="s">
        <v>225</v>
      </c>
      <c r="B439" s="27" t="s">
        <v>71</v>
      </c>
      <c r="C439" s="127" t="s">
        <v>31</v>
      </c>
      <c r="D439" s="67">
        <f>(V439*Settings!$G$2)+(Y439*Settings!$G$5)+(Z439*Settings!$G$6)+(AA439*Settings!$G$7)+(AB439*Settings!$G$8)+(AC439*Settings!$G$9)+(AD439*Settings!$G$10)+(AE439*Settings!$G$11)+(AF439*Settings!$G$12)+(AG439*Settings!$G$13)+(AH439*Settings!$G$14)+(AI439*Settings!$G$15)+(AJ439*Settings!$G$16)+(AK439*Settings!$G$17)+(W439*Settings!$G$3)+(X439*Settings!$G$4)</f>
        <v>2.2884453648058445</v>
      </c>
      <c r="E439" s="67"/>
      <c r="F439" s="67"/>
      <c r="G439" s="67"/>
      <c r="H439" s="67"/>
      <c r="I439" s="67"/>
      <c r="J439" s="67"/>
      <c r="K439" s="72"/>
      <c r="L439" s="72"/>
      <c r="M439" s="67"/>
      <c r="N439" s="67"/>
      <c r="O439" s="67"/>
      <c r="P439" s="67"/>
      <c r="Q439" s="67"/>
      <c r="R439" s="72"/>
      <c r="S439" s="72"/>
      <c r="T439" s="67"/>
      <c r="U439" s="67"/>
      <c r="V439" s="118">
        <f>(VLOOKUP($A439,Pitchers!$A1:$S251,4,FALSE)-AVERAGE(Rankings!AC2:AC651))/STDEV(Rankings!AC2:AC651)</f>
        <v>1.3159420322729247</v>
      </c>
      <c r="W439" s="118">
        <f>(VLOOKUP($A439,Pitchers!$A1:$S251,5,FALSE)-AVERAGE(Rankings!AD2:AD651))/STDEV(Rankings!AD2:AD651)*-1</f>
        <v>8.7729688813127562E-3</v>
      </c>
      <c r="X439" s="118">
        <f>(VLOOKUP($A439,Pitchers!$A1:$S251,6,FALSE)-AVERAGE(Rankings!AE2:AE651))/STDEV(Rankings!AE2:AE651)*-1</f>
        <v>0.36169841437331368</v>
      </c>
      <c r="Y439" s="118">
        <f>(VLOOKUP($A439,Pitchers!$A1:$S251,7,FALSE)-AVERAGE(Rankings!AF2:AF651))/STDEV(Rankings!AF2:AF651)</f>
        <v>1.1957590614900722</v>
      </c>
      <c r="Z439" s="118">
        <f>(VLOOKUP($A439,Pitchers!$A1:$S251,8,FALSE)-AVERAGE(Rankings!AG2:AG651))/STDEV(Rankings!AG2:AG651)</f>
        <v>1.2049277950583464</v>
      </c>
      <c r="AA439" s="118">
        <f>(VLOOKUP($A439,Pitchers!$A1:$S251,9,FALSE)-AVERAGE(Rankings!AH2:AH651))/STDEV(Rankings!AH2:AH651)</f>
        <v>-0.48271287499720011</v>
      </c>
      <c r="AB439" s="118">
        <f>(VLOOKUP($A439,Pitchers!$A1:$S251,10,FALSE)-AVERAGE(Rankings!AI2:AI651))/STDEV(Rankings!AI2:AI651)*-1</f>
        <v>-1.2041321675322683</v>
      </c>
      <c r="AC439" s="118">
        <f>(VLOOKUP($A439,Pitchers!$A1:$S251,11,FALSE)-AVERAGE(Rankings!AJ2:AJ651))/STDEV(Rankings!AJ2:AJ651)*-1</f>
        <v>-1.2870590322089734</v>
      </c>
      <c r="AD439" s="118">
        <f>(VLOOKUP($A439,Pitchers!$A1:$S251,12,FALSE)-AVERAGE(Rankings!AK2:AK651))/STDEV(Rankings!AK2:AK651)*-1</f>
        <v>-0.82024066855957101</v>
      </c>
      <c r="AE439" s="118">
        <f>IFERROR((VLOOKUP($A439,Pitchers!$A1:$S251,13,FALSE)-AVERAGE(Rankings!AL2:AL651))/STDEV(Rankings!AL2:AL651)*-1,0)</f>
        <v>-1.2394561351830826</v>
      </c>
      <c r="AF439" s="118">
        <f>(VLOOKUP($A439,Pitchers!$A1:$S251,14,FALSE)-AVERAGE(Rankings!AM2:AM651))/STDEV(Rankings!AM2:AM651)</f>
        <v>-0.59162360650207457</v>
      </c>
      <c r="AG439" s="118">
        <f>(VLOOKUP($A439,Pitchers!$A1:$S251,15,FALSE)-AVERAGE(Rankings!AN2:AN651))/STDEV(Rankings!AN2:AN651)</f>
        <v>1.1664104249331508</v>
      </c>
      <c r="AH439" s="118">
        <f>(VLOOKUP($A439,Pitchers!$A1:$S251,16,FALSE)-AVERAGE(Rankings!AO2:AO651))/STDEV(Rankings!AO2:AO651)*-1</f>
        <v>-0.98541360631660546</v>
      </c>
      <c r="AI439" s="118">
        <f>IFERROR((VLOOKUP($A439,Pitchers!$A1:$S251,17,FALSE)-AVERAGE(Rankings!AP2:AP651))/STDEV(Rankings!AP2:AP651),0)</f>
        <v>1.0614032245546288</v>
      </c>
      <c r="AJ439" s="118">
        <f>(VLOOKUP($A439,Pitchers!$A1:$S251,18,FALSE)-AVERAGE(Rankings!AQ2:AQ651))/STDEV(Rankings!AQ2:AQ651)</f>
        <v>-0.69471541349839372</v>
      </c>
      <c r="AK439" s="118">
        <f>IFERROR((VLOOKUP($A439,Pitchers!$A1:$S251,19,FALSE)-AVERAGE(Rankings!AR2:AR651))/STDEV(Rankings!AR2:AR651)*-1,0)</f>
        <v>0.47686441955275594</v>
      </c>
    </row>
    <row r="440" spans="1:37" ht="18.600000000000001" customHeight="1">
      <c r="A440" s="26" t="s">
        <v>214</v>
      </c>
      <c r="B440" s="27" t="s">
        <v>114</v>
      </c>
      <c r="C440" s="127" t="s">
        <v>31</v>
      </c>
      <c r="D440" s="67">
        <f>(V440*Settings!$G$2)+(Y440*Settings!$G$5)+(Z440*Settings!$G$6)+(AA440*Settings!$G$7)+(AB440*Settings!$G$8)+(AC440*Settings!$G$9)+(AD440*Settings!$G$10)+(AE440*Settings!$G$11)+(AF440*Settings!$G$12)+(AG440*Settings!$G$13)+(AH440*Settings!$G$14)+(AI440*Settings!$G$15)+(AJ440*Settings!$G$16)+(AK440*Settings!$G$17)+(W440*Settings!$G$3)+(X440*Settings!$G$4)</f>
        <v>1.8271574320058068</v>
      </c>
      <c r="E440" s="67"/>
      <c r="F440" s="67"/>
      <c r="G440" s="67"/>
      <c r="H440" s="67"/>
      <c r="I440" s="67"/>
      <c r="J440" s="67"/>
      <c r="K440" s="72"/>
      <c r="L440" s="72"/>
      <c r="M440" s="67"/>
      <c r="N440" s="67"/>
      <c r="O440" s="67"/>
      <c r="P440" s="67"/>
      <c r="Q440" s="67"/>
      <c r="R440" s="72"/>
      <c r="S440" s="72"/>
      <c r="T440" s="67"/>
      <c r="U440" s="67"/>
      <c r="V440" s="118">
        <f>(VLOOKUP($A440,Pitchers!$A1:$S251,4,FALSE)-AVERAGE(Rankings!AC2:AC651))/STDEV(Rankings!AC2:AC651)</f>
        <v>1.1268659846306812</v>
      </c>
      <c r="W440" s="118">
        <f>(VLOOKUP($A440,Pitchers!$A1:$S251,5,FALSE)-AVERAGE(Rankings!AD2:AD651))/STDEV(Rankings!AD2:AD651)*-1</f>
        <v>-0.23415880321393873</v>
      </c>
      <c r="X440" s="118">
        <f>(VLOOKUP($A440,Pitchers!$A1:$S251,6,FALSE)-AVERAGE(Rankings!AE2:AE651))/STDEV(Rankings!AE2:AE651)*-1</f>
        <v>0.37885834453494543</v>
      </c>
      <c r="Y440" s="118">
        <f>(VLOOKUP($A440,Pitchers!$A1:$S251,7,FALSE)-AVERAGE(Rankings!AF2:AF651))/STDEV(Rankings!AF2:AF651)</f>
        <v>1.071173123996439</v>
      </c>
      <c r="Z440" s="118">
        <f>(VLOOKUP($A440,Pitchers!$A1:$S251,8,FALSE)-AVERAGE(Rankings!AG2:AG651))/STDEV(Rankings!AG2:AG651)</f>
        <v>1.093997641685561</v>
      </c>
      <c r="AA440" s="118">
        <f>(VLOOKUP($A440,Pitchers!$A1:$S251,9,FALSE)-AVERAGE(Rankings!AH2:AH651))/STDEV(Rankings!AH2:AH651)</f>
        <v>-0.48271287499720011</v>
      </c>
      <c r="AB440" s="118">
        <f>(VLOOKUP($A440,Pitchers!$A1:$S251,10,FALSE)-AVERAGE(Rankings!AI2:AI651))/STDEV(Rankings!AI2:AI651)*-1</f>
        <v>-1.1197047259177331</v>
      </c>
      <c r="AC440" s="118">
        <f>(VLOOKUP($A440,Pitchers!$A1:$S251,11,FALSE)-AVERAGE(Rankings!AJ2:AJ651))/STDEV(Rankings!AJ2:AJ651)*-1</f>
        <v>-1.1637919253955595</v>
      </c>
      <c r="AD440" s="118">
        <f>(VLOOKUP($A440,Pitchers!$A1:$S251,12,FALSE)-AVERAGE(Rankings!AK2:AK651))/STDEV(Rankings!AK2:AK651)*-1</f>
        <v>-0.44013254211273928</v>
      </c>
      <c r="AE440" s="118">
        <f>IFERROR((VLOOKUP($A440,Pitchers!$A1:$S251,13,FALSE)-AVERAGE(Rankings!AL2:AL651))/STDEV(Rankings!AL2:AL651)*-1,0)</f>
        <v>-1.4616079405327551</v>
      </c>
      <c r="AF440" s="118">
        <f>(VLOOKUP($A440,Pitchers!$A1:$S251,14,FALSE)-AVERAGE(Rankings!AM2:AM651))/STDEV(Rankings!AM2:AM651)</f>
        <v>-0.71843891516972058</v>
      </c>
      <c r="AG440" s="118">
        <f>(VLOOKUP($A440,Pitchers!$A1:$S251,15,FALSE)-AVERAGE(Rankings!AN2:AN651))/STDEV(Rankings!AN2:AN651)</f>
        <v>0.98679805161854195</v>
      </c>
      <c r="AH440" s="118">
        <f>(VLOOKUP($A440,Pitchers!$A1:$S251,16,FALSE)-AVERAGE(Rankings!AO2:AO651))/STDEV(Rankings!AO2:AO651)*-1</f>
        <v>-1.1279913682894416</v>
      </c>
      <c r="AI440" s="118">
        <f>IFERROR((VLOOKUP($A440,Pitchers!$A1:$S251,17,FALSE)-AVERAGE(Rankings!AP2:AP651))/STDEV(Rankings!AP2:AP651),0)</f>
        <v>1.0614032245546288</v>
      </c>
      <c r="AJ440" s="118">
        <f>(VLOOKUP($A440,Pitchers!$A1:$S251,18,FALSE)-AVERAGE(Rankings!AQ2:AQ651))/STDEV(Rankings!AQ2:AQ651)</f>
        <v>-0.69471541349839372</v>
      </c>
      <c r="AK440" s="118">
        <f>IFERROR((VLOOKUP($A440,Pitchers!$A1:$S251,19,FALSE)-AVERAGE(Rankings!AR2:AR651))/STDEV(Rankings!AR2:AR651)*-1,0)</f>
        <v>0.47686441955275594</v>
      </c>
    </row>
    <row r="441" spans="1:37" ht="18.600000000000001" customHeight="1">
      <c r="A441" s="26" t="s">
        <v>210</v>
      </c>
      <c r="B441" s="27" t="s">
        <v>71</v>
      </c>
      <c r="C441" s="127" t="s">
        <v>31</v>
      </c>
      <c r="D441" s="67">
        <f>(V441*Settings!$G$2)+(Y441*Settings!$G$5)+(Z441*Settings!$G$6)+(AA441*Settings!$G$7)+(AB441*Settings!$G$8)+(AC441*Settings!$G$9)+(AD441*Settings!$G$10)+(AE441*Settings!$G$11)+(AF441*Settings!$G$12)+(AG441*Settings!$G$13)+(AH441*Settings!$G$14)+(AI441*Settings!$G$15)+(AJ441*Settings!$G$16)+(AK441*Settings!$G$17)+(W441*Settings!$G$3)+(X441*Settings!$G$4)</f>
        <v>3.7768890036715699</v>
      </c>
      <c r="E441" s="67"/>
      <c r="F441" s="67"/>
      <c r="G441" s="67"/>
      <c r="H441" s="67"/>
      <c r="I441" s="67"/>
      <c r="J441" s="67"/>
      <c r="K441" s="72"/>
      <c r="L441" s="72"/>
      <c r="M441" s="67"/>
      <c r="N441" s="67"/>
      <c r="O441" s="67"/>
      <c r="P441" s="67"/>
      <c r="Q441" s="67"/>
      <c r="R441" s="72"/>
      <c r="S441" s="72"/>
      <c r="T441" s="67"/>
      <c r="U441" s="67"/>
      <c r="V441" s="118">
        <f>(VLOOKUP($A441,Pitchers!$A1:$S251,4,FALSE)-AVERAGE(Rankings!AC2:AC651))/STDEV(Rankings!AC2:AC651)</f>
        <v>1.1757728615044625</v>
      </c>
      <c r="W441" s="118">
        <f>(VLOOKUP($A441,Pitchers!$A1:$S251,5,FALSE)-AVERAGE(Rankings!AD2:AD651))/STDEV(Rankings!AD2:AD651)*-1</f>
        <v>0.94907373925608418</v>
      </c>
      <c r="X441" s="118">
        <f>(VLOOKUP($A441,Pitchers!$A1:$S251,6,FALSE)-AVERAGE(Rankings!AE2:AE651))/STDEV(Rankings!AE2:AE651)*-1</f>
        <v>0.81700200235985543</v>
      </c>
      <c r="Y441" s="118">
        <f>(VLOOKUP($A441,Pitchers!$A1:$S251,7,FALSE)-AVERAGE(Rankings!AF2:AF651))/STDEV(Rankings!AF2:AF651)</f>
        <v>1.4493023728806242</v>
      </c>
      <c r="Z441" s="118">
        <f>(VLOOKUP($A441,Pitchers!$A1:$S251,8,FALSE)-AVERAGE(Rankings!AG2:AG651))/STDEV(Rankings!AG2:AG651)</f>
        <v>1.0442237641722061</v>
      </c>
      <c r="AA441" s="118">
        <f>(VLOOKUP($A441,Pitchers!$A1:$S251,9,FALSE)-AVERAGE(Rankings!AH2:AH651))/STDEV(Rankings!AH2:AH651)</f>
        <v>-0.48271287499720011</v>
      </c>
      <c r="AB441" s="118">
        <f>(VLOOKUP($A441,Pitchers!$A1:$S251,10,FALSE)-AVERAGE(Rankings!AI2:AI651))/STDEV(Rankings!AI2:AI651)*-1</f>
        <v>-0.71198022314867671</v>
      </c>
      <c r="AC441" s="118">
        <f>(VLOOKUP($A441,Pitchers!$A1:$S251,11,FALSE)-AVERAGE(Rankings!AJ2:AJ651))/STDEV(Rankings!AJ2:AJ651)*-1</f>
        <v>-1.1559800524575468</v>
      </c>
      <c r="AD441" s="118">
        <f>(VLOOKUP($A441,Pitchers!$A1:$S251,12,FALSE)-AVERAGE(Rankings!AK2:AK651))/STDEV(Rankings!AK2:AK651)*-1</f>
        <v>-0.18222167359950739</v>
      </c>
      <c r="AE441" s="118">
        <f>IFERROR((VLOOKUP($A441,Pitchers!$A1:$S251,13,FALSE)-AVERAGE(Rankings!AL2:AL651))/STDEV(Rankings!AL2:AL651)*-1,0)</f>
        <v>-0.53050211289326143</v>
      </c>
      <c r="AF441" s="118">
        <f>(VLOOKUP($A441,Pitchers!$A1:$S251,14,FALSE)-AVERAGE(Rankings!AM2:AM651))/STDEV(Rankings!AM2:AM651)</f>
        <v>-0.62256937567862636</v>
      </c>
      <c r="AG441" s="118">
        <f>(VLOOKUP($A441,Pitchers!$A1:$S251,15,FALSE)-AVERAGE(Rankings!AN2:AN651))/STDEV(Rankings!AN2:AN651)</f>
        <v>1.1159814581096998</v>
      </c>
      <c r="AH441" s="118">
        <f>(VLOOKUP($A441,Pitchers!$A1:$S251,16,FALSE)-AVERAGE(Rankings!AO2:AO651))/STDEV(Rankings!AO2:AO651)*-1</f>
        <v>-0.63119218799591836</v>
      </c>
      <c r="AI441" s="118">
        <f>IFERROR((VLOOKUP($A441,Pitchers!$A1:$S251,17,FALSE)-AVERAGE(Rankings!AP2:AP651))/STDEV(Rankings!AP2:AP651),0)</f>
        <v>1.3604727666938277</v>
      </c>
      <c r="AJ441" s="118">
        <f>(VLOOKUP($A441,Pitchers!$A1:$S251,18,FALSE)-AVERAGE(Rankings!AQ2:AQ651))/STDEV(Rankings!AQ2:AQ651)</f>
        <v>-0.69471541349839372</v>
      </c>
      <c r="AK441" s="118">
        <f>IFERROR((VLOOKUP($A441,Pitchers!$A1:$S251,19,FALSE)-AVERAGE(Rankings!AR2:AR651))/STDEV(Rankings!AR2:AR651)*-1,0)</f>
        <v>0.47686441955275594</v>
      </c>
    </row>
    <row r="442" spans="1:37" ht="18.600000000000001" customHeight="1">
      <c r="A442" s="26" t="s">
        <v>207</v>
      </c>
      <c r="B442" s="27" t="s">
        <v>94</v>
      </c>
      <c r="C442" s="127" t="s">
        <v>31</v>
      </c>
      <c r="D442" s="67">
        <f>(V442*Settings!$G$2)+(Y442*Settings!$G$5)+(Z442*Settings!$G$6)+(AA442*Settings!$G$7)+(AB442*Settings!$G$8)+(AC442*Settings!$G$9)+(AD442*Settings!$G$10)+(AE442*Settings!$G$11)+(AF442*Settings!$G$12)+(AG442*Settings!$G$13)+(AH442*Settings!$G$14)+(AI442*Settings!$G$15)+(AJ442*Settings!$G$16)+(AK442*Settings!$G$17)+(W442*Settings!$G$3)+(X442*Settings!$G$4)</f>
        <v>2.3776485132590657</v>
      </c>
      <c r="E442" s="67"/>
      <c r="F442" s="67"/>
      <c r="G442" s="67"/>
      <c r="H442" s="67"/>
      <c r="I442" s="67"/>
      <c r="J442" s="67"/>
      <c r="K442" s="72"/>
      <c r="L442" s="72"/>
      <c r="M442" s="67"/>
      <c r="N442" s="67"/>
      <c r="O442" s="67"/>
      <c r="P442" s="67"/>
      <c r="Q442" s="67"/>
      <c r="R442" s="72"/>
      <c r="S442" s="72"/>
      <c r="T442" s="67"/>
      <c r="U442" s="67"/>
      <c r="V442" s="118">
        <f>(VLOOKUP($A442,Pitchers!$A1:$S251,4,FALSE)-AVERAGE(Rankings!AC2:AC651))/STDEV(Rankings!AC2:AC651)</f>
        <v>1.335550597427003</v>
      </c>
      <c r="W442" s="118">
        <f>(VLOOKUP($A442,Pitchers!$A1:$S251,5,FALSE)-AVERAGE(Rankings!AD2:AD651))/STDEV(Rankings!AD2:AD651)*-1</f>
        <v>-3.484998113609928E-2</v>
      </c>
      <c r="X442" s="118">
        <f>(VLOOKUP($A442,Pitchers!$A1:$S251,6,FALSE)-AVERAGE(Rankings!AE2:AE651))/STDEV(Rankings!AE2:AE651)*-1</f>
        <v>0.33591493257535859</v>
      </c>
      <c r="Y442" s="118">
        <f>(VLOOKUP($A442,Pitchers!$A1:$S251,7,FALSE)-AVERAGE(Rankings!AF2:AF651))/STDEV(Rankings!AF2:AF651)</f>
        <v>0.93315559561851813</v>
      </c>
      <c r="Z442" s="118">
        <f>(VLOOKUP($A442,Pitchers!$A1:$S251,8,FALSE)-AVERAGE(Rankings!AG2:AG651))/STDEV(Rankings!AG2:AG651)</f>
        <v>1.6261408411984886</v>
      </c>
      <c r="AA442" s="118">
        <f>(VLOOKUP($A442,Pitchers!$A1:$S251,9,FALSE)-AVERAGE(Rankings!AH2:AH651))/STDEV(Rankings!AH2:AH651)</f>
        <v>-0.48271287499720011</v>
      </c>
      <c r="AB442" s="118">
        <f>(VLOOKUP($A442,Pitchers!$A1:$S251,10,FALSE)-AVERAGE(Rankings!AI2:AI651))/STDEV(Rankings!AI2:AI651)*-1</f>
        <v>-1.2399570182319311</v>
      </c>
      <c r="AC442" s="118">
        <f>(VLOOKUP($A442,Pitchers!$A1:$S251,11,FALSE)-AVERAGE(Rankings!AJ2:AJ651))/STDEV(Rankings!AJ2:AJ651)*-1</f>
        <v>-1.3072141364055385</v>
      </c>
      <c r="AD442" s="118">
        <f>(VLOOKUP($A442,Pitchers!$A1:$S251,12,FALSE)-AVERAGE(Rankings!AK2:AK651))/STDEV(Rankings!AK2:AK651)*-1</f>
        <v>-0.86291147952931035</v>
      </c>
      <c r="AE442" s="118">
        <f>IFERROR((VLOOKUP($A442,Pitchers!$A1:$S251,13,FALSE)-AVERAGE(Rankings!AL2:AL651))/STDEV(Rankings!AL2:AL651)*-1,0)</f>
        <v>-1.1959916515277127</v>
      </c>
      <c r="AF442" s="118">
        <f>(VLOOKUP($A442,Pitchers!$A1:$S251,14,FALSE)-AVERAGE(Rankings!AM2:AM651))/STDEV(Rankings!AM2:AM651)</f>
        <v>-0.65467702813012196</v>
      </c>
      <c r="AG442" s="118">
        <f>(VLOOKUP($A442,Pitchers!$A1:$S251,15,FALSE)-AVERAGE(Rankings!AN2:AN651))/STDEV(Rankings!AN2:AN651)</f>
        <v>1.0899247731388917</v>
      </c>
      <c r="AH442" s="118">
        <f>(VLOOKUP($A442,Pitchers!$A1:$S251,16,FALSE)-AVERAGE(Rankings!AO2:AO651))/STDEV(Rankings!AO2:AO651)*-1</f>
        <v>-1.0994374885395057</v>
      </c>
      <c r="AI442" s="118">
        <f>IFERROR((VLOOKUP($A442,Pitchers!$A1:$S251,17,FALSE)-AVERAGE(Rankings!AP2:AP651))/STDEV(Rankings!AP2:AP651),0)</f>
        <v>0.92546252358226566</v>
      </c>
      <c r="AJ442" s="118">
        <f>(VLOOKUP($A442,Pitchers!$A1:$S251,18,FALSE)-AVERAGE(Rankings!AQ2:AQ651))/STDEV(Rankings!AQ2:AQ651)</f>
        <v>-0.69471541349839372</v>
      </c>
      <c r="AK442" s="118">
        <f>IFERROR((VLOOKUP($A442,Pitchers!$A1:$S251,19,FALSE)-AVERAGE(Rankings!AR2:AR651))/STDEV(Rankings!AR2:AR651)*-1,0)</f>
        <v>0.47686441955275594</v>
      </c>
    </row>
    <row r="443" spans="1:37" ht="18.600000000000001" customHeight="1">
      <c r="A443" s="26" t="s">
        <v>219</v>
      </c>
      <c r="B443" s="27" t="s">
        <v>217</v>
      </c>
      <c r="C443" s="127" t="s">
        <v>31</v>
      </c>
      <c r="D443" s="67">
        <f>(V443*Settings!$G$2)+(Y443*Settings!$G$5)+(Z443*Settings!$G$6)+(AA443*Settings!$G$7)+(AB443*Settings!$G$8)+(AC443*Settings!$G$9)+(AD443*Settings!$G$10)+(AE443*Settings!$G$11)+(AF443*Settings!$G$12)+(AG443*Settings!$G$13)+(AH443*Settings!$G$14)+(AI443*Settings!$G$15)+(AJ443*Settings!$G$16)+(AK443*Settings!$G$17)+(W443*Settings!$G$3)+(X443*Settings!$G$4)</f>
        <v>2.8206672239636457</v>
      </c>
      <c r="E443" s="67"/>
      <c r="F443" s="67"/>
      <c r="G443" s="67"/>
      <c r="H443" s="67"/>
      <c r="I443" s="67"/>
      <c r="J443" s="67"/>
      <c r="K443" s="72"/>
      <c r="L443" s="72"/>
      <c r="M443" s="67"/>
      <c r="N443" s="67"/>
      <c r="O443" s="67"/>
      <c r="P443" s="67"/>
      <c r="Q443" s="67"/>
      <c r="R443" s="72"/>
      <c r="S443" s="72"/>
      <c r="T443" s="67"/>
      <c r="U443" s="67"/>
      <c r="V443" s="118">
        <f>(VLOOKUP($A443,Pitchers!$A1:$S251,4,FALSE)-AVERAGE(Rankings!AC2:AC651))/STDEV(Rankings!AC2:AC651)</f>
        <v>1.5555284609487454</v>
      </c>
      <c r="W443" s="118">
        <f>(VLOOKUP($A443,Pitchers!$A1:$S251,5,FALSE)-AVERAGE(Rankings!AD2:AD651))/STDEV(Rankings!AD2:AD651)*-1</f>
        <v>0.5611624820561667</v>
      </c>
      <c r="X443" s="118">
        <f>(VLOOKUP($A443,Pitchers!$A1:$S251,6,FALSE)-AVERAGE(Rankings!AE2:AE651))/STDEV(Rankings!AE2:AE651)*-1</f>
        <v>-0.11139518539175317</v>
      </c>
      <c r="Y443" s="118">
        <f>(VLOOKUP($A443,Pitchers!$A1:$S251,7,FALSE)-AVERAGE(Rankings!AF2:AF651))/STDEV(Rankings!AF2:AF651)</f>
        <v>1.0705620629938297</v>
      </c>
      <c r="Z443" s="118">
        <f>(VLOOKUP($A443,Pitchers!$A1:$S251,8,FALSE)-AVERAGE(Rankings!AG2:AG651))/STDEV(Rankings!AG2:AG651)</f>
        <v>1.7830507393026023</v>
      </c>
      <c r="AA443" s="118">
        <f>(VLOOKUP($A443,Pitchers!$A1:$S251,9,FALSE)-AVERAGE(Rankings!AH2:AH651))/STDEV(Rankings!AH2:AH651)</f>
        <v>-0.48271287499720011</v>
      </c>
      <c r="AB443" s="118">
        <f>(VLOOKUP($A443,Pitchers!$A1:$S251,10,FALSE)-AVERAGE(Rankings!AI2:AI651))/STDEV(Rankings!AI2:AI651)*-1</f>
        <v>-1.1926264057533791</v>
      </c>
      <c r="AC443" s="118">
        <f>(VLOOKUP($A443,Pitchers!$A1:$S251,11,FALSE)-AVERAGE(Rankings!AJ2:AJ651))/STDEV(Rankings!AJ2:AJ651)*-1</f>
        <v>-1.6804611772353575</v>
      </c>
      <c r="AD443" s="118">
        <f>(VLOOKUP($A443,Pitchers!$A1:$S251,12,FALSE)-AVERAGE(Rankings!AK2:AK651))/STDEV(Rankings!AK2:AK651)*-1</f>
        <v>-1.0665211871215661</v>
      </c>
      <c r="AE443" s="118">
        <f>IFERROR((VLOOKUP($A443,Pitchers!$A1:$S251,13,FALSE)-AVERAGE(Rankings!AL2:AL651))/STDEV(Rankings!AL2:AL651)*-1,0)</f>
        <v>-3.6938754051164709E-2</v>
      </c>
      <c r="AF443" s="118">
        <f>(VLOOKUP($A443,Pitchers!$A1:$S251,14,FALSE)-AVERAGE(Rankings!AM2:AM651))/STDEV(Rankings!AM2:AM651)</f>
        <v>-0.52857018487402707</v>
      </c>
      <c r="AG443" s="118">
        <f>(VLOOKUP($A443,Pitchers!$A1:$S251,15,FALSE)-AVERAGE(Rankings!AN2:AN651))/STDEV(Rankings!AN2:AN651)</f>
        <v>1.2411772980354041</v>
      </c>
      <c r="AH443" s="118">
        <f>(VLOOKUP($A443,Pitchers!$A1:$S251,16,FALSE)-AVERAGE(Rankings!AO2:AO651))/STDEV(Rankings!AO2:AO651)*-1</f>
        <v>-1.1801165715913391</v>
      </c>
      <c r="AI443" s="118">
        <f>IFERROR((VLOOKUP($A443,Pitchers!$A1:$S251,17,FALSE)-AVERAGE(Rankings!AP2:AP651))/STDEV(Rankings!AP2:AP651),0)</f>
        <v>1.333284626499355</v>
      </c>
      <c r="AJ443" s="118">
        <f>(VLOOKUP($A443,Pitchers!$A1:$S251,18,FALSE)-AVERAGE(Rankings!AQ2:AQ651))/STDEV(Rankings!AQ2:AQ651)</f>
        <v>-0.69471541349839372</v>
      </c>
      <c r="AK443" s="118">
        <f>IFERROR((VLOOKUP($A443,Pitchers!$A1:$S251,19,FALSE)-AVERAGE(Rankings!AR2:AR651))/STDEV(Rankings!AR2:AR651)*-1,0)</f>
        <v>0.47686441955275594</v>
      </c>
    </row>
    <row r="444" spans="1:37" ht="18.600000000000001" customHeight="1">
      <c r="A444" s="26" t="s">
        <v>277</v>
      </c>
      <c r="B444" s="27" t="s">
        <v>114</v>
      </c>
      <c r="C444" s="127" t="s">
        <v>31</v>
      </c>
      <c r="D444" s="67">
        <f>(V444*Settings!$G$2)+(Y444*Settings!$G$5)+(Z444*Settings!$G$6)+(AA444*Settings!$G$7)+(AB444*Settings!$G$8)+(AC444*Settings!$G$9)+(AD444*Settings!$G$10)+(AE444*Settings!$G$11)+(AF444*Settings!$G$12)+(AG444*Settings!$G$13)+(AH444*Settings!$G$14)+(AI444*Settings!$G$15)+(AJ444*Settings!$G$16)+(AK444*Settings!$G$17)+(W444*Settings!$G$3)+(X444*Settings!$G$4)</f>
        <v>2.4072043712329414</v>
      </c>
      <c r="E444" s="67"/>
      <c r="F444" s="67"/>
      <c r="G444" s="67"/>
      <c r="H444" s="67"/>
      <c r="I444" s="67"/>
      <c r="J444" s="67"/>
      <c r="K444" s="72"/>
      <c r="L444" s="72"/>
      <c r="M444" s="67"/>
      <c r="N444" s="67"/>
      <c r="O444" s="67"/>
      <c r="P444" s="67"/>
      <c r="Q444" s="67"/>
      <c r="R444" s="72"/>
      <c r="S444" s="72"/>
      <c r="T444" s="67"/>
      <c r="U444" s="67"/>
      <c r="V444" s="118">
        <f>(VLOOKUP($A444,Pitchers!$A1:$S251,4,FALSE)-AVERAGE(Rankings!AC2:AC651))/STDEV(Rankings!AC2:AC651)</f>
        <v>1.3149341153724816</v>
      </c>
      <c r="W444" s="118">
        <f>(VLOOKUP($A444,Pitchers!$A1:$S251,5,FALSE)-AVERAGE(Rankings!AD2:AD651))/STDEV(Rankings!AD2:AD651)*-1</f>
        <v>-0.21011820007322718</v>
      </c>
      <c r="X444" s="118">
        <f>(VLOOKUP($A444,Pitchers!$A1:$S251,6,FALSE)-AVERAGE(Rankings!AE2:AE651))/STDEV(Rankings!AE2:AE651)*-1</f>
        <v>0.2919759397923013</v>
      </c>
      <c r="Y444" s="118">
        <f>(VLOOKUP($A444,Pitchers!$A1:$S251,7,FALSE)-AVERAGE(Rankings!AF2:AF651))/STDEV(Rankings!AF2:AF651)</f>
        <v>1.6044178581584929</v>
      </c>
      <c r="Z444" s="118">
        <f>(VLOOKUP($A444,Pitchers!$A1:$S251,8,FALSE)-AVERAGE(Rankings!AG2:AG651))/STDEV(Rankings!AG2:AG651)</f>
        <v>1.2036416483525747</v>
      </c>
      <c r="AA444" s="118">
        <f>(VLOOKUP($A444,Pitchers!$A1:$S251,9,FALSE)-AVERAGE(Rankings!AH2:AH651))/STDEV(Rankings!AH2:AH651)</f>
        <v>-0.48271287499720011</v>
      </c>
      <c r="AB444" s="118">
        <f>(VLOOKUP($A444,Pitchers!$A1:$S251,10,FALSE)-AVERAGE(Rankings!AI2:AI651))/STDEV(Rankings!AI2:AI651)*-1</f>
        <v>-1.2906236508939881</v>
      </c>
      <c r="AC444" s="118">
        <f>(VLOOKUP($A444,Pitchers!$A1:$S251,11,FALSE)-AVERAGE(Rankings!AJ2:AJ651))/STDEV(Rankings!AJ2:AJ651)*-1</f>
        <v>-1.1141593912909049</v>
      </c>
      <c r="AD444" s="118">
        <f>(VLOOKUP($A444,Pitchers!$A1:$S251,12,FALSE)-AVERAGE(Rankings!AK2:AK651))/STDEV(Rankings!AK2:AK651)*-1</f>
        <v>-1.4717760161656659</v>
      </c>
      <c r="AE444" s="118">
        <f>IFERROR((VLOOKUP($A444,Pitchers!$A1:$S251,13,FALSE)-AVERAGE(Rankings!AL2:AL651))/STDEV(Rankings!AL2:AL651)*-1,0)</f>
        <v>-1.3939965215132895</v>
      </c>
      <c r="AF444" s="118">
        <f>(VLOOKUP($A444,Pitchers!$A1:$S251,14,FALSE)-AVERAGE(Rankings!AM2:AM651))/STDEV(Rankings!AM2:AM651)</f>
        <v>-0.6334230657835892</v>
      </c>
      <c r="AG444" s="118">
        <f>(VLOOKUP($A444,Pitchers!$A1:$S251,15,FALSE)-AVERAGE(Rankings!AN2:AN651))/STDEV(Rankings!AN2:AN651)</f>
        <v>1.0916435518308971</v>
      </c>
      <c r="AH444" s="118">
        <f>(VLOOKUP($A444,Pitchers!$A1:$S251,16,FALSE)-AVERAGE(Rankings!AO2:AO651))/STDEV(Rankings!AO2:AO651)*-1</f>
        <v>-1.2130780972087154</v>
      </c>
      <c r="AI444" s="118">
        <f>IFERROR((VLOOKUP($A444,Pitchers!$A1:$S251,17,FALSE)-AVERAGE(Rankings!AP2:AP651))/STDEV(Rankings!AP2:AP651),0)</f>
        <v>0.92546252358226566</v>
      </c>
      <c r="AJ444" s="118">
        <f>(VLOOKUP($A444,Pitchers!$A1:$S251,18,FALSE)-AVERAGE(Rankings!AQ2:AQ651))/STDEV(Rankings!AQ2:AQ651)</f>
        <v>-0.69471541349839372</v>
      </c>
      <c r="AK444" s="118">
        <f>IFERROR((VLOOKUP($A444,Pitchers!$A1:$S251,19,FALSE)-AVERAGE(Rankings!AR2:AR651))/STDEV(Rankings!AR2:AR651)*-1,0)</f>
        <v>0.47686441955275594</v>
      </c>
    </row>
    <row r="445" spans="1:37" ht="18.600000000000001" customHeight="1">
      <c r="A445" s="26" t="s">
        <v>236</v>
      </c>
      <c r="B445" s="27" t="s">
        <v>73</v>
      </c>
      <c r="C445" s="127" t="s">
        <v>31</v>
      </c>
      <c r="D445" s="67">
        <f>(V445*Settings!$G$2)+(Y445*Settings!$G$5)+(Z445*Settings!$G$6)+(AA445*Settings!$G$7)+(AB445*Settings!$G$8)+(AC445*Settings!$G$9)+(AD445*Settings!$G$10)+(AE445*Settings!$G$11)+(AF445*Settings!$G$12)+(AG445*Settings!$G$13)+(AH445*Settings!$G$14)+(AI445*Settings!$G$15)+(AJ445*Settings!$G$16)+(AK445*Settings!$G$17)+(W445*Settings!$G$3)+(X445*Settings!$G$4)</f>
        <v>1.2721588381220803</v>
      </c>
      <c r="E445" s="67"/>
      <c r="F445" s="67"/>
      <c r="G445" s="67"/>
      <c r="H445" s="67"/>
      <c r="I445" s="67"/>
      <c r="J445" s="67"/>
      <c r="K445" s="72"/>
      <c r="L445" s="72"/>
      <c r="M445" s="67"/>
      <c r="N445" s="67"/>
      <c r="O445" s="67"/>
      <c r="P445" s="67"/>
      <c r="Q445" s="67"/>
      <c r="R445" s="72"/>
      <c r="S445" s="72"/>
      <c r="T445" s="67"/>
      <c r="U445" s="67"/>
      <c r="V445" s="118">
        <f>(VLOOKUP($A445,Pitchers!$A1:$S251,4,FALSE)-AVERAGE(Rankings!AC2:AC651))/STDEV(Rankings!AC2:AC651)</f>
        <v>1.2001690319356457</v>
      </c>
      <c r="W445" s="118">
        <f>(VLOOKUP($A445,Pitchers!$A1:$S251,5,FALSE)-AVERAGE(Rankings!AD2:AD651))/STDEV(Rankings!AD2:AD651)*-1</f>
        <v>-0.33127339864702843</v>
      </c>
      <c r="X445" s="118">
        <f>(VLOOKUP($A445,Pitchers!$A1:$S251,6,FALSE)-AVERAGE(Rankings!AE2:AE651))/STDEV(Rankings!AE2:AE651)*-1</f>
        <v>-0.72397172929254638</v>
      </c>
      <c r="Y445" s="118">
        <f>(VLOOKUP($A445,Pitchers!$A1:$S251,7,FALSE)-AVERAGE(Rankings!AF2:AF651))/STDEV(Rankings!AF2:AF651)</f>
        <v>1.0354260553437669</v>
      </c>
      <c r="Z445" s="118">
        <f>(VLOOKUP($A445,Pitchers!$A1:$S251,8,FALSE)-AVERAGE(Rankings!AG2:AG651))/STDEV(Rankings!AG2:AG651)</f>
        <v>1.7746907857150884</v>
      </c>
      <c r="AA445" s="118">
        <f>(VLOOKUP($A445,Pitchers!$A1:$S251,9,FALSE)-AVERAGE(Rankings!AH2:AH651))/STDEV(Rankings!AH2:AH651)</f>
        <v>-0.48271287499720011</v>
      </c>
      <c r="AB445" s="118">
        <f>(VLOOKUP($A445,Pitchers!$A1:$S251,10,FALSE)-AVERAGE(Rankings!AI2:AI651))/STDEV(Rankings!AI2:AI651)*-1</f>
        <v>-1.227641908063505</v>
      </c>
      <c r="AC445" s="118">
        <f>(VLOOKUP($A445,Pitchers!$A1:$S251,11,FALSE)-AVERAGE(Rankings!AJ2:AJ651))/STDEV(Rankings!AJ2:AJ651)*-1</f>
        <v>-1.3191561536461254</v>
      </c>
      <c r="AD445" s="118">
        <f>(VLOOKUP($A445,Pitchers!$A1:$S251,12,FALSE)-AVERAGE(Rankings!AK2:AK651))/STDEV(Rankings!AK2:AK651)*-1</f>
        <v>-1.4466293135683979</v>
      </c>
      <c r="AE445" s="118">
        <f>IFERROR((VLOOKUP($A445,Pitchers!$A1:$S251,13,FALSE)-AVERAGE(Rankings!AL2:AL651))/STDEV(Rankings!AL2:AL651)*-1,0)</f>
        <v>-0.78549375033810165</v>
      </c>
      <c r="AF445" s="118">
        <f>(VLOOKUP($A445,Pitchers!$A1:$S251,14,FALSE)-AVERAGE(Rankings!AM2:AM651))/STDEV(Rankings!AM2:AM651)</f>
        <v>-0.67734792129975741</v>
      </c>
      <c r="AG445" s="118">
        <f>(VLOOKUP($A445,Pitchers!$A1:$S251,15,FALSE)-AVERAGE(Rankings!AN2:AN651))/STDEV(Rankings!AN2:AN651)</f>
        <v>1.0366426336867107</v>
      </c>
      <c r="AH445" s="118">
        <f>(VLOOKUP($A445,Pitchers!$A1:$S251,16,FALSE)-AVERAGE(Rankings!AO2:AO651))/STDEV(Rankings!AO2:AO651)*-1</f>
        <v>-0.98388051210184346</v>
      </c>
      <c r="AI445" s="118">
        <f>IFERROR((VLOOKUP($A445,Pitchers!$A1:$S251,17,FALSE)-AVERAGE(Rankings!AP2:AP651))/STDEV(Rankings!AP2:AP651),0)</f>
        <v>1.197343925526992</v>
      </c>
      <c r="AJ445" s="118">
        <f>(VLOOKUP($A445,Pitchers!$A1:$S251,18,FALSE)-AVERAGE(Rankings!AQ2:AQ651))/STDEV(Rankings!AQ2:AQ651)</f>
        <v>-0.69471541349839372</v>
      </c>
      <c r="AK445" s="118">
        <f>IFERROR((VLOOKUP($A445,Pitchers!$A1:$S251,19,FALSE)-AVERAGE(Rankings!AR2:AR651))/STDEV(Rankings!AR2:AR651)*-1,0)</f>
        <v>0.47686441955275594</v>
      </c>
    </row>
    <row r="446" spans="1:37" ht="18.600000000000001" customHeight="1">
      <c r="A446" s="26" t="s">
        <v>244</v>
      </c>
      <c r="B446" s="27" t="s">
        <v>156</v>
      </c>
      <c r="C446" s="127" t="s">
        <v>31</v>
      </c>
      <c r="D446" s="67">
        <f>(V446*Settings!$G$2)+(Y446*Settings!$G$5)+(Z446*Settings!$G$6)+(AA446*Settings!$G$7)+(AB446*Settings!$G$8)+(AC446*Settings!$G$9)+(AD446*Settings!$G$10)+(AE446*Settings!$G$11)+(AF446*Settings!$G$12)+(AG446*Settings!$G$13)+(AH446*Settings!$G$14)+(AI446*Settings!$G$15)+(AJ446*Settings!$G$16)+(AK446*Settings!$G$17)+(W446*Settings!$G$3)+(X446*Settings!$G$4)</f>
        <v>2.1720839431190662</v>
      </c>
      <c r="E446" s="67"/>
      <c r="F446" s="67"/>
      <c r="G446" s="67"/>
      <c r="H446" s="67"/>
      <c r="I446" s="67"/>
      <c r="J446" s="67"/>
      <c r="K446" s="72"/>
      <c r="L446" s="72"/>
      <c r="M446" s="67"/>
      <c r="N446" s="67"/>
      <c r="O446" s="67"/>
      <c r="P446" s="67"/>
      <c r="Q446" s="67"/>
      <c r="R446" s="72"/>
      <c r="S446" s="72"/>
      <c r="T446" s="67"/>
      <c r="U446" s="67"/>
      <c r="V446" s="118">
        <f>(VLOOKUP($A446,Pitchers!$A1:$S251,4,FALSE)-AVERAGE(Rankings!AC2:AC651))/STDEV(Rankings!AC2:AC651)</f>
        <v>1.1089067380409636</v>
      </c>
      <c r="W446" s="118">
        <f>(VLOOKUP($A446,Pitchers!$A1:$S251,5,FALSE)-AVERAGE(Rankings!AD2:AD651))/STDEV(Rankings!AD2:AD651)*-1</f>
        <v>0.23427170714830028</v>
      </c>
      <c r="X446" s="118">
        <f>(VLOOKUP($A446,Pitchers!$A1:$S251,6,FALSE)-AVERAGE(Rankings!AE2:AE651))/STDEV(Rankings!AE2:AE651)*-1</f>
        <v>0.39456150815534546</v>
      </c>
      <c r="Y446" s="118">
        <f>(VLOOKUP($A446,Pitchers!$A1:$S251,7,FALSE)-AVERAGE(Rankings!AF2:AF651))/STDEV(Rankings!AF2:AF651)</f>
        <v>1.0911266159662738</v>
      </c>
      <c r="Z446" s="118">
        <f>(VLOOKUP($A446,Pitchers!$A1:$S251,8,FALSE)-AVERAGE(Rankings!AG2:AG651))/STDEV(Rankings!AG2:AG651)</f>
        <v>0.93483698684634675</v>
      </c>
      <c r="AA446" s="118">
        <f>(VLOOKUP($A446,Pitchers!$A1:$S251,9,FALSE)-AVERAGE(Rankings!AH2:AH651))/STDEV(Rankings!AH2:AH651)</f>
        <v>-0.48271287499720011</v>
      </c>
      <c r="AB446" s="118">
        <f>(VLOOKUP($A446,Pitchers!$A1:$S251,10,FALSE)-AVERAGE(Rankings!AI2:AI651))/STDEV(Rankings!AI2:AI651)*-1</f>
        <v>-0.92588205493305964</v>
      </c>
      <c r="AC446" s="118">
        <f>(VLOOKUP($A446,Pitchers!$A1:$S251,11,FALSE)-AVERAGE(Rankings!AJ2:AJ651))/STDEV(Rankings!AJ2:AJ651)*-1</f>
        <v>-1.0415868556885215</v>
      </c>
      <c r="AD446" s="118">
        <f>(VLOOKUP($A446,Pitchers!$A1:$S251,12,FALSE)-AVERAGE(Rankings!AK2:AK651))/STDEV(Rankings!AK2:AK651)*-1</f>
        <v>-0.75682382794708525</v>
      </c>
      <c r="AE446" s="118">
        <f>IFERROR((VLOOKUP($A446,Pitchers!$A1:$S251,13,FALSE)-AVERAGE(Rankings!AL2:AL651))/STDEV(Rankings!AL2:AL651)*-1,0)</f>
        <v>-0.86759333057602428</v>
      </c>
      <c r="AF446" s="118">
        <f>(VLOOKUP($A446,Pitchers!$A1:$S251,14,FALSE)-AVERAGE(Rankings!AM2:AM651))/STDEV(Rankings!AM2:AM651)</f>
        <v>-0.71036240947803819</v>
      </c>
      <c r="AG446" s="118">
        <f>(VLOOKUP($A446,Pitchers!$A1:$S251,15,FALSE)-AVERAGE(Rankings!AN2:AN651))/STDEV(Rankings!AN2:AN651)</f>
        <v>1.0223767705430626</v>
      </c>
      <c r="AH446" s="118">
        <f>(VLOOKUP($A446,Pitchers!$A1:$S251,16,FALSE)-AVERAGE(Rankings!AO2:AO651))/STDEV(Rankings!AO2:AO651)*-1</f>
        <v>-0.99307907739041379</v>
      </c>
      <c r="AI446" s="118">
        <f>IFERROR((VLOOKUP($A446,Pitchers!$A1:$S251,17,FALSE)-AVERAGE(Rankings!AP2:AP651))/STDEV(Rankings!AP2:AP651),0)</f>
        <v>1.0614032245546288</v>
      </c>
      <c r="AJ446" s="118">
        <f>(VLOOKUP($A446,Pitchers!$A1:$S251,18,FALSE)-AVERAGE(Rankings!AQ2:AQ651))/STDEV(Rankings!AQ2:AQ651)</f>
        <v>-0.69471541349839372</v>
      </c>
      <c r="AK446" s="118">
        <f>IFERROR((VLOOKUP($A446,Pitchers!$A1:$S251,19,FALSE)-AVERAGE(Rankings!AR2:AR651))/STDEV(Rankings!AR2:AR651)*-1,0)</f>
        <v>0.47686441955275594</v>
      </c>
    </row>
    <row r="447" spans="1:37" ht="18.600000000000001" customHeight="1">
      <c r="A447" s="26" t="s">
        <v>232</v>
      </c>
      <c r="B447" s="27" t="s">
        <v>123</v>
      </c>
      <c r="C447" s="127" t="s">
        <v>31</v>
      </c>
      <c r="D447" s="67">
        <f>(V447*Settings!$G$2)+(Y447*Settings!$G$5)+(Z447*Settings!$G$6)+(AA447*Settings!$G$7)+(AB447*Settings!$G$8)+(AC447*Settings!$G$9)+(AD447*Settings!$G$10)+(AE447*Settings!$G$11)+(AF447*Settings!$G$12)+(AG447*Settings!$G$13)+(AH447*Settings!$G$14)+(AI447*Settings!$G$15)+(AJ447*Settings!$G$16)+(AK447*Settings!$G$17)+(W447*Settings!$G$3)+(X447*Settings!$G$4)</f>
        <v>2.0175908834114318</v>
      </c>
      <c r="E447" s="67"/>
      <c r="F447" s="67"/>
      <c r="G447" s="67"/>
      <c r="H447" s="67"/>
      <c r="I447" s="67"/>
      <c r="J447" s="67"/>
      <c r="K447" s="72"/>
      <c r="L447" s="72"/>
      <c r="M447" s="67"/>
      <c r="N447" s="67"/>
      <c r="O447" s="67"/>
      <c r="P447" s="67"/>
      <c r="Q447" s="67"/>
      <c r="R447" s="72"/>
      <c r="S447" s="72"/>
      <c r="T447" s="67"/>
      <c r="U447" s="67"/>
      <c r="V447" s="118">
        <f>(VLOOKUP($A447,Pitchers!$A1:$S251,4,FALSE)-AVERAGE(Rankings!AC2:AC651))/STDEV(Rankings!AC2:AC651)</f>
        <v>1.2025399273719157</v>
      </c>
      <c r="W447" s="118">
        <f>(VLOOKUP($A447,Pitchers!$A1:$S251,5,FALSE)-AVERAGE(Rankings!AD2:AD651))/STDEV(Rankings!AD2:AD651)*-1</f>
        <v>0.30562407949600667</v>
      </c>
      <c r="X447" s="118">
        <f>(VLOOKUP($A447,Pitchers!$A1:$S251,6,FALSE)-AVERAGE(Rankings!AE2:AE651))/STDEV(Rankings!AE2:AE651)*-1</f>
        <v>0.23244030582252723</v>
      </c>
      <c r="Y447" s="118">
        <f>(VLOOKUP($A447,Pitchers!$A1:$S251,7,FALSE)-AVERAGE(Rankings!AF2:AF651))/STDEV(Rankings!AF2:AF651)</f>
        <v>0.84251879728910861</v>
      </c>
      <c r="Z447" s="118">
        <f>(VLOOKUP($A447,Pitchers!$A1:$S251,8,FALSE)-AVERAGE(Rankings!AG2:AG651))/STDEV(Rankings!AG2:AG651)</f>
        <v>1.1197205758009894</v>
      </c>
      <c r="AA447" s="118">
        <f>(VLOOKUP($A447,Pitchers!$A1:$S251,9,FALSE)-AVERAGE(Rankings!AH2:AH651))/STDEV(Rankings!AH2:AH651)</f>
        <v>-0.48271287499720011</v>
      </c>
      <c r="AB447" s="118">
        <f>(VLOOKUP($A447,Pitchers!$A1:$S251,10,FALSE)-AVERAGE(Rankings!AI2:AI651))/STDEV(Rankings!AI2:AI651)*-1</f>
        <v>-0.98334985766749128</v>
      </c>
      <c r="AC447" s="118">
        <f>(VLOOKUP($A447,Pitchers!$A1:$S251,11,FALSE)-AVERAGE(Rankings!AJ2:AJ651))/STDEV(Rankings!AJ2:AJ651)*-1</f>
        <v>-1.2603901004266347</v>
      </c>
      <c r="AD447" s="118">
        <f>(VLOOKUP($A447,Pitchers!$A1:$S251,12,FALSE)-AVERAGE(Rankings!AK2:AK651))/STDEV(Rankings!AK2:AK651)*-1</f>
        <v>-0.58975542256648472</v>
      </c>
      <c r="AE447" s="118">
        <f>IFERROR((VLOOKUP($A447,Pitchers!$A1:$S251,13,FALSE)-AVERAGE(Rankings!AL2:AL651))/STDEV(Rankings!AL2:AL651)*-1,0)</f>
        <v>-0.86276394350320507</v>
      </c>
      <c r="AF447" s="118">
        <f>(VLOOKUP($A447,Pitchers!$A1:$S251,14,FALSE)-AVERAGE(Rankings!AM2:AM651))/STDEV(Rankings!AM2:AM651)</f>
        <v>-0.59091514109052334</v>
      </c>
      <c r="AG447" s="118">
        <f>(VLOOKUP($A447,Pitchers!$A1:$S251,15,FALSE)-AVERAGE(Rankings!AN2:AN651))/STDEV(Rankings!AN2:AN651)</f>
        <v>1.1672698142791538</v>
      </c>
      <c r="AH447" s="118">
        <f>(VLOOKUP($A447,Pitchers!$A1:$S251,16,FALSE)-AVERAGE(Rankings!AO2:AO651))/STDEV(Rankings!AO2:AO651)*-1</f>
        <v>-0.64468341708582133</v>
      </c>
      <c r="AI447" s="118">
        <f>IFERROR((VLOOKUP($A447,Pitchers!$A1:$S251,17,FALSE)-AVERAGE(Rankings!AP2:AP651))/STDEV(Rankings!AP2:AP651),0)</f>
        <v>1.0614032245546288</v>
      </c>
      <c r="AJ447" s="118">
        <f>(VLOOKUP($A447,Pitchers!$A1:$S251,18,FALSE)-AVERAGE(Rankings!AQ2:AQ651))/STDEV(Rankings!AQ2:AQ651)</f>
        <v>-0.69471541349839372</v>
      </c>
      <c r="AK447" s="118">
        <f>IFERROR((VLOOKUP($A447,Pitchers!$A1:$S251,19,FALSE)-AVERAGE(Rankings!AR2:AR651))/STDEV(Rankings!AR2:AR651)*-1,0)</f>
        <v>0.47686441955275594</v>
      </c>
    </row>
    <row r="448" spans="1:37" ht="18.600000000000001" customHeight="1">
      <c r="A448" s="26" t="s">
        <v>238</v>
      </c>
      <c r="B448" s="27" t="s">
        <v>103</v>
      </c>
      <c r="C448" s="127" t="s">
        <v>31</v>
      </c>
      <c r="D448" s="67">
        <f>(V448*Settings!$G$2)+(Y448*Settings!$G$5)+(Z448*Settings!$G$6)+(AA448*Settings!$G$7)+(AB448*Settings!$G$8)+(AC448*Settings!$G$9)+(AD448*Settings!$G$10)+(AE448*Settings!$G$11)+(AF448*Settings!$G$12)+(AG448*Settings!$G$13)+(AH448*Settings!$G$14)+(AI448*Settings!$G$15)+(AJ448*Settings!$G$16)+(AK448*Settings!$G$17)+(W448*Settings!$G$3)+(X448*Settings!$G$4)</f>
        <v>1.7942301783036667</v>
      </c>
      <c r="E448" s="67"/>
      <c r="F448" s="67"/>
      <c r="G448" s="67"/>
      <c r="H448" s="67"/>
      <c r="I448" s="67"/>
      <c r="J448" s="67"/>
      <c r="K448" s="72"/>
      <c r="L448" s="72"/>
      <c r="M448" s="67"/>
      <c r="N448" s="67"/>
      <c r="O448" s="67"/>
      <c r="P448" s="67"/>
      <c r="Q448" s="67"/>
      <c r="R448" s="72"/>
      <c r="S448" s="72"/>
      <c r="T448" s="67"/>
      <c r="U448" s="67"/>
      <c r="V448" s="118">
        <f>(VLOOKUP($A448,Pitchers!$A1:$S251,4,FALSE)-AVERAGE(Rankings!AC2:AC651))/STDEV(Rankings!AC2:AC651)</f>
        <v>0.3429815225132139</v>
      </c>
      <c r="W448" s="118">
        <f>(VLOOKUP($A448,Pitchers!$A1:$S251,5,FALSE)-AVERAGE(Rankings!AD2:AD651))/STDEV(Rankings!AD2:AD651)*-1</f>
        <v>0.36361366733969613</v>
      </c>
      <c r="X448" s="118">
        <f>(VLOOKUP($A448,Pitchers!$A1:$S251,6,FALSE)-AVERAGE(Rankings!AE2:AE651))/STDEV(Rankings!AE2:AE651)*-1</f>
        <v>0.59218403758306337</v>
      </c>
      <c r="Y448" s="118">
        <f>(VLOOKUP($A448,Pitchers!$A1:$S251,7,FALSE)-AVERAGE(Rankings!AF2:AF651))/STDEV(Rankings!AF2:AF651)</f>
        <v>0.76507856638144589</v>
      </c>
      <c r="Z448" s="118">
        <f>(VLOOKUP($A448,Pitchers!$A1:$S251,8,FALSE)-AVERAGE(Rankings!AG2:AG651))/STDEV(Rankings!AG2:AG651)</f>
        <v>0.55606678199666149</v>
      </c>
      <c r="AA448" s="118">
        <f>(VLOOKUP($A448,Pitchers!$A1:$S251,9,FALSE)-AVERAGE(Rankings!AH2:AH651))/STDEV(Rankings!AH2:AH651)</f>
        <v>-0.48271287499720011</v>
      </c>
      <c r="AB448" s="118">
        <f>(VLOOKUP($A448,Pitchers!$A1:$S251,10,FALSE)-AVERAGE(Rankings!AI2:AI651))/STDEV(Rankings!AI2:AI651)*-1</f>
        <v>-0.19185187055139294</v>
      </c>
      <c r="AC448" s="118">
        <f>(VLOOKUP($A448,Pitchers!$A1:$S251,11,FALSE)-AVERAGE(Rankings!AJ2:AJ651))/STDEV(Rankings!AJ2:AJ651)*-1</f>
        <v>-0.27109073542477663</v>
      </c>
      <c r="AD448" s="118">
        <f>(VLOOKUP($A448,Pitchers!$A1:$S251,12,FALSE)-AVERAGE(Rankings!AK2:AK651))/STDEV(Rankings!AK2:AK651)*-1</f>
        <v>-3.6920882654667336E-2</v>
      </c>
      <c r="AE448" s="118">
        <f>IFERROR((VLOOKUP($A448,Pitchers!$A1:$S251,13,FALSE)-AVERAGE(Rankings!AL2:AL651))/STDEV(Rankings!AL2:AL651)*-1,0)</f>
        <v>-0.18182036623573317</v>
      </c>
      <c r="AF448" s="118">
        <f>(VLOOKUP($A448,Pitchers!$A1:$S251,14,FALSE)-AVERAGE(Rankings!AM2:AM651))/STDEV(Rankings!AM2:AM651)</f>
        <v>-0.97384069603389101</v>
      </c>
      <c r="AG448" s="118">
        <f>(VLOOKUP($A448,Pitchers!$A1:$S251,15,FALSE)-AVERAGE(Rankings!AN2:AN651))/STDEV(Rankings!AN2:AN651)</f>
        <v>0.6898790325745352</v>
      </c>
      <c r="AH448" s="118">
        <f>(VLOOKUP($A448,Pitchers!$A1:$S251,16,FALSE)-AVERAGE(Rankings!AO2:AO651))/STDEV(Rankings!AO2:AO651)*-1</f>
        <v>-0.46914412949560808</v>
      </c>
      <c r="AI448" s="118">
        <f>IFERROR((VLOOKUP($A448,Pitchers!$A1:$S251,17,FALSE)-AVERAGE(Rankings!AP2:AP651))/STDEV(Rankings!AP2:AP651),0)</f>
        <v>0.78952182260990256</v>
      </c>
      <c r="AJ448" s="118">
        <f>(VLOOKUP($A448,Pitchers!$A1:$S251,18,FALSE)-AVERAGE(Rankings!AQ2:AQ651))/STDEV(Rankings!AQ2:AQ651)</f>
        <v>-0.69471541349839372</v>
      </c>
      <c r="AK448" s="118">
        <f>IFERROR((VLOOKUP($A448,Pitchers!$A1:$S251,19,FALSE)-AVERAGE(Rankings!AR2:AR651))/STDEV(Rankings!AR2:AR651)*-1,0)</f>
        <v>0.47686441955275594</v>
      </c>
    </row>
    <row r="449" spans="1:37" ht="18.600000000000001" customHeight="1">
      <c r="A449" s="26" t="s">
        <v>268</v>
      </c>
      <c r="B449" s="27" t="s">
        <v>117</v>
      </c>
      <c r="C449" s="127" t="s">
        <v>31</v>
      </c>
      <c r="D449" s="67">
        <f>(V449*Settings!$G$2)+(Y449*Settings!$G$5)+(Z449*Settings!$G$6)+(AA449*Settings!$G$7)+(AB449*Settings!$G$8)+(AC449*Settings!$G$9)+(AD449*Settings!$G$10)+(AE449*Settings!$G$11)+(AF449*Settings!$G$12)+(AG449*Settings!$G$13)+(AH449*Settings!$G$14)+(AI449*Settings!$G$15)+(AJ449*Settings!$G$16)+(AK449*Settings!$G$17)+(W449*Settings!$G$3)+(X449*Settings!$G$4)</f>
        <v>1.0693973196899433</v>
      </c>
      <c r="E449" s="67"/>
      <c r="F449" s="67"/>
      <c r="G449" s="67"/>
      <c r="H449" s="67"/>
      <c r="I449" s="67"/>
      <c r="J449" s="67"/>
      <c r="K449" s="72"/>
      <c r="L449" s="72"/>
      <c r="M449" s="67"/>
      <c r="N449" s="67"/>
      <c r="O449" s="67"/>
      <c r="P449" s="67"/>
      <c r="Q449" s="67"/>
      <c r="R449" s="72"/>
      <c r="S449" s="72"/>
      <c r="T449" s="67"/>
      <c r="U449" s="67"/>
      <c r="V449" s="118">
        <f>(VLOOKUP($A449,Pitchers!$A1:$S251,4,FALSE)-AVERAGE(Rankings!AC2:AC651))/STDEV(Rankings!AC2:AC651)</f>
        <v>1.3318625378594708</v>
      </c>
      <c r="W449" s="118">
        <f>(VLOOKUP($A449,Pitchers!$A1:$S251,5,FALSE)-AVERAGE(Rankings!AD2:AD651))/STDEV(Rankings!AD2:AD651)*-1</f>
        <v>-0.13257170733939402</v>
      </c>
      <c r="X449" s="118">
        <f>(VLOOKUP($A449,Pitchers!$A1:$S251,6,FALSE)-AVERAGE(Rankings!AE2:AE651))/STDEV(Rankings!AE2:AE651)*-1</f>
        <v>-0.31467308158939711</v>
      </c>
      <c r="Y449" s="118">
        <f>(VLOOKUP($A449,Pitchers!$A1:$S251,7,FALSE)-AVERAGE(Rankings!AF2:AF651))/STDEV(Rankings!AF2:AF651)</f>
        <v>1.0794694522241801</v>
      </c>
      <c r="Z449" s="118">
        <f>(VLOOKUP($A449,Pitchers!$A1:$S251,8,FALSE)-AVERAGE(Rankings!AG2:AG651))/STDEV(Rankings!AG2:AG651)</f>
        <v>0.91988553139175411</v>
      </c>
      <c r="AA449" s="118">
        <f>(VLOOKUP($A449,Pitchers!$A1:$S251,9,FALSE)-AVERAGE(Rankings!AH2:AH651))/STDEV(Rankings!AH2:AH651)</f>
        <v>-0.48271287499720011</v>
      </c>
      <c r="AB449" s="118">
        <f>(VLOOKUP($A449,Pitchers!$A1:$S251,10,FALSE)-AVERAGE(Rankings!AI2:AI651))/STDEV(Rankings!AI2:AI651)*-1</f>
        <v>-1.2757106950782435</v>
      </c>
      <c r="AC449" s="118">
        <f>(VLOOKUP($A449,Pitchers!$A1:$S251,11,FALSE)-AVERAGE(Rankings!AJ2:AJ651))/STDEV(Rankings!AJ2:AJ651)*-1</f>
        <v>-1.4505419441171725</v>
      </c>
      <c r="AD449" s="118">
        <f>(VLOOKUP($A449,Pitchers!$A1:$S251,12,FALSE)-AVERAGE(Rankings!AK2:AK651))/STDEV(Rankings!AK2:AK651)*-1</f>
        <v>-1.1200365135863775</v>
      </c>
      <c r="AE449" s="118">
        <f>IFERROR((VLOOKUP($A449,Pitchers!$A1:$S251,13,FALSE)-AVERAGE(Rankings!AL2:AL651))/STDEV(Rankings!AL2:AL651)*-1,0)</f>
        <v>-0.78549375033810165</v>
      </c>
      <c r="AF449" s="118">
        <f>(VLOOKUP($A449,Pitchers!$A1:$S251,14,FALSE)-AVERAGE(Rankings!AM2:AM651))/STDEV(Rankings!AM2:AM651)</f>
        <v>-0.64943438408464416</v>
      </c>
      <c r="AG449" s="118">
        <f>(VLOOKUP($A449,Pitchers!$A1:$S251,15,FALSE)-AVERAGE(Rankings!AN2:AN651))/STDEV(Rankings!AN2:AN651)</f>
        <v>1.0962842542993128</v>
      </c>
      <c r="AH449" s="118">
        <f>(VLOOKUP($A449,Pitchers!$A1:$S251,16,FALSE)-AVERAGE(Rankings!AO2:AO651))/STDEV(Rankings!AO2:AO651)*-1</f>
        <v>-1.3236525174484015</v>
      </c>
      <c r="AI449" s="118">
        <f>IFERROR((VLOOKUP($A449,Pitchers!$A1:$S251,17,FALSE)-AVERAGE(Rankings!AP2:AP651))/STDEV(Rankings!AP2:AP651),0)</f>
        <v>1.197343925526992</v>
      </c>
      <c r="AJ449" s="118">
        <f>(VLOOKUP($A449,Pitchers!$A1:$S251,18,FALSE)-AVERAGE(Rankings!AQ2:AQ651))/STDEV(Rankings!AQ2:AQ651)</f>
        <v>-0.69471541349839372</v>
      </c>
      <c r="AK449" s="118">
        <f>IFERROR((VLOOKUP($A449,Pitchers!$A1:$S251,19,FALSE)-AVERAGE(Rankings!AR2:AR651))/STDEV(Rankings!AR2:AR651)*-1,0)</f>
        <v>0.47686441955275594</v>
      </c>
    </row>
    <row r="450" spans="1:37" ht="18.600000000000001" customHeight="1">
      <c r="A450" s="26" t="s">
        <v>254</v>
      </c>
      <c r="B450" s="27" t="s">
        <v>217</v>
      </c>
      <c r="C450" s="127" t="s">
        <v>31</v>
      </c>
      <c r="D450" s="67">
        <f>(V450*Settings!$G$2)+(Y450*Settings!$G$5)+(Z450*Settings!$G$6)+(AA450*Settings!$G$7)+(AB450*Settings!$G$8)+(AC450*Settings!$G$9)+(AD450*Settings!$G$10)+(AE450*Settings!$G$11)+(AF450*Settings!$G$12)+(AG450*Settings!$G$13)+(AH450*Settings!$G$14)+(AI450*Settings!$G$15)+(AJ450*Settings!$G$16)+(AK450*Settings!$G$17)+(W450*Settings!$G$3)+(X450*Settings!$G$4)</f>
        <v>1.1871301002647856</v>
      </c>
      <c r="E450" s="67"/>
      <c r="F450" s="67"/>
      <c r="G450" s="67"/>
      <c r="H450" s="67"/>
      <c r="I450" s="67"/>
      <c r="J450" s="67"/>
      <c r="K450" s="72"/>
      <c r="L450" s="72"/>
      <c r="M450" s="67"/>
      <c r="N450" s="67"/>
      <c r="O450" s="67"/>
      <c r="P450" s="67"/>
      <c r="Q450" s="67"/>
      <c r="R450" s="72"/>
      <c r="S450" s="72"/>
      <c r="T450" s="67"/>
      <c r="U450" s="67"/>
      <c r="V450" s="118">
        <f>(VLOOKUP($A450,Pitchers!$A1:$S251,4,FALSE)-AVERAGE(Rankings!AC2:AC651))/STDEV(Rankings!AC2:AC651)</f>
        <v>0.88597384542474078</v>
      </c>
      <c r="W450" s="118">
        <f>(VLOOKUP($A450,Pitchers!$A1:$S251,5,FALSE)-AVERAGE(Rankings!AD2:AD651))/STDEV(Rankings!AD2:AD651)*-1</f>
        <v>0.48311309753323545</v>
      </c>
      <c r="X450" s="118">
        <f>(VLOOKUP($A450,Pitchers!$A1:$S251,6,FALSE)-AVERAGE(Rankings!AE2:AE651))/STDEV(Rankings!AE2:AE651)*-1</f>
        <v>-0.42132626293787429</v>
      </c>
      <c r="Y450" s="118">
        <f>(VLOOKUP($A450,Pitchers!$A1:$S251,7,FALSE)-AVERAGE(Rankings!AF2:AF651))/STDEV(Rankings!AF2:AF651)</f>
        <v>0.77804011034064902</v>
      </c>
      <c r="Z450" s="118">
        <f>(VLOOKUP($A450,Pitchers!$A1:$S251,8,FALSE)-AVERAGE(Rankings!AG2:AG651))/STDEV(Rankings!AG2:AG651)</f>
        <v>0.83001603032597548</v>
      </c>
      <c r="AA450" s="118">
        <f>(VLOOKUP($A450,Pitchers!$A1:$S251,9,FALSE)-AVERAGE(Rankings!AH2:AH651))/STDEV(Rankings!AH2:AH651)</f>
        <v>-0.48271287499720011</v>
      </c>
      <c r="AB450" s="118">
        <f>(VLOOKUP($A450,Pitchers!$A1:$S251,10,FALSE)-AVERAGE(Rankings!AI2:AI651))/STDEV(Rankings!AI2:AI651)*-1</f>
        <v>-0.63552323634014285</v>
      </c>
      <c r="AC450" s="118">
        <f>(VLOOKUP($A450,Pitchers!$A1:$S251,11,FALSE)-AVERAGE(Rankings!AJ2:AJ651))/STDEV(Rankings!AJ2:AJ651)*-1</f>
        <v>-1.008097285600787</v>
      </c>
      <c r="AD450" s="118">
        <f>(VLOOKUP($A450,Pitchers!$A1:$S251,12,FALSE)-AVERAGE(Rankings!AK2:AK651))/STDEV(Rankings!AK2:AK651)*-1</f>
        <v>-0.78652837039010837</v>
      </c>
      <c r="AE450" s="118">
        <f>IFERROR((VLOOKUP($A450,Pitchers!$A1:$S251,13,FALSE)-AVERAGE(Rankings!AL2:AL651))/STDEV(Rankings!AL2:AL651)*-1,0)</f>
        <v>0.27697140568206685</v>
      </c>
      <c r="AF450" s="118">
        <f>(VLOOKUP($A450,Pitchers!$A1:$S251,14,FALSE)-AVERAGE(Rankings!AM2:AM651))/STDEV(Rankings!AM2:AM651)</f>
        <v>-0.76378070150899102</v>
      </c>
      <c r="AG450" s="118">
        <f>(VLOOKUP($A450,Pitchers!$A1:$S251,15,FALSE)-AVERAGE(Rankings!AN2:AN651))/STDEV(Rankings!AN2:AN651)</f>
        <v>0.95757881385444266</v>
      </c>
      <c r="AH450" s="118">
        <f>(VLOOKUP($A450,Pitchers!$A1:$S251,16,FALSE)-AVERAGE(Rankings!AO2:AO651))/STDEV(Rankings!AO2:AO651)*-1</f>
        <v>-0.69604207328033774</v>
      </c>
      <c r="AI450" s="118">
        <f>IFERROR((VLOOKUP($A450,Pitchers!$A1:$S251,17,FALSE)-AVERAGE(Rankings!AP2:AP651))/STDEV(Rankings!AP2:AP651),0)</f>
        <v>1.0614032245546288</v>
      </c>
      <c r="AJ450" s="118">
        <f>(VLOOKUP($A450,Pitchers!$A1:$S251,18,FALSE)-AVERAGE(Rankings!AQ2:AQ651))/STDEV(Rankings!AQ2:AQ651)</f>
        <v>-0.69471541349839372</v>
      </c>
      <c r="AK450" s="118">
        <f>IFERROR((VLOOKUP($A450,Pitchers!$A1:$S251,19,FALSE)-AVERAGE(Rankings!AR2:AR651))/STDEV(Rankings!AR2:AR651)*-1,0)</f>
        <v>0.47686441955275594</v>
      </c>
    </row>
    <row r="451" spans="1:37" ht="18.600000000000001" customHeight="1">
      <c r="A451" s="26" t="s">
        <v>273</v>
      </c>
      <c r="B451" s="27" t="s">
        <v>86</v>
      </c>
      <c r="C451" s="127" t="s">
        <v>31</v>
      </c>
      <c r="D451" s="67">
        <f>(V451*Settings!$G$2)+(Y451*Settings!$G$5)+(Z451*Settings!$G$6)+(AA451*Settings!$G$7)+(AB451*Settings!$G$8)+(AC451*Settings!$G$9)+(AD451*Settings!$G$10)+(AE451*Settings!$G$11)+(AF451*Settings!$G$12)+(AG451*Settings!$G$13)+(AH451*Settings!$G$14)+(AI451*Settings!$G$15)+(AJ451*Settings!$G$16)+(AK451*Settings!$G$17)+(W451*Settings!$G$3)+(X451*Settings!$G$4)</f>
        <v>1.4133971671178882</v>
      </c>
      <c r="E451" s="67"/>
      <c r="F451" s="67"/>
      <c r="G451" s="67"/>
      <c r="H451" s="67"/>
      <c r="I451" s="67"/>
      <c r="J451" s="67"/>
      <c r="K451" s="72"/>
      <c r="L451" s="72"/>
      <c r="M451" s="67"/>
      <c r="N451" s="67"/>
      <c r="O451" s="67"/>
      <c r="P451" s="67"/>
      <c r="Q451" s="67"/>
      <c r="R451" s="72"/>
      <c r="S451" s="72"/>
      <c r="T451" s="67"/>
      <c r="U451" s="67"/>
      <c r="V451" s="118">
        <f>(VLOOKUP($A451,Pitchers!$A1:$S251,4,FALSE)-AVERAGE(Rankings!AC2:AC651))/STDEV(Rankings!AC2:AC651)</f>
        <v>0.39972266256771394</v>
      </c>
      <c r="W451" s="118">
        <f>(VLOOKUP($A451,Pitchers!$A1:$S251,5,FALSE)-AVERAGE(Rankings!AD2:AD651))/STDEV(Rankings!AD2:AD651)*-1</f>
        <v>-0.14476085576204822</v>
      </c>
      <c r="X451" s="118">
        <f>(VLOOKUP($A451,Pitchers!$A1:$S251,6,FALSE)-AVERAGE(Rankings!AE2:AE651))/STDEV(Rankings!AE2:AE651)*-1</f>
        <v>0.82564964277791675</v>
      </c>
      <c r="Y451" s="118">
        <f>(VLOOKUP($A451,Pitchers!$A1:$S251,7,FALSE)-AVERAGE(Rankings!AF2:AF651))/STDEV(Rankings!AF2:AF651)</f>
        <v>0.94146367501938588</v>
      </c>
      <c r="Z451" s="118">
        <f>(VLOOKUP($A451,Pitchers!$A1:$S251,8,FALSE)-AVERAGE(Rankings!AG2:AG651))/STDEV(Rankings!AG2:AG651)</f>
        <v>0.27375758007983375</v>
      </c>
      <c r="AA451" s="118">
        <f>(VLOOKUP($A451,Pitchers!$A1:$S251,9,FALSE)-AVERAGE(Rankings!AH2:AH651))/STDEV(Rankings!AH2:AH651)</f>
        <v>-0.48271287499720011</v>
      </c>
      <c r="AB451" s="118">
        <f>(VLOOKUP($A451,Pitchers!$A1:$S251,10,FALSE)-AVERAGE(Rankings!AI2:AI651))/STDEV(Rankings!AI2:AI651)*-1</f>
        <v>-0.3949515449357297</v>
      </c>
      <c r="AC451" s="118">
        <f>(VLOOKUP($A451,Pitchers!$A1:$S251,11,FALSE)-AVERAGE(Rankings!AJ2:AJ651))/STDEV(Rankings!AJ2:AJ651)*-1</f>
        <v>-0.27548048879779846</v>
      </c>
      <c r="AD451" s="118">
        <f>(VLOOKUP($A451,Pitchers!$A1:$S251,12,FALSE)-AVERAGE(Rankings!AK2:AK651))/STDEV(Rankings!AK2:AK651)*-1</f>
        <v>-4.9022733279602534E-2</v>
      </c>
      <c r="AE451" s="118">
        <f>IFERROR((VLOOKUP($A451,Pitchers!$A1:$S251,13,FALSE)-AVERAGE(Rankings!AL2:AL651))/STDEV(Rankings!AL2:AL651)*-1,0)</f>
        <v>-0.85551986289397652</v>
      </c>
      <c r="AF451" s="118">
        <f>(VLOOKUP($A451,Pitchers!$A1:$S251,14,FALSE)-AVERAGE(Rankings!AM2:AM651))/STDEV(Rankings!AM2:AM651)</f>
        <v>-0.91330232661684985</v>
      </c>
      <c r="AG451" s="118">
        <f>(VLOOKUP($A451,Pitchers!$A1:$S251,15,FALSE)-AVERAGE(Rankings!AN2:AN651))/STDEV(Rankings!AN2:AN651)</f>
        <v>0.77620469238052792</v>
      </c>
      <c r="AH451" s="118">
        <f>(VLOOKUP($A451,Pitchers!$A1:$S251,16,FALSE)-AVERAGE(Rankings!AO2:AO651))/STDEV(Rankings!AO2:AO651)*-1</f>
        <v>-0.64698305840796322</v>
      </c>
      <c r="AI451" s="118">
        <f>IFERROR((VLOOKUP($A451,Pitchers!$A1:$S251,17,FALSE)-AVERAGE(Rankings!AP2:AP651))/STDEV(Rankings!AP2:AP651),0)</f>
        <v>0.65358112163753934</v>
      </c>
      <c r="AJ451" s="118">
        <f>(VLOOKUP($A451,Pitchers!$A1:$S251,18,FALSE)-AVERAGE(Rankings!AQ2:AQ651))/STDEV(Rankings!AQ2:AQ651)</f>
        <v>-0.69471541349839372</v>
      </c>
      <c r="AK451" s="118">
        <f>IFERROR((VLOOKUP($A451,Pitchers!$A1:$S251,19,FALSE)-AVERAGE(Rankings!AR2:AR651))/STDEV(Rankings!AR2:AR651)*-1,0)</f>
        <v>0.47686441955275594</v>
      </c>
    </row>
    <row r="452" spans="1:37" ht="18.600000000000001" customHeight="1">
      <c r="A452" s="26" t="s">
        <v>298</v>
      </c>
      <c r="B452" s="27" t="s">
        <v>86</v>
      </c>
      <c r="C452" s="127" t="s">
        <v>31</v>
      </c>
      <c r="D452" s="67">
        <f>(V452*Settings!$G$2)+(Y452*Settings!$G$5)+(Z452*Settings!$G$6)+(AA452*Settings!$G$7)+(AB452*Settings!$G$8)+(AC452*Settings!$G$9)+(AD452*Settings!$G$10)+(AE452*Settings!$G$11)+(AF452*Settings!$G$12)+(AG452*Settings!$G$13)+(AH452*Settings!$G$14)+(AI452*Settings!$G$15)+(AJ452*Settings!$G$16)+(AK452*Settings!$G$17)+(W452*Settings!$G$3)+(X452*Settings!$G$4)</f>
        <v>0.7226501806249519</v>
      </c>
      <c r="E452" s="67"/>
      <c r="F452" s="67"/>
      <c r="G452" s="67"/>
      <c r="H452" s="67"/>
      <c r="I452" s="67"/>
      <c r="J452" s="67"/>
      <c r="K452" s="72"/>
      <c r="L452" s="72"/>
      <c r="M452" s="67"/>
      <c r="N452" s="67"/>
      <c r="O452" s="67"/>
      <c r="P452" s="67"/>
      <c r="Q452" s="67"/>
      <c r="R452" s="72"/>
      <c r="S452" s="72"/>
      <c r="T452" s="67"/>
      <c r="U452" s="67"/>
      <c r="V452" s="118">
        <f>(VLOOKUP($A452,Pitchers!$A1:$S251,4,FALSE)-AVERAGE(Rankings!AC2:AC651))/STDEV(Rankings!AC2:AC651)</f>
        <v>0.98330654792436412</v>
      </c>
      <c r="W452" s="118">
        <f>(VLOOKUP($A452,Pitchers!$A1:$S251,5,FALSE)-AVERAGE(Rankings!AD2:AD651))/STDEV(Rankings!AD2:AD651)*-1</f>
        <v>-0.45856322671576083</v>
      </c>
      <c r="X452" s="118">
        <f>(VLOOKUP($A452,Pitchers!$A1:$S251,6,FALSE)-AVERAGE(Rankings!AE2:AE651))/STDEV(Rankings!AE2:AE651)*-1</f>
        <v>-0.17213381518242982</v>
      </c>
      <c r="Y452" s="118">
        <f>(VLOOKUP($A452,Pitchers!$A1:$S251,7,FALSE)-AVERAGE(Rankings!AF2:AF651))/STDEV(Rankings!AF2:AF651)</f>
        <v>1.0099025073116816</v>
      </c>
      <c r="Z452" s="118">
        <f>(VLOOKUP($A452,Pitchers!$A1:$S251,8,FALSE)-AVERAGE(Rankings!AG2:AG651))/STDEV(Rankings!AG2:AG651)</f>
        <v>0.8261575902086612</v>
      </c>
      <c r="AA452" s="118">
        <f>(VLOOKUP($A452,Pitchers!$A1:$S251,9,FALSE)-AVERAGE(Rankings!AH2:AH651))/STDEV(Rankings!AH2:AH651)</f>
        <v>-0.48271287499720011</v>
      </c>
      <c r="AB452" s="118">
        <f>(VLOOKUP($A452,Pitchers!$A1:$S251,10,FALSE)-AVERAGE(Rankings!AI2:AI651))/STDEV(Rankings!AI2:AI651)*-1</f>
        <v>-1.0634265433036008</v>
      </c>
      <c r="AC452" s="118">
        <f>(VLOOKUP($A452,Pitchers!$A1:$S251,11,FALSE)-AVERAGE(Rankings!AJ2:AJ651))/STDEV(Rankings!AJ2:AJ651)*-1</f>
        <v>-0.93278705434641129</v>
      </c>
      <c r="AD452" s="118">
        <f>(VLOOKUP($A452,Pitchers!$A1:$S251,12,FALSE)-AVERAGE(Rankings!AK2:AK651))/STDEV(Rankings!AK2:AK651)*-1</f>
        <v>-1.1986199592028408</v>
      </c>
      <c r="AE452" s="118">
        <f>IFERROR((VLOOKUP($A452,Pitchers!$A1:$S251,13,FALSE)-AVERAGE(Rankings!AL2:AL651))/STDEV(Rankings!AL2:AL651)*-1,0)</f>
        <v>-0.9496929108139458</v>
      </c>
      <c r="AF452" s="118">
        <f>(VLOOKUP($A452,Pitchers!$A1:$S251,14,FALSE)-AVERAGE(Rankings!AM2:AM651))/STDEV(Rankings!AM2:AM651)</f>
        <v>-0.67168019800734868</v>
      </c>
      <c r="AG452" s="118">
        <f>(VLOOKUP($A452,Pitchers!$A1:$S251,15,FALSE)-AVERAGE(Rankings!AN2:AN651))/STDEV(Rankings!AN2:AN651)</f>
        <v>1.0692994288348212</v>
      </c>
      <c r="AH452" s="118">
        <f>(VLOOKUP($A452,Pitchers!$A1:$S251,16,FALSE)-AVERAGE(Rankings!AO2:AO651))/STDEV(Rankings!AO2:AO651)*-1</f>
        <v>-1.0758661649875443</v>
      </c>
      <c r="AI452" s="118">
        <f>IFERROR((VLOOKUP($A452,Pitchers!$A1:$S251,17,FALSE)-AVERAGE(Rankings!AP2:AP651))/STDEV(Rankings!AP2:AP651),0)</f>
        <v>0.92546252358226566</v>
      </c>
      <c r="AJ452" s="118">
        <f>(VLOOKUP($A452,Pitchers!$A1:$S251,18,FALSE)-AVERAGE(Rankings!AQ2:AQ651))/STDEV(Rankings!AQ2:AQ651)</f>
        <v>-0.69471541349839372</v>
      </c>
      <c r="AK452" s="118">
        <f>IFERROR((VLOOKUP($A452,Pitchers!$A1:$S251,19,FALSE)-AVERAGE(Rankings!AR2:AR651))/STDEV(Rankings!AR2:AR651)*-1,0)</f>
        <v>0.47686441955275594</v>
      </c>
    </row>
    <row r="453" spans="1:37" ht="18.600000000000001" customHeight="1">
      <c r="A453" s="26" t="s">
        <v>230</v>
      </c>
      <c r="B453" s="27" t="s">
        <v>81</v>
      </c>
      <c r="C453" s="127" t="s">
        <v>31</v>
      </c>
      <c r="D453" s="67">
        <f>(V453*Settings!$G$2)+(Y453*Settings!$G$5)+(Z453*Settings!$G$6)+(AA453*Settings!$G$7)+(AB453*Settings!$G$8)+(AC453*Settings!$G$9)+(AD453*Settings!$G$10)+(AE453*Settings!$G$11)+(AF453*Settings!$G$12)+(AG453*Settings!$G$13)+(AH453*Settings!$G$14)+(AI453*Settings!$G$15)+(AJ453*Settings!$G$16)+(AK453*Settings!$G$17)+(W453*Settings!$G$3)+(X453*Settings!$G$4)</f>
        <v>1.0302112353223676</v>
      </c>
      <c r="E453" s="67"/>
      <c r="F453" s="67"/>
      <c r="G453" s="67"/>
      <c r="H453" s="67"/>
      <c r="I453" s="67"/>
      <c r="J453" s="67"/>
      <c r="K453" s="72"/>
      <c r="L453" s="72"/>
      <c r="M453" s="67"/>
      <c r="N453" s="67"/>
      <c r="O453" s="67"/>
      <c r="P453" s="67"/>
      <c r="Q453" s="67"/>
      <c r="R453" s="72"/>
      <c r="S453" s="72"/>
      <c r="T453" s="67"/>
      <c r="U453" s="67"/>
      <c r="V453" s="118">
        <f>(VLOOKUP($A453,Pitchers!$A1:$S251,4,FALSE)-AVERAGE(Rankings!AC2:AC651))/STDEV(Rankings!AC2:AC651)</f>
        <v>0.5412204510685783</v>
      </c>
      <c r="W453" s="118">
        <f>(VLOOKUP($A453,Pitchers!$A1:$S251,5,FALSE)-AVERAGE(Rankings!AD2:AD651))/STDEV(Rankings!AD2:AD651)*-1</f>
        <v>-0.12368669981553382</v>
      </c>
      <c r="X453" s="118">
        <f>(VLOOKUP($A453,Pitchers!$A1:$S251,6,FALSE)-AVERAGE(Rankings!AE2:AE651))/STDEV(Rankings!AE2:AE651)*-1</f>
        <v>0.11620359578086943</v>
      </c>
      <c r="Y453" s="118">
        <f>(VLOOKUP($A453,Pitchers!$A1:$S251,7,FALSE)-AVERAGE(Rankings!AF2:AF651))/STDEV(Rankings!AF2:AF651)</f>
        <v>0.40422354199411409</v>
      </c>
      <c r="Z453" s="118">
        <f>(VLOOKUP($A453,Pitchers!$A1:$S251,8,FALSE)-AVERAGE(Rankings!AG2:AG651))/STDEV(Rankings!AG2:AG651)</f>
        <v>1.116183672360118</v>
      </c>
      <c r="AA453" s="118">
        <f>(VLOOKUP($A453,Pitchers!$A1:$S251,9,FALSE)-AVERAGE(Rankings!AH2:AH651))/STDEV(Rankings!AH2:AH651)</f>
        <v>-0.48271287499720011</v>
      </c>
      <c r="AB453" s="118">
        <f>(VLOOKUP($A453,Pitchers!$A1:$S251,10,FALSE)-AVERAGE(Rankings!AI2:AI651))/STDEV(Rankings!AI2:AI651)*-1</f>
        <v>-0.52275233278249034</v>
      </c>
      <c r="AC453" s="118">
        <f>(VLOOKUP($A453,Pitchers!$A1:$S251,11,FALSE)-AVERAGE(Rankings!AJ2:AJ651))/STDEV(Rankings!AJ2:AJ651)*-1</f>
        <v>-0.42477930512972661</v>
      </c>
      <c r="AD453" s="118">
        <f>(VLOOKUP($A453,Pitchers!$A1:$S251,12,FALSE)-AVERAGE(Rankings!AK2:AK651))/STDEV(Rankings!AK2:AK651)*-1</f>
        <v>-0.75069431918900165</v>
      </c>
      <c r="AE453" s="118">
        <f>IFERROR((VLOOKUP($A453,Pitchers!$A1:$S251,13,FALSE)-AVERAGE(Rankings!AL2:AL651))/STDEV(Rankings!AL2:AL651)*-1,0)</f>
        <v>-0.6695884605904473</v>
      </c>
      <c r="AF453" s="118">
        <f>(VLOOKUP($A453,Pitchers!$A1:$S251,14,FALSE)-AVERAGE(Rankings!AM2:AM651))/STDEV(Rankings!AM2:AM651)</f>
        <v>-0.86976712707703485</v>
      </c>
      <c r="AG453" s="118">
        <f>(VLOOKUP($A453,Pitchers!$A1:$S251,15,FALSE)-AVERAGE(Rankings!AN2:AN651))/STDEV(Rankings!AN2:AN651)</f>
        <v>0.8290141676924071</v>
      </c>
      <c r="AH453" s="118">
        <f>(VLOOKUP($A453,Pitchers!$A1:$S251,16,FALSE)-AVERAGE(Rankings!AO2:AO651))/STDEV(Rankings!AO2:AO651)*-1</f>
        <v>-0.17708968158350735</v>
      </c>
      <c r="AI453" s="118">
        <f>IFERROR((VLOOKUP($A453,Pitchers!$A1:$S251,17,FALSE)-AVERAGE(Rankings!AP2:AP651))/STDEV(Rankings!AP2:AP651),0)</f>
        <v>0.51764042066517624</v>
      </c>
      <c r="AJ453" s="118">
        <f>(VLOOKUP($A453,Pitchers!$A1:$S251,18,FALSE)-AVERAGE(Rankings!AQ2:AQ651))/STDEV(Rankings!AQ2:AQ651)</f>
        <v>-0.69471541349839372</v>
      </c>
      <c r="AK453" s="118">
        <f>IFERROR((VLOOKUP($A453,Pitchers!$A1:$S251,19,FALSE)-AVERAGE(Rankings!AR2:AR651))/STDEV(Rankings!AR2:AR651)*-1,0)</f>
        <v>0.47686441955275594</v>
      </c>
    </row>
    <row r="454" spans="1:37" ht="18.600000000000001" customHeight="1">
      <c r="A454" s="26" t="s">
        <v>282</v>
      </c>
      <c r="B454" s="27" t="s">
        <v>120</v>
      </c>
      <c r="C454" s="127" t="s">
        <v>31</v>
      </c>
      <c r="D454" s="67">
        <f>(V454*Settings!$G$2)+(Y454*Settings!$G$5)+(Z454*Settings!$G$6)+(AA454*Settings!$G$7)+(AB454*Settings!$G$8)+(AC454*Settings!$G$9)+(AD454*Settings!$G$10)+(AE454*Settings!$G$11)+(AF454*Settings!$G$12)+(AG454*Settings!$G$13)+(AH454*Settings!$G$14)+(AI454*Settings!$G$15)+(AJ454*Settings!$G$16)+(AK454*Settings!$G$17)+(W454*Settings!$G$3)+(X454*Settings!$G$4)</f>
        <v>0.1078188130274621</v>
      </c>
      <c r="E454" s="67"/>
      <c r="F454" s="67"/>
      <c r="G454" s="67"/>
      <c r="H454" s="67"/>
      <c r="I454" s="67"/>
      <c r="J454" s="67"/>
      <c r="K454" s="72"/>
      <c r="L454" s="72"/>
      <c r="M454" s="67"/>
      <c r="N454" s="67"/>
      <c r="O454" s="67"/>
      <c r="P454" s="67"/>
      <c r="Q454" s="67"/>
      <c r="R454" s="72"/>
      <c r="S454" s="72"/>
      <c r="T454" s="67"/>
      <c r="U454" s="67"/>
      <c r="V454" s="118">
        <f>(VLOOKUP($A454,Pitchers!$A1:$S251,4,FALSE)-AVERAGE(Rankings!AC2:AC651))/STDEV(Rankings!AC2:AC651)</f>
        <v>1.4677480618010503</v>
      </c>
      <c r="W454" s="118">
        <f>(VLOOKUP($A454,Pitchers!$A1:$S251,5,FALSE)-AVERAGE(Rankings!AD2:AD651))/STDEV(Rankings!AD2:AD651)*-1</f>
        <v>-0.79143060033387103</v>
      </c>
      <c r="X454" s="118">
        <f>(VLOOKUP($A454,Pitchers!$A1:$S251,6,FALSE)-AVERAGE(Rankings!AE2:AE651))/STDEV(Rankings!AE2:AE651)*-1</f>
        <v>-0.59833392156130571</v>
      </c>
      <c r="Y454" s="118">
        <f>(VLOOKUP($A454,Pitchers!$A1:$S251,7,FALSE)-AVERAGE(Rankings!AF2:AF651))/STDEV(Rankings!AF2:AF651)</f>
        <v>0.92841987284829219</v>
      </c>
      <c r="Z454" s="118">
        <f>(VLOOKUP($A454,Pitchers!$A1:$S251,8,FALSE)-AVERAGE(Rankings!AG2:AG651))/STDEV(Rankings!AG2:AG651)</f>
        <v>1.0518763370715467</v>
      </c>
      <c r="AA454" s="118">
        <f>(VLOOKUP($A454,Pitchers!$A1:$S251,9,FALSE)-AVERAGE(Rankings!AH2:AH651))/STDEV(Rankings!AH2:AH651)</f>
        <v>-0.48271287499720011</v>
      </c>
      <c r="AB454" s="118">
        <f>(VLOOKUP($A454,Pitchers!$A1:$S251,10,FALSE)-AVERAGE(Rankings!AI2:AI651))/STDEV(Rankings!AI2:AI651)*-1</f>
        <v>-1.6787855116847992</v>
      </c>
      <c r="AC454" s="118">
        <f>(VLOOKUP($A454,Pitchers!$A1:$S251,11,FALSE)-AVERAGE(Rankings!AJ2:AJ651))/STDEV(Rankings!AJ2:AJ651)*-1</f>
        <v>-1.6639878016742315</v>
      </c>
      <c r="AD454" s="118">
        <f>(VLOOKUP($A454,Pitchers!$A1:$S251,12,FALSE)-AVERAGE(Rankings!AK2:AK651))/STDEV(Rankings!AK2:AK651)*-1</f>
        <v>-1.3316617326315128</v>
      </c>
      <c r="AE454" s="118">
        <f>IFERROR((VLOOKUP($A454,Pitchers!$A1:$S251,13,FALSE)-AVERAGE(Rankings!AL2:AL651))/STDEV(Rankings!AL2:AL651)*-1,0)</f>
        <v>-1.5437075207706767</v>
      </c>
      <c r="AF454" s="118">
        <f>(VLOOKUP($A454,Pitchers!$A1:$S251,14,FALSE)-AVERAGE(Rankings!AM2:AM651))/STDEV(Rankings!AM2:AM651)</f>
        <v>-0.5923320719136258</v>
      </c>
      <c r="AG454" s="118">
        <f>(VLOOKUP($A454,Pitchers!$A1:$S251,15,FALSE)-AVERAGE(Rankings!AN2:AN651))/STDEV(Rankings!AN2:AN651)</f>
        <v>1.1655510355871477</v>
      </c>
      <c r="AH454" s="118">
        <f>(VLOOKUP($A454,Pitchers!$A1:$S251,16,FALSE)-AVERAGE(Rankings!AO2:AO651))/STDEV(Rankings!AO2:AO651)*-1</f>
        <v>-1.522379855036885</v>
      </c>
      <c r="AI454" s="118">
        <f>IFERROR((VLOOKUP($A454,Pitchers!$A1:$S251,17,FALSE)-AVERAGE(Rankings!AP2:AP651))/STDEV(Rankings!AP2:AP651),0)</f>
        <v>1.197343925526992</v>
      </c>
      <c r="AJ454" s="118">
        <f>(VLOOKUP($A454,Pitchers!$A1:$S251,18,FALSE)-AVERAGE(Rankings!AQ2:AQ651))/STDEV(Rankings!AQ2:AQ651)</f>
        <v>-0.69471541349839372</v>
      </c>
      <c r="AK454" s="118">
        <f>IFERROR((VLOOKUP($A454,Pitchers!$A1:$S251,19,FALSE)-AVERAGE(Rankings!AR2:AR651))/STDEV(Rankings!AR2:AR651)*-1,0)</f>
        <v>0.47686441955275594</v>
      </c>
    </row>
    <row r="455" spans="1:37" ht="18.600000000000001" customHeight="1">
      <c r="A455" s="26" t="s">
        <v>252</v>
      </c>
      <c r="B455" s="27" t="s">
        <v>97</v>
      </c>
      <c r="C455" s="127" t="s">
        <v>31</v>
      </c>
      <c r="D455" s="67">
        <f>(V455*Settings!$G$2)+(Y455*Settings!$G$5)+(Z455*Settings!$G$6)+(AA455*Settings!$G$7)+(AB455*Settings!$G$8)+(AC455*Settings!$G$9)+(AD455*Settings!$G$10)+(AE455*Settings!$G$11)+(AF455*Settings!$G$12)+(AG455*Settings!$G$13)+(AH455*Settings!$G$14)+(AI455*Settings!$G$15)+(AJ455*Settings!$G$16)+(AK455*Settings!$G$17)+(W455*Settings!$G$3)+(X455*Settings!$G$4)</f>
        <v>1.5241535622961777</v>
      </c>
      <c r="E455" s="67"/>
      <c r="F455" s="67"/>
      <c r="G455" s="67"/>
      <c r="H455" s="67"/>
      <c r="I455" s="67"/>
      <c r="J455" s="67"/>
      <c r="K455" s="72"/>
      <c r="L455" s="72"/>
      <c r="M455" s="67"/>
      <c r="N455" s="67"/>
      <c r="O455" s="67"/>
      <c r="P455" s="67"/>
      <c r="Q455" s="67"/>
      <c r="R455" s="72"/>
      <c r="S455" s="72"/>
      <c r="T455" s="67"/>
      <c r="U455" s="67"/>
      <c r="V455" s="118">
        <f>(VLOOKUP($A455,Pitchers!$A1:$S251,4,FALSE)-AVERAGE(Rankings!AC2:AC651))/STDEV(Rankings!AC2:AC651)</f>
        <v>0.34641760285563394</v>
      </c>
      <c r="W455" s="118">
        <f>(VLOOKUP($A455,Pitchers!$A1:$S251,5,FALSE)-AVERAGE(Rankings!AD2:AD651))/STDEV(Rankings!AD2:AD651)*-1</f>
        <v>0.18306616501527564</v>
      </c>
      <c r="X455" s="118">
        <f>(VLOOKUP($A455,Pitchers!$A1:$S251,6,FALSE)-AVERAGE(Rankings!AE2:AE651))/STDEV(Rankings!AE2:AE651)*-1</f>
        <v>0.59296187521932797</v>
      </c>
      <c r="Y455" s="118">
        <f>(VLOOKUP($A455,Pitchers!$A1:$S251,7,FALSE)-AVERAGE(Rankings!AF2:AF651))/STDEV(Rankings!AF2:AF651)</f>
        <v>0.67027010159191258</v>
      </c>
      <c r="Z455" s="118">
        <f>(VLOOKUP($A455,Pitchers!$A1:$S251,8,FALSE)-AVERAGE(Rankings!AG2:AG651))/STDEV(Rankings!AG2:AG651)</f>
        <v>0.56056829546686171</v>
      </c>
      <c r="AA455" s="118">
        <f>(VLOOKUP($A455,Pitchers!$A1:$S251,9,FALSE)-AVERAGE(Rankings!AH2:AH651))/STDEV(Rankings!AH2:AH651)</f>
        <v>-0.48271287499720011</v>
      </c>
      <c r="AB455" s="118">
        <f>(VLOOKUP($A455,Pitchers!$A1:$S251,10,FALSE)-AVERAGE(Rankings!AI2:AI651))/STDEV(Rankings!AI2:AI651)*-1</f>
        <v>-0.24797753776548717</v>
      </c>
      <c r="AC455" s="118">
        <f>(VLOOKUP($A455,Pitchers!$A1:$S251,11,FALSE)-AVERAGE(Rankings!AJ2:AJ651))/STDEV(Rankings!AJ2:AJ651)*-1</f>
        <v>-3.4917283791263118E-2</v>
      </c>
      <c r="AD455" s="118">
        <f>(VLOOKUP($A455,Pitchers!$A1:$S251,12,FALSE)-AVERAGE(Rankings!AK2:AK651))/STDEV(Rankings!AK2:AK651)*-1</f>
        <v>-0.83642885835656244</v>
      </c>
      <c r="AE455" s="118">
        <f>IFERROR((VLOOKUP($A455,Pitchers!$A1:$S251,13,FALSE)-AVERAGE(Rankings!AL2:AL651))/STDEV(Rankings!AL2:AL651)*-1,0)</f>
        <v>-0.30738443012902616</v>
      </c>
      <c r="AF455" s="118">
        <f>(VLOOKUP($A455,Pitchers!$A1:$S251,14,FALSE)-AVERAGE(Rankings!AM2:AM651))/STDEV(Rankings!AM2:AM651)</f>
        <v>-0.91149573981739462</v>
      </c>
      <c r="AG455" s="118">
        <f>(VLOOKUP($A455,Pitchers!$A1:$S251,15,FALSE)-AVERAGE(Rankings!AN2:AN651))/STDEV(Rankings!AN2:AN651)</f>
        <v>0.69473458237945163</v>
      </c>
      <c r="AH455" s="118">
        <f>(VLOOKUP($A455,Pitchers!$A1:$S251,16,FALSE)-AVERAGE(Rankings!AO2:AO651))/STDEV(Rankings!AO2:AO651)*-1</f>
        <v>-0.1479608915030354</v>
      </c>
      <c r="AI455" s="118">
        <f>IFERROR((VLOOKUP($A455,Pitchers!$A1:$S251,17,FALSE)-AVERAGE(Rankings!AP2:AP651))/STDEV(Rankings!AP2:AP651),0)</f>
        <v>0.38169971969281308</v>
      </c>
      <c r="AJ455" s="118">
        <f>(VLOOKUP($A455,Pitchers!$A1:$S251,18,FALSE)-AVERAGE(Rankings!AQ2:AQ651))/STDEV(Rankings!AQ2:AQ651)</f>
        <v>-0.69471541349839372</v>
      </c>
      <c r="AK455" s="118">
        <f>IFERROR((VLOOKUP($A455,Pitchers!$A1:$S251,19,FALSE)-AVERAGE(Rankings!AR2:AR651))/STDEV(Rankings!AR2:AR651)*-1,0)</f>
        <v>0.47686441955275594</v>
      </c>
    </row>
    <row r="456" spans="1:37" ht="18.600000000000001" customHeight="1">
      <c r="A456" s="26" t="s">
        <v>750</v>
      </c>
      <c r="B456" s="27" t="s">
        <v>78</v>
      </c>
      <c r="C456" s="127" t="s">
        <v>31</v>
      </c>
      <c r="D456" s="67">
        <f>(V456*Settings!$G$2)+(Y456*Settings!$G$5)+(Z456*Settings!$G$6)+(AA456*Settings!$G$7)+(AB456*Settings!$G$8)+(AC456*Settings!$G$9)+(AD456*Settings!$G$10)+(AE456*Settings!$G$11)+(AF456*Settings!$G$12)+(AG456*Settings!$G$13)+(AH456*Settings!$G$14)+(AI456*Settings!$G$15)+(AJ456*Settings!$G$16)+(AK456*Settings!$G$17)+(W456*Settings!$G$3)+(X456*Settings!$G$4)</f>
        <v>1.9520224213290769</v>
      </c>
      <c r="E456" s="67"/>
      <c r="F456" s="67"/>
      <c r="G456" s="67"/>
      <c r="H456" s="67"/>
      <c r="I456" s="67"/>
      <c r="J456" s="67"/>
      <c r="K456" s="72"/>
      <c r="L456" s="72"/>
      <c r="M456" s="67"/>
      <c r="N456" s="67"/>
      <c r="O456" s="67"/>
      <c r="P456" s="67"/>
      <c r="Q456" s="67"/>
      <c r="R456" s="72"/>
      <c r="S456" s="72"/>
      <c r="T456" s="67"/>
      <c r="U456" s="67"/>
      <c r="V456" s="118">
        <f>(VLOOKUP($A456,Pitchers!$A1:$S251,4,FALSE)-AVERAGE(Rankings!AC2:AC651))/STDEV(Rankings!AC2:AC651)</f>
        <v>0.94397488160479415</v>
      </c>
      <c r="W456" s="118">
        <f>(VLOOKUP($A456,Pitchers!$A1:$S251,5,FALSE)-AVERAGE(Rankings!AD2:AD651))/STDEV(Rankings!AD2:AD651)*-1</f>
        <v>-0.16192567351875883</v>
      </c>
      <c r="X456" s="118">
        <f>(VLOOKUP($A456,Pitchers!$A1:$S251,6,FALSE)-AVERAGE(Rankings!AE2:AE651))/STDEV(Rankings!AE2:AE651)*-1</f>
        <v>0.2587998838014815</v>
      </c>
      <c r="Y456" s="118">
        <f>(VLOOKUP($A456,Pitchers!$A1:$S251,7,FALSE)-AVERAGE(Rankings!AF2:AF651))/STDEV(Rankings!AF2:AF651)</f>
        <v>0.9712646500697395</v>
      </c>
      <c r="Z456" s="118">
        <f>(VLOOKUP($A456,Pitchers!$A1:$S251,8,FALSE)-AVERAGE(Rankings!AG2:AG651))/STDEV(Rankings!AG2:AG651)</f>
        <v>1.3665964359738147</v>
      </c>
      <c r="AA456" s="118">
        <f>(VLOOKUP($A456,Pitchers!$A1:$S251,9,FALSE)-AVERAGE(Rankings!AH2:AH651))/STDEV(Rankings!AH2:AH651)</f>
        <v>-0.48271287499720011</v>
      </c>
      <c r="AB456" s="118">
        <f>(VLOOKUP($A456,Pitchers!$A1:$S251,10,FALSE)-AVERAGE(Rankings!AI2:AI651))/STDEV(Rankings!AI2:AI651)*-1</f>
        <v>-0.91822171477380232</v>
      </c>
      <c r="AC456" s="118">
        <f>(VLOOKUP($A456,Pitchers!$A1:$S251,11,FALSE)-AVERAGE(Rankings!AJ2:AJ651))/STDEV(Rankings!AJ2:AJ651)*-1</f>
        <v>-0.82614436837147454</v>
      </c>
      <c r="AD456" s="118">
        <f>(VLOOKUP($A456,Pitchers!$A1:$S251,12,FALSE)-AVERAGE(Rankings!AK2:AK651))/STDEV(Rankings!AK2:AK651)*-1</f>
        <v>-0.94246935987141767</v>
      </c>
      <c r="AE456" s="118">
        <f>IFERROR((VLOOKUP($A456,Pitchers!$A1:$S251,13,FALSE)-AVERAGE(Rankings!AL2:AL651))/STDEV(Rankings!AL2:AL651)*-1,0)</f>
        <v>-1.2684324576199968</v>
      </c>
      <c r="AF456" s="118">
        <f>(VLOOKUP($A456,Pitchers!$A1:$S251,14,FALSE)-AVERAGE(Rankings!AM2:AM651))/STDEV(Rankings!AM2:AM651)</f>
        <v>-0.76329894502913631</v>
      </c>
      <c r="AG456" s="118">
        <f>(VLOOKUP($A456,Pitchers!$A1:$S251,15,FALSE)-AVERAGE(Rankings!AN2:AN651))/STDEV(Rankings!AN2:AN651)</f>
        <v>0.93495968626764592</v>
      </c>
      <c r="AH456" s="118">
        <f>(VLOOKUP($A456,Pitchers!$A1:$S251,16,FALSE)-AVERAGE(Rankings!AO2:AO651))/STDEV(Rankings!AO2:AO651)*-1</f>
        <v>-0.75104182823491261</v>
      </c>
      <c r="AI456" s="118">
        <f>IFERROR((VLOOKUP($A456,Pitchers!$A1:$S251,17,FALSE)-AVERAGE(Rankings!AP2:AP651))/STDEV(Rankings!AP2:AP651),0)</f>
        <v>0.65358112163753934</v>
      </c>
      <c r="AJ456" s="118">
        <f>(VLOOKUP($A456,Pitchers!$A1:$S251,18,FALSE)-AVERAGE(Rankings!AQ2:AQ651))/STDEV(Rankings!AQ2:AQ651)</f>
        <v>-0.69471541349839372</v>
      </c>
      <c r="AK456" s="118">
        <f>IFERROR((VLOOKUP($A456,Pitchers!$A1:$S251,19,FALSE)-AVERAGE(Rankings!AR2:AR651))/STDEV(Rankings!AR2:AR651)*-1,0)</f>
        <v>0.47686441955275594</v>
      </c>
    </row>
    <row r="457" spans="1:37" ht="18.600000000000001" customHeight="1">
      <c r="A457" s="26" t="s">
        <v>296</v>
      </c>
      <c r="B457" s="27" t="s">
        <v>95</v>
      </c>
      <c r="C457" s="127" t="s">
        <v>31</v>
      </c>
      <c r="D457" s="67">
        <f>(V457*Settings!$G$2)+(Y457*Settings!$G$5)+(Z457*Settings!$G$6)+(AA457*Settings!$G$7)+(AB457*Settings!$G$8)+(AC457*Settings!$G$9)+(AD457*Settings!$G$10)+(AE457*Settings!$G$11)+(AF457*Settings!$G$12)+(AG457*Settings!$G$13)+(AH457*Settings!$G$14)+(AI457*Settings!$G$15)+(AJ457*Settings!$G$16)+(AK457*Settings!$G$17)+(W457*Settings!$G$3)+(X457*Settings!$G$4)</f>
        <v>1.3272169434199195</v>
      </c>
      <c r="E457" s="67"/>
      <c r="F457" s="67"/>
      <c r="G457" s="67"/>
      <c r="H457" s="67"/>
      <c r="I457" s="67"/>
      <c r="J457" s="67"/>
      <c r="K457" s="72"/>
      <c r="L457" s="72"/>
      <c r="M457" s="67"/>
      <c r="N457" s="67"/>
      <c r="O457" s="67"/>
      <c r="P457" s="67"/>
      <c r="Q457" s="67"/>
      <c r="R457" s="72"/>
      <c r="S457" s="72"/>
      <c r="T457" s="67"/>
      <c r="U457" s="67"/>
      <c r="V457" s="118">
        <f>(VLOOKUP($A457,Pitchers!$A1:$S251,4,FALSE)-AVERAGE(Rankings!AC2:AC651))/STDEV(Rankings!AC2:AC651)</f>
        <v>0.89542993852708108</v>
      </c>
      <c r="W457" s="118">
        <f>(VLOOKUP($A457,Pitchers!$A1:$S251,5,FALSE)-AVERAGE(Rankings!AD2:AD651))/STDEV(Rankings!AD2:AD651)*-1</f>
        <v>-0.12451838084869533</v>
      </c>
      <c r="X457" s="118">
        <f>(VLOOKUP($A457,Pitchers!$A1:$S251,6,FALSE)-AVERAGE(Rankings!AE2:AE651))/STDEV(Rankings!AE2:AE651)*-1</f>
        <v>-0.21968654643250768</v>
      </c>
      <c r="Y457" s="118">
        <f>(VLOOKUP($A457,Pitchers!$A1:$S251,7,FALSE)-AVERAGE(Rankings!AF2:AF651))/STDEV(Rankings!AF2:AF651)</f>
        <v>1.0930303060128659</v>
      </c>
      <c r="Z457" s="118">
        <f>(VLOOKUP($A457,Pitchers!$A1:$S251,8,FALSE)-AVERAGE(Rankings!AG2:AG651))/STDEV(Rankings!AG2:AG651)</f>
        <v>1.0611044396854565</v>
      </c>
      <c r="AA457" s="118">
        <f>(VLOOKUP($A457,Pitchers!$A1:$S251,9,FALSE)-AVERAGE(Rankings!AH2:AH651))/STDEV(Rankings!AH2:AH651)</f>
        <v>-0.48271287499720011</v>
      </c>
      <c r="AB457" s="118">
        <f>(VLOOKUP($A457,Pitchers!$A1:$S251,10,FALSE)-AVERAGE(Rankings!AI2:AI651))/STDEV(Rankings!AI2:AI651)*-1</f>
        <v>-0.85877629568554059</v>
      </c>
      <c r="AC457" s="118">
        <f>(VLOOKUP($A457,Pitchers!$A1:$S251,11,FALSE)-AVERAGE(Rankings!AJ2:AJ651))/STDEV(Rankings!AJ2:AJ651)*-1</f>
        <v>-0.71017227643763636</v>
      </c>
      <c r="AD457" s="118">
        <f>(VLOOKUP($A457,Pitchers!$A1:$S251,12,FALSE)-AVERAGE(Rankings!AK2:AK651))/STDEV(Rankings!AK2:AK651)*-1</f>
        <v>-1.6147114453974507</v>
      </c>
      <c r="AE457" s="118">
        <f>IFERROR((VLOOKUP($A457,Pitchers!$A1:$S251,13,FALSE)-AVERAGE(Rankings!AL2:AL651))/STDEV(Rankings!AL2:AL651)*-1,0)</f>
        <v>-0.69856478302736091</v>
      </c>
      <c r="AF457" s="118">
        <f>(VLOOKUP($A457,Pitchers!$A1:$S251,14,FALSE)-AVERAGE(Rankings!AM2:AM651))/STDEV(Rankings!AM2:AM651)</f>
        <v>-0.73353631308987477</v>
      </c>
      <c r="AG457" s="118">
        <f>(VLOOKUP($A457,Pitchers!$A1:$S251,15,FALSE)-AVERAGE(Rankings!AN2:AN651))/STDEV(Rankings!AN2:AN651)</f>
        <v>0.87025626240708687</v>
      </c>
      <c r="AH457" s="118">
        <f>(VLOOKUP($A457,Pitchers!$A1:$S251,16,FALSE)-AVERAGE(Rankings!AO2:AO651))/STDEV(Rankings!AO2:AO651)*-1</f>
        <v>-0.79680469054554903</v>
      </c>
      <c r="AI457" s="118">
        <f>IFERROR((VLOOKUP($A457,Pitchers!$A1:$S251,17,FALSE)-AVERAGE(Rankings!AP2:AP651))/STDEV(Rankings!AP2:AP651),0)</f>
        <v>1.3604727666938277</v>
      </c>
      <c r="AJ457" s="118">
        <f>(VLOOKUP($A457,Pitchers!$A1:$S251,18,FALSE)-AVERAGE(Rankings!AQ2:AQ651))/STDEV(Rankings!AQ2:AQ651)</f>
        <v>-0.69471541349839372</v>
      </c>
      <c r="AK457" s="118">
        <f>IFERROR((VLOOKUP($A457,Pitchers!$A1:$S251,19,FALSE)-AVERAGE(Rankings!AR2:AR651))/STDEV(Rankings!AR2:AR651)*-1,0)</f>
        <v>0.47686441955275594</v>
      </c>
    </row>
    <row r="458" spans="1:37" ht="18.600000000000001" customHeight="1">
      <c r="A458" s="26" t="s">
        <v>261</v>
      </c>
      <c r="B458" s="27" t="s">
        <v>123</v>
      </c>
      <c r="C458" s="127" t="s">
        <v>31</v>
      </c>
      <c r="D458" s="67">
        <f>(V458*Settings!$G$2)+(Y458*Settings!$G$5)+(Z458*Settings!$G$6)+(AA458*Settings!$G$7)+(AB458*Settings!$G$8)+(AC458*Settings!$G$9)+(AD458*Settings!$G$10)+(AE458*Settings!$G$11)+(AF458*Settings!$G$12)+(AG458*Settings!$G$13)+(AH458*Settings!$G$14)+(AI458*Settings!$G$15)+(AJ458*Settings!$G$16)+(AK458*Settings!$G$17)+(W458*Settings!$G$3)+(X458*Settings!$G$4)</f>
        <v>1.1344271395799435</v>
      </c>
      <c r="E458" s="67"/>
      <c r="F458" s="67"/>
      <c r="G458" s="67"/>
      <c r="H458" s="67"/>
      <c r="I458" s="67"/>
      <c r="J458" s="67"/>
      <c r="K458" s="72"/>
      <c r="L458" s="72"/>
      <c r="M458" s="67"/>
      <c r="N458" s="67"/>
      <c r="O458" s="67"/>
      <c r="P458" s="67"/>
      <c r="Q458" s="67"/>
      <c r="R458" s="72"/>
      <c r="S458" s="72"/>
      <c r="T458" s="67"/>
      <c r="U458" s="67"/>
      <c r="V458" s="118">
        <f>(VLOOKUP($A458,Pitchers!$A1:$S251,4,FALSE)-AVERAGE(Rankings!AC2:AC651))/STDEV(Rankings!AC2:AC651)</f>
        <v>1.4359299578302387</v>
      </c>
      <c r="W458" s="118">
        <f>(VLOOKUP($A458,Pitchers!$A1:$S251,5,FALSE)-AVERAGE(Rankings!AD2:AD651))/STDEV(Rankings!AD2:AD651)*-1</f>
        <v>-0.43835464531646712</v>
      </c>
      <c r="X458" s="118">
        <f>(VLOOKUP($A458,Pitchers!$A1:$S251,6,FALSE)-AVERAGE(Rankings!AE2:AE651))/STDEV(Rankings!AE2:AE651)*-1</f>
        <v>7.3135555617010933E-2</v>
      </c>
      <c r="Y458" s="118">
        <f>(VLOOKUP($A458,Pitchers!$A1:$S251,7,FALSE)-AVERAGE(Rankings!AF2:AF651))/STDEV(Rankings!AF2:AF651)</f>
        <v>0.49576518065431074</v>
      </c>
      <c r="Z458" s="118">
        <f>(VLOOKUP($A458,Pitchers!$A1:$S251,8,FALSE)-AVERAGE(Rankings!AG2:AG651))/STDEV(Rankings!AG2:AG651)</f>
        <v>1.4865939236222889</v>
      </c>
      <c r="AA458" s="118">
        <f>(VLOOKUP($A458,Pitchers!$A1:$S251,9,FALSE)-AVERAGE(Rankings!AH2:AH651))/STDEV(Rankings!AH2:AH651)</f>
        <v>-0.48271287499720011</v>
      </c>
      <c r="AB458" s="118">
        <f>(VLOOKUP($A458,Pitchers!$A1:$S251,10,FALSE)-AVERAGE(Rankings!AI2:AI651))/STDEV(Rankings!AI2:AI651)*-1</f>
        <v>-1.5006231219760582</v>
      </c>
      <c r="AC458" s="118">
        <f>(VLOOKUP($A458,Pitchers!$A1:$S251,11,FALSE)-AVERAGE(Rankings!AJ2:AJ651))/STDEV(Rankings!AJ2:AJ651)*-1</f>
        <v>-1.6595036450028648</v>
      </c>
      <c r="AD458" s="118">
        <f>(VLOOKUP($A458,Pitchers!$A1:$S251,12,FALSE)-AVERAGE(Rankings!AK2:AK651))/STDEV(Rankings!AK2:AK651)*-1</f>
        <v>-0.41176391824519598</v>
      </c>
      <c r="AE458" s="118">
        <f>IFERROR((VLOOKUP($A458,Pitchers!$A1:$S251,13,FALSE)-AVERAGE(Rankings!AL2:AL651))/STDEV(Rankings!AL2:AL651)*-1,0)</f>
        <v>-1.4567785534599353</v>
      </c>
      <c r="AF458" s="118">
        <f>(VLOOKUP($A458,Pitchers!$A1:$S251,14,FALSE)-AVERAGE(Rankings!AM2:AM651))/STDEV(Rankings!AM2:AM651)</f>
        <v>-0.64192465072220251</v>
      </c>
      <c r="AG458" s="118">
        <f>(VLOOKUP($A458,Pitchers!$A1:$S251,15,FALSE)-AVERAGE(Rankings!AN2:AN651))/STDEV(Rankings!AN2:AN651)</f>
        <v>1.1311754617470313</v>
      </c>
      <c r="AH458" s="118">
        <f>(VLOOKUP($A458,Pitchers!$A1:$S251,16,FALSE)-AVERAGE(Rankings!AO2:AO651))/STDEV(Rankings!AO2:AO651)*-1</f>
        <v>-1.4622059071074889</v>
      </c>
      <c r="AI458" s="118">
        <f>IFERROR((VLOOKUP($A458,Pitchers!$A1:$S251,17,FALSE)-AVERAGE(Rankings!AP2:AP651))/STDEV(Rankings!AP2:AP651),0)</f>
        <v>1.197343925526992</v>
      </c>
      <c r="AJ458" s="118">
        <f>(VLOOKUP($A458,Pitchers!$A1:$S251,18,FALSE)-AVERAGE(Rankings!AQ2:AQ651))/STDEV(Rankings!AQ2:AQ651)</f>
        <v>-0.69471541349839372</v>
      </c>
      <c r="AK458" s="118">
        <f>IFERROR((VLOOKUP($A458,Pitchers!$A1:$S251,19,FALSE)-AVERAGE(Rankings!AR2:AR651))/STDEV(Rankings!AR2:AR651)*-1,0)</f>
        <v>0.47686441955275594</v>
      </c>
    </row>
    <row r="459" spans="1:37" ht="18.600000000000001" customHeight="1">
      <c r="A459" s="26" t="s">
        <v>313</v>
      </c>
      <c r="B459" s="27" t="s">
        <v>84</v>
      </c>
      <c r="C459" s="127" t="s">
        <v>31</v>
      </c>
      <c r="D459" s="67">
        <f>(V459*Settings!$G$2)+(Y459*Settings!$G$5)+(Z459*Settings!$G$6)+(AA459*Settings!$G$7)+(AB459*Settings!$G$8)+(AC459*Settings!$G$9)+(AD459*Settings!$G$10)+(AE459*Settings!$G$11)+(AF459*Settings!$G$12)+(AG459*Settings!$G$13)+(AH459*Settings!$G$14)+(AI459*Settings!$G$15)+(AJ459*Settings!$G$16)+(AK459*Settings!$G$17)+(W459*Settings!$G$3)+(X459*Settings!$G$4)</f>
        <v>0.68899010198890753</v>
      </c>
      <c r="E459" s="67"/>
      <c r="F459" s="67"/>
      <c r="G459" s="67"/>
      <c r="H459" s="67"/>
      <c r="I459" s="67"/>
      <c r="J459" s="67"/>
      <c r="K459" s="72"/>
      <c r="L459" s="72"/>
      <c r="M459" s="67"/>
      <c r="N459" s="67"/>
      <c r="O459" s="67"/>
      <c r="P459" s="67"/>
      <c r="Q459" s="67"/>
      <c r="R459" s="72"/>
      <c r="S459" s="72"/>
      <c r="T459" s="67"/>
      <c r="U459" s="67"/>
      <c r="V459" s="118">
        <f>(VLOOKUP($A459,Pitchers!$A1:$S251,4,FALSE)-AVERAGE(Rankings!AC2:AC651))/STDEV(Rankings!AC2:AC651)</f>
        <v>0.95144262954898673</v>
      </c>
      <c r="W459" s="118">
        <f>(VLOOKUP($A459,Pitchers!$A1:$S251,5,FALSE)-AVERAGE(Rankings!AD2:AD651))/STDEV(Rankings!AD2:AD651)*-1</f>
        <v>0.21528351705803359</v>
      </c>
      <c r="X459" s="118">
        <f>(VLOOKUP($A459,Pitchers!$A1:$S251,6,FALSE)-AVERAGE(Rankings!AE2:AE651))/STDEV(Rankings!AE2:AE651)*-1</f>
        <v>-0.77455147819866488</v>
      </c>
      <c r="Y459" s="118">
        <f>(VLOOKUP($A459,Pitchers!$A1:$S251,7,FALSE)-AVERAGE(Rankings!AF2:AF651))/STDEV(Rankings!AF2:AF651)</f>
        <v>0.95175770267873494</v>
      </c>
      <c r="Z459" s="118">
        <f>(VLOOKUP($A459,Pitchers!$A1:$S251,8,FALSE)-AVERAGE(Rankings!AG2:AG651))/STDEV(Rankings!AG2:AG651)</f>
        <v>0.77921323544800392</v>
      </c>
      <c r="AA459" s="118">
        <f>(VLOOKUP($A459,Pitchers!$A1:$S251,9,FALSE)-AVERAGE(Rankings!AH2:AH651))/STDEV(Rankings!AH2:AH651)</f>
        <v>-0.48271287499720011</v>
      </c>
      <c r="AB459" s="118">
        <f>(VLOOKUP($A459,Pitchers!$A1:$S251,10,FALSE)-AVERAGE(Rankings!AI2:AI651))/STDEV(Rankings!AI2:AI651)*-1</f>
        <v>-0.78961056176817179</v>
      </c>
      <c r="AC459" s="118">
        <f>(VLOOKUP($A459,Pitchers!$A1:$S251,11,FALSE)-AVERAGE(Rankings!AJ2:AJ651))/STDEV(Rankings!AJ2:AJ651)*-1</f>
        <v>-0.92249709482685371</v>
      </c>
      <c r="AD459" s="118">
        <f>(VLOOKUP($A459,Pitchers!$A1:$S251,12,FALSE)-AVERAGE(Rankings!AK2:AK651))/STDEV(Rankings!AK2:AK651)*-1</f>
        <v>-1.7197067870856071</v>
      </c>
      <c r="AE459" s="118">
        <f>IFERROR((VLOOKUP($A459,Pitchers!$A1:$S251,13,FALSE)-AVERAGE(Rankings!AL2:AL651))/STDEV(Rankings!AL2:AL651)*-1,0)</f>
        <v>-0.45709542938641329</v>
      </c>
      <c r="AF459" s="118">
        <f>(VLOOKUP($A459,Pitchers!$A1:$S251,14,FALSE)-AVERAGE(Rankings!AM2:AM651))/STDEV(Rankings!AM2:AM651)</f>
        <v>-0.74040134292780468</v>
      </c>
      <c r="AG459" s="118">
        <f>(VLOOKUP($A459,Pitchers!$A1:$S251,15,FALSE)-AVERAGE(Rankings!AN2:AN651))/STDEV(Rankings!AN2:AN651)</f>
        <v>0.98593866227253912</v>
      </c>
      <c r="AH459" s="118">
        <f>(VLOOKUP($A459,Pitchers!$A1:$S251,16,FALSE)-AVERAGE(Rankings!AO2:AO651))/STDEV(Rankings!AO2:AO651)*-1</f>
        <v>-0.65694817080391421</v>
      </c>
      <c r="AI459" s="118">
        <f>IFERROR((VLOOKUP($A459,Pitchers!$A1:$S251,17,FALSE)-AVERAGE(Rankings!AP2:AP651))/STDEV(Rankings!AP2:AP651),0)</f>
        <v>0.92546252358226566</v>
      </c>
      <c r="AJ459" s="118">
        <f>(VLOOKUP($A459,Pitchers!$A1:$S251,18,FALSE)-AVERAGE(Rankings!AQ2:AQ651))/STDEV(Rankings!AQ2:AQ651)</f>
        <v>-0.69471541349839372</v>
      </c>
      <c r="AK459" s="118">
        <f>IFERROR((VLOOKUP($A459,Pitchers!$A1:$S251,19,FALSE)-AVERAGE(Rankings!AR2:AR651))/STDEV(Rankings!AR2:AR651)*-1,0)</f>
        <v>0.47686441955275594</v>
      </c>
    </row>
    <row r="460" spans="1:37" ht="18.600000000000001" customHeight="1">
      <c r="A460" s="26" t="s">
        <v>336</v>
      </c>
      <c r="B460" s="27" t="s">
        <v>94</v>
      </c>
      <c r="C460" s="127" t="s">
        <v>31</v>
      </c>
      <c r="D460" s="67">
        <f>(V460*Settings!$G$2)+(Y460*Settings!$G$5)+(Z460*Settings!$G$6)+(AA460*Settings!$G$7)+(AB460*Settings!$G$8)+(AC460*Settings!$G$9)+(AD460*Settings!$G$10)+(AE460*Settings!$G$11)+(AF460*Settings!$G$12)+(AG460*Settings!$G$13)+(AH460*Settings!$G$14)+(AI460*Settings!$G$15)+(AJ460*Settings!$G$16)+(AK460*Settings!$G$17)+(W460*Settings!$G$3)+(X460*Settings!$G$4)</f>
        <v>0.61040734944314201</v>
      </c>
      <c r="E460" s="67"/>
      <c r="F460" s="67"/>
      <c r="G460" s="67"/>
      <c r="H460" s="67"/>
      <c r="I460" s="67"/>
      <c r="J460" s="67"/>
      <c r="K460" s="72"/>
      <c r="L460" s="72"/>
      <c r="M460" s="67"/>
      <c r="N460" s="67"/>
      <c r="O460" s="67"/>
      <c r="P460" s="67"/>
      <c r="Q460" s="67"/>
      <c r="R460" s="72"/>
      <c r="S460" s="72"/>
      <c r="T460" s="67"/>
      <c r="U460" s="67"/>
      <c r="V460" s="118">
        <f>(VLOOKUP($A460,Pitchers!$A1:$S251,4,FALSE)-AVERAGE(Rankings!AC2:AC651))/STDEV(Rankings!AC2:AC651)</f>
        <v>1.1981417445336178</v>
      </c>
      <c r="W460" s="118">
        <f>(VLOOKUP($A460,Pitchers!$A1:$S251,5,FALSE)-AVERAGE(Rankings!AD2:AD651))/STDEV(Rankings!AD2:AD651)*-1</f>
        <v>-0.8440978589209186</v>
      </c>
      <c r="X460" s="118">
        <f>(VLOOKUP($A460,Pitchers!$A1:$S251,6,FALSE)-AVERAGE(Rankings!AE2:AE651))/STDEV(Rankings!AE2:AE651)*-1</f>
        <v>-0.13946948305806872</v>
      </c>
      <c r="Y460" s="118">
        <f>(VLOOKUP($A460,Pitchers!$A1:$S251,7,FALSE)-AVERAGE(Rankings!AF2:AF651))/STDEV(Rankings!AF2:AF651)</f>
        <v>0.86790133124366864</v>
      </c>
      <c r="Z460" s="118">
        <f>(VLOOKUP($A460,Pitchers!$A1:$S251,8,FALSE)-AVERAGE(Rankings!AG2:AG651))/STDEV(Rankings!AG2:AG651)</f>
        <v>1.2087862351756606</v>
      </c>
      <c r="AA460" s="118">
        <f>(VLOOKUP($A460,Pitchers!$A1:$S251,9,FALSE)-AVERAGE(Rankings!AH2:AH651))/STDEV(Rankings!AH2:AH651)</f>
        <v>-0.48271287499720011</v>
      </c>
      <c r="AB460" s="118">
        <f>(VLOOKUP($A460,Pitchers!$A1:$S251,10,FALSE)-AVERAGE(Rankings!AI2:AI651))/STDEV(Rankings!AI2:AI651)*-1</f>
        <v>-1.4239831166874786</v>
      </c>
      <c r="AC460" s="118">
        <f>(VLOOKUP($A460,Pitchers!$A1:$S251,11,FALSE)-AVERAGE(Rankings!AJ2:AJ651))/STDEV(Rankings!AJ2:AJ651)*-1</f>
        <v>-1.3824771660107418</v>
      </c>
      <c r="AD460" s="118">
        <f>(VLOOKUP($A460,Pitchers!$A1:$S251,12,FALSE)-AVERAGE(Rankings!AK2:AK651))/STDEV(Rankings!AK2:AK651)*-1</f>
        <v>-0.57796790572401546</v>
      </c>
      <c r="AE460" s="118">
        <f>IFERROR((VLOOKUP($A460,Pitchers!$A1:$S251,13,FALSE)-AVERAGE(Rankings!AL2:AL651))/STDEV(Rankings!AL2:AL651)*-1,0)</f>
        <v>-1.5630250690619525</v>
      </c>
      <c r="AF460" s="118">
        <f>(VLOOKUP($A460,Pitchers!$A1:$S251,14,FALSE)-AVERAGE(Rankings!AM2:AM651))/STDEV(Rankings!AM2:AM651)</f>
        <v>-0.62924311985543802</v>
      </c>
      <c r="AG460" s="118">
        <f>(VLOOKUP($A460,Pitchers!$A1:$S251,15,FALSE)-AVERAGE(Rankings!AN2:AN651))/STDEV(Rankings!AN2:AN651)</f>
        <v>1.0937060862613042</v>
      </c>
      <c r="AH460" s="118">
        <f>(VLOOKUP($A460,Pitchers!$A1:$S251,16,FALSE)-AVERAGE(Rankings!AO2:AO651))/STDEV(Rankings!AO2:AO651)*-1</f>
        <v>-0.98503033276291496</v>
      </c>
      <c r="AI460" s="118">
        <f>IFERROR((VLOOKUP($A460,Pitchers!$A1:$S251,17,FALSE)-AVERAGE(Rankings!AP2:AP651))/STDEV(Rankings!AP2:AP651),0)</f>
        <v>0.78952182260990256</v>
      </c>
      <c r="AJ460" s="118">
        <f>(VLOOKUP($A460,Pitchers!$A1:$S251,18,FALSE)-AVERAGE(Rankings!AQ2:AQ651))/STDEV(Rankings!AQ2:AQ651)</f>
        <v>-0.69471541349839372</v>
      </c>
      <c r="AK460" s="118">
        <f>IFERROR((VLOOKUP($A460,Pitchers!$A1:$S251,19,FALSE)-AVERAGE(Rankings!AR2:AR651))/STDEV(Rankings!AR2:AR651)*-1,0)</f>
        <v>0.47686441955275594</v>
      </c>
    </row>
    <row r="461" spans="1:37" ht="18.600000000000001" customHeight="1">
      <c r="A461" s="26" t="s">
        <v>253</v>
      </c>
      <c r="B461" s="27" t="s">
        <v>81</v>
      </c>
      <c r="C461" s="127" t="s">
        <v>31</v>
      </c>
      <c r="D461" s="67">
        <f>(V461*Settings!$G$2)+(Y461*Settings!$G$5)+(Z461*Settings!$G$6)+(AA461*Settings!$G$7)+(AB461*Settings!$G$8)+(AC461*Settings!$G$9)+(AD461*Settings!$G$10)+(AE461*Settings!$G$11)+(AF461*Settings!$G$12)+(AG461*Settings!$G$13)+(AH461*Settings!$G$14)+(AI461*Settings!$G$15)+(AJ461*Settings!$G$16)+(AK461*Settings!$G$17)+(W461*Settings!$G$3)+(X461*Settings!$G$4)</f>
        <v>2.7089106712305284</v>
      </c>
      <c r="E461" s="67"/>
      <c r="F461" s="67"/>
      <c r="G461" s="67"/>
      <c r="H461" s="67"/>
      <c r="I461" s="67"/>
      <c r="J461" s="67"/>
      <c r="K461" s="72"/>
      <c r="L461" s="72"/>
      <c r="M461" s="67"/>
      <c r="N461" s="67"/>
      <c r="O461" s="67"/>
      <c r="P461" s="67"/>
      <c r="Q461" s="67"/>
      <c r="R461" s="72"/>
      <c r="S461" s="72"/>
      <c r="T461" s="67"/>
      <c r="U461" s="67"/>
      <c r="V461" s="118">
        <f>(VLOOKUP($A461,Pitchers!$A1:$S251,4,FALSE)-AVERAGE(Rankings!AC2:AC651))/STDEV(Rankings!AC2:AC651)</f>
        <v>0.38444355864508478</v>
      </c>
      <c r="W461" s="118">
        <f>(VLOOKUP($A461,Pitchers!$A1:$S251,5,FALSE)-AVERAGE(Rankings!AD2:AD651))/STDEV(Rankings!AD2:AD651)*-1</f>
        <v>0.95638359369834558</v>
      </c>
      <c r="X461" s="118">
        <f>(VLOOKUP($A461,Pitchers!$A1:$S251,6,FALSE)-AVERAGE(Rankings!AE2:AE651))/STDEV(Rankings!AE2:AE651)*-1</f>
        <v>1.1904909120786016</v>
      </c>
      <c r="Y461" s="118">
        <f>(VLOOKUP($A461,Pitchers!$A1:$S251,7,FALSE)-AVERAGE(Rankings!AF2:AF651))/STDEV(Rankings!AF2:AF651)</f>
        <v>0.49463706803410784</v>
      </c>
      <c r="Z461" s="118">
        <f>(VLOOKUP($A461,Pitchers!$A1:$S251,8,FALSE)-AVERAGE(Rankings!AG2:AG651))/STDEV(Rankings!AG2:AG651)</f>
        <v>0.50703243883912597</v>
      </c>
      <c r="AA461" s="118">
        <f>(VLOOKUP($A461,Pitchers!$A1:$S251,9,FALSE)-AVERAGE(Rankings!AH2:AH651))/STDEV(Rankings!AH2:AH651)</f>
        <v>-0.43963334141965243</v>
      </c>
      <c r="AB461" s="118">
        <f>(VLOOKUP($A461,Pitchers!$A1:$S251,10,FALSE)-AVERAGE(Rankings!AI2:AI651))/STDEV(Rankings!AI2:AI651)*-1</f>
        <v>-5.231298913301792E-2</v>
      </c>
      <c r="AC461" s="118">
        <f>(VLOOKUP($A461,Pitchers!$A1:$S251,11,FALSE)-AVERAGE(Rankings!AJ2:AJ651))/STDEV(Rankings!AJ2:AJ651)*-1</f>
        <v>-9.6775045031538748E-2</v>
      </c>
      <c r="AD461" s="118">
        <f>(VLOOKUP($A461,Pitchers!$A1:$S251,12,FALSE)-AVERAGE(Rankings!AK2:AK651))/STDEV(Rankings!AK2:AK651)*-1</f>
        <v>-0.27180680160227522</v>
      </c>
      <c r="AE461" s="118">
        <f>IFERROR((VLOOKUP($A461,Pitchers!$A1:$S251,13,FALSE)-AVERAGE(Rankings!AL2:AL651))/STDEV(Rankings!AL2:AL651)*-1,0)</f>
        <v>-3.2109366978345773E-2</v>
      </c>
      <c r="AF461" s="118">
        <f>(VLOOKUP($A461,Pitchers!$A1:$S251,14,FALSE)-AVERAGE(Rankings!AM2:AM651))/STDEV(Rankings!AM2:AM651)</f>
        <v>-0.70883920884320373</v>
      </c>
      <c r="AG461" s="118">
        <f>(VLOOKUP($A461,Pitchers!$A1:$S251,15,FALSE)-AVERAGE(Rankings!AN2:AN651))/STDEV(Rankings!AN2:AN651)</f>
        <v>0.5227707742442691</v>
      </c>
      <c r="AH461" s="118">
        <f>(VLOOKUP($A461,Pitchers!$A1:$S251,16,FALSE)-AVERAGE(Rankings!AO2:AO651))/STDEV(Rankings!AO2:AO651)*-1</f>
        <v>4.1184607243187149E-2</v>
      </c>
      <c r="AI461" s="118">
        <f>IFERROR((VLOOKUP($A461,Pitchers!$A1:$S251,17,FALSE)-AVERAGE(Rankings!AP2:AP651))/STDEV(Rankings!AP2:AP651),0)</f>
        <v>0.10981831774808683</v>
      </c>
      <c r="AJ461" s="118">
        <f>(VLOOKUP($A461,Pitchers!$A1:$S251,18,FALSE)-AVERAGE(Rankings!AQ2:AQ651))/STDEV(Rankings!AQ2:AQ651)</f>
        <v>-0.69471541349839372</v>
      </c>
      <c r="AK461" s="118">
        <f>IFERROR((VLOOKUP($A461,Pitchers!$A1:$S251,19,FALSE)-AVERAGE(Rankings!AR2:AR651))/STDEV(Rankings!AR2:AR651)*-1,0)</f>
        <v>0.47686441955275594</v>
      </c>
    </row>
    <row r="462" spans="1:37" ht="18.600000000000001" customHeight="1">
      <c r="A462" s="26" t="s">
        <v>309</v>
      </c>
      <c r="B462" s="27" t="s">
        <v>134</v>
      </c>
      <c r="C462" s="127" t="s">
        <v>31</v>
      </c>
      <c r="D462" s="67">
        <f>(V462*Settings!$G$2)+(Y462*Settings!$G$5)+(Z462*Settings!$G$6)+(AA462*Settings!$G$7)+(AB462*Settings!$G$8)+(AC462*Settings!$G$9)+(AD462*Settings!$G$10)+(AE462*Settings!$G$11)+(AF462*Settings!$G$12)+(AG462*Settings!$G$13)+(AH462*Settings!$G$14)+(AI462*Settings!$G$15)+(AJ462*Settings!$G$16)+(AK462*Settings!$G$17)+(W462*Settings!$G$3)+(X462*Settings!$G$4)</f>
        <v>0.12727486338713034</v>
      </c>
      <c r="E462" s="67"/>
      <c r="F462" s="67"/>
      <c r="G462" s="67"/>
      <c r="H462" s="67"/>
      <c r="I462" s="67"/>
      <c r="J462" s="67"/>
      <c r="K462" s="72"/>
      <c r="L462" s="72"/>
      <c r="M462" s="67"/>
      <c r="N462" s="67"/>
      <c r="O462" s="67"/>
      <c r="P462" s="67"/>
      <c r="Q462" s="67"/>
      <c r="R462" s="72"/>
      <c r="S462" s="72"/>
      <c r="T462" s="67"/>
      <c r="U462" s="67"/>
      <c r="V462" s="118">
        <f>(VLOOKUP($A462,Pitchers!$A1:$S251,4,FALSE)-AVERAGE(Rankings!AC2:AC651))/STDEV(Rankings!AC2:AC651)</f>
        <v>0.61463803438495757</v>
      </c>
      <c r="W462" s="118">
        <f>(VLOOKUP($A462,Pitchers!$A1:$S251,5,FALSE)-AVERAGE(Rankings!AD2:AD651))/STDEV(Rankings!AD2:AD651)*-1</f>
        <v>-0.26772191158021669</v>
      </c>
      <c r="X462" s="118">
        <f>(VLOOKUP($A462,Pitchers!$A1:$S251,6,FALSE)-AVERAGE(Rankings!AE2:AE651))/STDEV(Rankings!AE2:AE651)*-1</f>
        <v>-0.32592682286964286</v>
      </c>
      <c r="Y462" s="118">
        <f>(VLOOKUP($A462,Pitchers!$A1:$S251,7,FALSE)-AVERAGE(Rankings!AF2:AF651))/STDEV(Rankings!AF2:AF651)</f>
        <v>0.86846538755377067</v>
      </c>
      <c r="Z462" s="118">
        <f>(VLOOKUP($A462,Pitchers!$A1:$S251,8,FALSE)-AVERAGE(Rankings!AG2:AG651))/STDEV(Rankings!AG2:AG651)</f>
        <v>0.33517108528041922</v>
      </c>
      <c r="AA462" s="118">
        <f>(VLOOKUP($A462,Pitchers!$A1:$S251,9,FALSE)-AVERAGE(Rankings!AH2:AH651))/STDEV(Rankings!AH2:AH651)</f>
        <v>-0.48271287499720011</v>
      </c>
      <c r="AB462" s="118">
        <f>(VLOOKUP($A462,Pitchers!$A1:$S251,10,FALSE)-AVERAGE(Rankings!AI2:AI651))/STDEV(Rankings!AI2:AI651)*-1</f>
        <v>-0.63887450806365098</v>
      </c>
      <c r="AC462" s="118">
        <f>(VLOOKUP($A462,Pitchers!$A1:$S251,11,FALSE)-AVERAGE(Rankings!AJ2:AJ651))/STDEV(Rankings!AJ2:AJ651)*-1</f>
        <v>-0.49324529725412125</v>
      </c>
      <c r="AD462" s="118">
        <f>(VLOOKUP($A462,Pitchers!$A1:$S251,12,FALSE)-AVERAGE(Rankings!AK2:AK651))/STDEV(Rankings!AK2:AK651)*-1</f>
        <v>-1.2381474323479216</v>
      </c>
      <c r="AE462" s="118">
        <f>IFERROR((VLOOKUP($A462,Pitchers!$A1:$S251,13,FALSE)-AVERAGE(Rankings!AL2:AL651))/STDEV(Rankings!AL2:AL651)*-1,0)</f>
        <v>-0.43294849402231889</v>
      </c>
      <c r="AF462" s="118">
        <f>(VLOOKUP($A462,Pitchers!$A1:$S251,14,FALSE)-AVERAGE(Rankings!AM2:AM651))/STDEV(Rankings!AM2:AM651)</f>
        <v>-0.84943416976551855</v>
      </c>
      <c r="AG462" s="118">
        <f>(VLOOKUP($A462,Pitchers!$A1:$S251,15,FALSE)-AVERAGE(Rankings!AN2:AN651))/STDEV(Rankings!AN2:AN651)</f>
        <v>0.84078780173264689</v>
      </c>
      <c r="AH462" s="118">
        <f>(VLOOKUP($A462,Pitchers!$A1:$S251,16,FALSE)-AVERAGE(Rankings!AO2:AO651))/STDEV(Rankings!AO2:AO651)*-1</f>
        <v>-0.97698158813541602</v>
      </c>
      <c r="AI462" s="118">
        <f>IFERROR((VLOOKUP($A462,Pitchers!$A1:$S251,17,FALSE)-AVERAGE(Rankings!AP2:AP651))/STDEV(Rankings!AP2:AP651),0)</f>
        <v>0.65358112163753934</v>
      </c>
      <c r="AJ462" s="118">
        <f>(VLOOKUP($A462,Pitchers!$A1:$S251,18,FALSE)-AVERAGE(Rankings!AQ2:AQ651))/STDEV(Rankings!AQ2:AQ651)</f>
        <v>-0.69471541349839372</v>
      </c>
      <c r="AK462" s="118">
        <f>IFERROR((VLOOKUP($A462,Pitchers!$A1:$S251,19,FALSE)-AVERAGE(Rankings!AR2:AR651))/STDEV(Rankings!AR2:AR651)*-1,0)</f>
        <v>0.47686441955275594</v>
      </c>
    </row>
    <row r="463" spans="1:37" ht="18.600000000000001" customHeight="1">
      <c r="A463" s="26" t="s">
        <v>295</v>
      </c>
      <c r="B463" s="27" t="s">
        <v>156</v>
      </c>
      <c r="C463" s="127" t="s">
        <v>31</v>
      </c>
      <c r="D463" s="67">
        <f>(V463*Settings!$G$2)+(Y463*Settings!$G$5)+(Z463*Settings!$G$6)+(AA463*Settings!$G$7)+(AB463*Settings!$G$8)+(AC463*Settings!$G$9)+(AD463*Settings!$G$10)+(AE463*Settings!$G$11)+(AF463*Settings!$G$12)+(AG463*Settings!$G$13)+(AH463*Settings!$G$14)+(AI463*Settings!$G$15)+(AJ463*Settings!$G$16)+(AK463*Settings!$G$17)+(W463*Settings!$G$3)+(X463*Settings!$G$4)</f>
        <v>0.4719624764118695</v>
      </c>
      <c r="E463" s="67"/>
      <c r="F463" s="67"/>
      <c r="G463" s="67"/>
      <c r="H463" s="67"/>
      <c r="I463" s="67"/>
      <c r="J463" s="67"/>
      <c r="K463" s="72"/>
      <c r="L463" s="72"/>
      <c r="M463" s="67"/>
      <c r="N463" s="67"/>
      <c r="O463" s="67"/>
      <c r="P463" s="67"/>
      <c r="Q463" s="67"/>
      <c r="R463" s="72"/>
      <c r="S463" s="72"/>
      <c r="T463" s="67"/>
      <c r="U463" s="67"/>
      <c r="V463" s="118">
        <f>(VLOOKUP($A463,Pitchers!$A1:$S251,4,FALSE)-AVERAGE(Rankings!AC2:AC651))/STDEV(Rankings!AC2:AC651)</f>
        <v>0.5892110398510475</v>
      </c>
      <c r="W463" s="118">
        <f>(VLOOKUP($A463,Pitchers!$A1:$S251,5,FALSE)-AVERAGE(Rankings!AD2:AD651))/STDEV(Rankings!AD2:AD651)*-1</f>
        <v>-9.0395730679305628E-4</v>
      </c>
      <c r="X463" s="118">
        <f>(VLOOKUP($A463,Pitchers!$A1:$S251,6,FALSE)-AVERAGE(Rankings!AE2:AE651))/STDEV(Rankings!AE2:AE651)*-1</f>
        <v>-0.18803930115939507</v>
      </c>
      <c r="Y463" s="118">
        <f>(VLOOKUP($A463,Pitchers!$A1:$S251,7,FALSE)-AVERAGE(Rankings!AF2:AF651))/STDEV(Rankings!AF2:AF651)</f>
        <v>0.5184214424433814</v>
      </c>
      <c r="Z463" s="118">
        <f>(VLOOKUP($A463,Pitchers!$A1:$S251,8,FALSE)-AVERAGE(Rankings!AG2:AG651))/STDEV(Rankings!AG2:AG651)</f>
        <v>0.62519716743187626</v>
      </c>
      <c r="AA463" s="118">
        <f>(VLOOKUP($A463,Pitchers!$A1:$S251,9,FALSE)-AVERAGE(Rankings!AH2:AH651))/STDEV(Rankings!AH2:AH651)</f>
        <v>-0.48271287499720011</v>
      </c>
      <c r="AB463" s="118">
        <f>(VLOOKUP($A463,Pitchers!$A1:$S251,10,FALSE)-AVERAGE(Rankings!AI2:AI651))/STDEV(Rankings!AI2:AI651)*-1</f>
        <v>-0.52891090463603685</v>
      </c>
      <c r="AC463" s="118">
        <f>(VLOOKUP($A463,Pitchers!$A1:$S251,11,FALSE)-AVERAGE(Rankings!AJ2:AJ651))/STDEV(Rankings!AJ2:AJ651)*-1</f>
        <v>-0.52930735722174493</v>
      </c>
      <c r="AD463" s="118">
        <f>(VLOOKUP($A463,Pitchers!$A1:$S251,12,FALSE)-AVERAGE(Rankings!AK2:AK651))/STDEV(Rankings!AK2:AK651)*-1</f>
        <v>-0.88200725681411107</v>
      </c>
      <c r="AE463" s="118">
        <f>IFERROR((VLOOKUP($A463,Pitchers!$A1:$S251,13,FALSE)-AVERAGE(Rankings!AL2:AL651))/STDEV(Rankings!AL2:AL651)*-1,0)</f>
        <v>-0.24943178525519846</v>
      </c>
      <c r="AF463" s="118">
        <f>(VLOOKUP($A463,Pitchers!$A1:$S251,14,FALSE)-AVERAGE(Rankings!AM2:AM651))/STDEV(Rankings!AM2:AM651)</f>
        <v>-0.82442534073776486</v>
      </c>
      <c r="AG463" s="118">
        <f>(VLOOKUP($A463,Pitchers!$A1:$S251,15,FALSE)-AVERAGE(Rankings!AN2:AN651))/STDEV(Rankings!AN2:AN651)</f>
        <v>0.88401508583659338</v>
      </c>
      <c r="AH463" s="118">
        <f>(VLOOKUP($A463,Pitchers!$A1:$S251,16,FALSE)-AVERAGE(Rankings!AO2:AO651))/STDEV(Rankings!AO2:AO651)*-1</f>
        <v>-0.64774960551534422</v>
      </c>
      <c r="AI463" s="118">
        <f>IFERROR((VLOOKUP($A463,Pitchers!$A1:$S251,17,FALSE)-AVERAGE(Rankings!AP2:AP651))/STDEV(Rankings!AP2:AP651),0)</f>
        <v>0.51764042066517624</v>
      </c>
      <c r="AJ463" s="118">
        <f>(VLOOKUP($A463,Pitchers!$A1:$S251,18,FALSE)-AVERAGE(Rankings!AQ2:AQ651))/STDEV(Rankings!AQ2:AQ651)</f>
        <v>-0.69471541349839372</v>
      </c>
      <c r="AK463" s="118">
        <f>IFERROR((VLOOKUP($A463,Pitchers!$A1:$S251,19,FALSE)-AVERAGE(Rankings!AR2:AR651))/STDEV(Rankings!AR2:AR651)*-1,0)</f>
        <v>0.47686441955275594</v>
      </c>
    </row>
    <row r="464" spans="1:37" ht="18.600000000000001" customHeight="1">
      <c r="A464" s="26" t="s">
        <v>293</v>
      </c>
      <c r="B464" s="27" t="s">
        <v>86</v>
      </c>
      <c r="C464" s="127" t="s">
        <v>31</v>
      </c>
      <c r="D464" s="67">
        <f>(V464*Settings!$G$2)+(Y464*Settings!$G$5)+(Z464*Settings!$G$6)+(AA464*Settings!$G$7)+(AB464*Settings!$G$8)+(AC464*Settings!$G$9)+(AD464*Settings!$G$10)+(AE464*Settings!$G$11)+(AF464*Settings!$G$12)+(AG464*Settings!$G$13)+(AH464*Settings!$G$14)+(AI464*Settings!$G$15)+(AJ464*Settings!$G$16)+(AK464*Settings!$G$17)+(W464*Settings!$G$3)+(X464*Settings!$G$4)</f>
        <v>0.63916994002374217</v>
      </c>
      <c r="E464" s="67"/>
      <c r="F464" s="67"/>
      <c r="G464" s="67"/>
      <c r="H464" s="67"/>
      <c r="I464" s="67"/>
      <c r="J464" s="67"/>
      <c r="K464" s="72"/>
      <c r="L464" s="72"/>
      <c r="M464" s="67"/>
      <c r="N464" s="67"/>
      <c r="O464" s="67"/>
      <c r="P464" s="67"/>
      <c r="Q464" s="67"/>
      <c r="R464" s="72"/>
      <c r="S464" s="72"/>
      <c r="T464" s="67"/>
      <c r="U464" s="67"/>
      <c r="V464" s="118">
        <f>(VLOOKUP($A464,Pitchers!$A1:$S251,4,FALSE)-AVERAGE(Rankings!AC2:AC651))/STDEV(Rankings!AC2:AC651)</f>
        <v>0.79931589918890311</v>
      </c>
      <c r="W464" s="118">
        <f>(VLOOKUP($A464,Pitchers!$A1:$S251,5,FALSE)-AVERAGE(Rankings!AD2:AD651))/STDEV(Rankings!AD2:AD651)*-1</f>
        <v>-0.224341309199238</v>
      </c>
      <c r="X464" s="118">
        <f>(VLOOKUP($A464,Pitchers!$A1:$S251,6,FALSE)-AVERAGE(Rankings!AE2:AE651))/STDEV(Rankings!AE2:AE651)*-1</f>
        <v>0.24918968451314205</v>
      </c>
      <c r="Y464" s="118">
        <f>(VLOOKUP($A464,Pitchers!$A1:$S251,7,FALSE)-AVERAGE(Rankings!AF2:AF651))/STDEV(Rankings!AF2:AF651)</f>
        <v>0.57858744885419067</v>
      </c>
      <c r="Z464" s="118">
        <f>(VLOOKUP($A464,Pitchers!$A1:$S251,8,FALSE)-AVERAGE(Rankings!AG2:AG651))/STDEV(Rankings!AG2:AG651)</f>
        <v>0.51844699085284762</v>
      </c>
      <c r="AA464" s="118">
        <f>(VLOOKUP($A464,Pitchers!$A1:$S251,9,FALSE)-AVERAGE(Rankings!AH2:AH651))/STDEV(Rankings!AH2:AH651)</f>
        <v>-0.48271287499720011</v>
      </c>
      <c r="AB464" s="118">
        <f>(VLOOKUP($A464,Pitchers!$A1:$S251,10,FALSE)-AVERAGE(Rankings!AI2:AI651))/STDEV(Rankings!AI2:AI651)*-1</f>
        <v>-0.80192872224459877</v>
      </c>
      <c r="AC464" s="118">
        <f>(VLOOKUP($A464,Pitchers!$A1:$S251,11,FALSE)-AVERAGE(Rankings!AJ2:AJ651))/STDEV(Rankings!AJ2:AJ651)*-1</f>
        <v>-0.97925707795652328</v>
      </c>
      <c r="AD464" s="118">
        <f>(VLOOKUP($A464,Pitchers!$A1:$S251,12,FALSE)-AVERAGE(Rankings!AK2:AK651))/STDEV(Rankings!AK2:AK651)*-1</f>
        <v>0.15309388884594041</v>
      </c>
      <c r="AE464" s="118">
        <f>IFERROR((VLOOKUP($A464,Pitchers!$A1:$S251,13,FALSE)-AVERAGE(Rankings!AL2:AL651))/STDEV(Rankings!AL2:AL651)*-1,0)</f>
        <v>-0.95935168495958423</v>
      </c>
      <c r="AF464" s="118">
        <f>(VLOOKUP($A464,Pitchers!$A1:$S251,14,FALSE)-AVERAGE(Rankings!AM2:AM651))/STDEV(Rankings!AM2:AM651)</f>
        <v>-0.8041632299674033</v>
      </c>
      <c r="AG464" s="118">
        <f>(VLOOKUP($A464,Pitchers!$A1:$S251,15,FALSE)-AVERAGE(Rankings!AN2:AN651))/STDEV(Rankings!AN2:AN651)</f>
        <v>0.90859362113227693</v>
      </c>
      <c r="AH464" s="118">
        <f>(VLOOKUP($A464,Pitchers!$A1:$S251,16,FALSE)-AVERAGE(Rankings!AO2:AO651))/STDEV(Rankings!AO2:AO651)*-1</f>
        <v>-0.64583323774689239</v>
      </c>
      <c r="AI464" s="118">
        <f>IFERROR((VLOOKUP($A464,Pitchers!$A1:$S251,17,FALSE)-AVERAGE(Rankings!AP2:AP651))/STDEV(Rankings!AP2:AP651),0)</f>
        <v>0.65358112163753934</v>
      </c>
      <c r="AJ464" s="118">
        <f>(VLOOKUP($A464,Pitchers!$A1:$S251,18,FALSE)-AVERAGE(Rankings!AQ2:AQ651))/STDEV(Rankings!AQ2:AQ651)</f>
        <v>-0.69471541349839372</v>
      </c>
      <c r="AK464" s="118">
        <f>IFERROR((VLOOKUP($A464,Pitchers!$A1:$S251,19,FALSE)-AVERAGE(Rankings!AR2:AR651))/STDEV(Rankings!AR2:AR651)*-1,0)</f>
        <v>0.47686441955275594</v>
      </c>
    </row>
    <row r="465" spans="1:37" ht="18.600000000000001" customHeight="1">
      <c r="A465" s="26" t="s">
        <v>343</v>
      </c>
      <c r="B465" s="27" t="s">
        <v>156</v>
      </c>
      <c r="C465" s="127" t="s">
        <v>31</v>
      </c>
      <c r="D465" s="67">
        <f>(V465*Settings!$G$2)+(Y465*Settings!$G$5)+(Z465*Settings!$G$6)+(AA465*Settings!$G$7)+(AB465*Settings!$G$8)+(AC465*Settings!$G$9)+(AD465*Settings!$G$10)+(AE465*Settings!$G$11)+(AF465*Settings!$G$12)+(AG465*Settings!$G$13)+(AH465*Settings!$G$14)+(AI465*Settings!$G$15)+(AJ465*Settings!$G$16)+(AK465*Settings!$G$17)+(W465*Settings!$G$3)+(X465*Settings!$G$4)</f>
        <v>0.2342106106964682</v>
      </c>
      <c r="E465" s="67"/>
      <c r="F465" s="67"/>
      <c r="G465" s="67"/>
      <c r="H465" s="67"/>
      <c r="I465" s="67"/>
      <c r="J465" s="67"/>
      <c r="K465" s="72"/>
      <c r="L465" s="72"/>
      <c r="M465" s="67"/>
      <c r="N465" s="67"/>
      <c r="O465" s="67"/>
      <c r="P465" s="67"/>
      <c r="Q465" s="67"/>
      <c r="R465" s="72"/>
      <c r="S465" s="72"/>
      <c r="T465" s="67"/>
      <c r="U465" s="67"/>
      <c r="V465" s="118">
        <f>(VLOOKUP($A465,Pitchers!$A1:$S251,4,FALSE)-AVERAGE(Rankings!AC2:AC651))/STDEV(Rankings!AC2:AC651)</f>
        <v>0.84661927190288777</v>
      </c>
      <c r="W465" s="118">
        <f>(VLOOKUP($A465,Pitchers!$A1:$S251,5,FALSE)-AVERAGE(Rankings!AD2:AD651))/STDEV(Rankings!AD2:AD651)*-1</f>
        <v>-0.48432782402079511</v>
      </c>
      <c r="X465" s="118">
        <f>(VLOOKUP($A465,Pitchers!$A1:$S251,6,FALSE)-AVERAGE(Rankings!AE2:AE651))/STDEV(Rankings!AE2:AE651)*-1</f>
        <v>-0.25695815561707758</v>
      </c>
      <c r="Y465" s="118">
        <f>(VLOOKUP($A465,Pitchers!$A1:$S251,7,FALSE)-AVERAGE(Rankings!AF2:AF651))/STDEV(Rankings!AF2:AF651)</f>
        <v>0.83654920134053656</v>
      </c>
      <c r="Z465" s="118">
        <f>(VLOOKUP($A465,Pitchers!$A1:$S251,8,FALSE)-AVERAGE(Rankings!AG2:AG651))/STDEV(Rankings!AG2:AG651)</f>
        <v>0.62166026399100427</v>
      </c>
      <c r="AA465" s="118">
        <f>(VLOOKUP($A465,Pitchers!$A1:$S251,9,FALSE)-AVERAGE(Rankings!AH2:AH651))/STDEV(Rankings!AH2:AH651)</f>
        <v>-0.48271287499720011</v>
      </c>
      <c r="AB465" s="118">
        <f>(VLOOKUP($A465,Pitchers!$A1:$S251,10,FALSE)-AVERAGE(Rankings!AI2:AI651))/STDEV(Rankings!AI2:AI651)*-1</f>
        <v>-0.93785553060539961</v>
      </c>
      <c r="AC465" s="118">
        <f>(VLOOKUP($A465,Pitchers!$A1:$S251,11,FALSE)-AVERAGE(Rankings!AJ2:AJ651))/STDEV(Rankings!AJ2:AJ651)*-1</f>
        <v>-0.81879507159535014</v>
      </c>
      <c r="AD465" s="118">
        <f>(VLOOKUP($A465,Pitchers!$A1:$S251,12,FALSE)-AVERAGE(Rankings!AK2:AK651))/STDEV(Rankings!AK2:AK651)*-1</f>
        <v>-1.0821592927992429</v>
      </c>
      <c r="AE465" s="118">
        <f>IFERROR((VLOOKUP($A465,Pitchers!$A1:$S251,13,FALSE)-AVERAGE(Rankings!AL2:AL651))/STDEV(Rankings!AL2:AL651)*-1,0)</f>
        <v>-0.95935168495958423</v>
      </c>
      <c r="AF465" s="118">
        <f>(VLOOKUP($A465,Pitchers!$A1:$S251,14,FALSE)-AVERAGE(Rankings!AM2:AM651))/STDEV(Rankings!AM2:AM651)</f>
        <v>-0.77058196945988178</v>
      </c>
      <c r="AG465" s="118">
        <f>(VLOOKUP($A465,Pitchers!$A1:$S251,15,FALSE)-AVERAGE(Rankings!AN2:AN651))/STDEV(Rankings!AN2:AN651)</f>
        <v>0.94932867613281458</v>
      </c>
      <c r="AH465" s="118">
        <f>(VLOOKUP($A465,Pitchers!$A1:$S251,16,FALSE)-AVERAGE(Rankings!AO2:AO651))/STDEV(Rankings!AO2:AO651)*-1</f>
        <v>-0.81370705426329704</v>
      </c>
      <c r="AI465" s="118">
        <f>IFERROR((VLOOKUP($A465,Pitchers!$A1:$S251,17,FALSE)-AVERAGE(Rankings!AP2:AP651))/STDEV(Rankings!AP2:AP651),0)</f>
        <v>0.78952182260990256</v>
      </c>
      <c r="AJ465" s="118">
        <f>(VLOOKUP($A465,Pitchers!$A1:$S251,18,FALSE)-AVERAGE(Rankings!AQ2:AQ651))/STDEV(Rankings!AQ2:AQ651)</f>
        <v>-0.69471541349839372</v>
      </c>
      <c r="AK465" s="118">
        <f>IFERROR((VLOOKUP($A465,Pitchers!$A1:$S251,19,FALSE)-AVERAGE(Rankings!AR2:AR651))/STDEV(Rankings!AR2:AR651)*-1,0)</f>
        <v>0.47686441955275594</v>
      </c>
    </row>
    <row r="466" spans="1:37" ht="18.600000000000001" customHeight="1">
      <c r="A466" s="26" t="s">
        <v>278</v>
      </c>
      <c r="B466" s="27" t="s">
        <v>101</v>
      </c>
      <c r="C466" s="127" t="s">
        <v>31</v>
      </c>
      <c r="D466" s="67">
        <f>(V466*Settings!$G$2)+(Y466*Settings!$G$5)+(Z466*Settings!$G$6)+(AA466*Settings!$G$7)+(AB466*Settings!$G$8)+(AC466*Settings!$G$9)+(AD466*Settings!$G$10)+(AE466*Settings!$G$11)+(AF466*Settings!$G$12)+(AG466*Settings!$G$13)+(AH466*Settings!$G$14)+(AI466*Settings!$G$15)+(AJ466*Settings!$G$16)+(AK466*Settings!$G$17)+(W466*Settings!$G$3)+(X466*Settings!$G$4)</f>
        <v>1.8515048599229551</v>
      </c>
      <c r="E466" s="67"/>
      <c r="F466" s="67"/>
      <c r="G466" s="67"/>
      <c r="H466" s="67"/>
      <c r="I466" s="67"/>
      <c r="J466" s="67"/>
      <c r="K466" s="72"/>
      <c r="L466" s="72"/>
      <c r="M466" s="67"/>
      <c r="N466" s="67"/>
      <c r="O466" s="67"/>
      <c r="P466" s="67"/>
      <c r="Q466" s="67"/>
      <c r="R466" s="72"/>
      <c r="S466" s="72"/>
      <c r="T466" s="67"/>
      <c r="U466" s="67"/>
      <c r="V466" s="118">
        <f>(VLOOKUP($A466,Pitchers!$A1:$S251,4,FALSE)-AVERAGE(Rankings!AC2:AC651))/STDEV(Rankings!AC2:AC651)</f>
        <v>0.91820427903664248</v>
      </c>
      <c r="W466" s="118">
        <f>(VLOOKUP($A466,Pitchers!$A1:$S251,5,FALSE)-AVERAGE(Rankings!AD2:AD651))/STDEV(Rankings!AD2:AD651)*-1</f>
        <v>0.428732858441911</v>
      </c>
      <c r="X466" s="118">
        <f>(VLOOKUP($A466,Pitchers!$A1:$S251,6,FALSE)-AVERAGE(Rankings!AE2:AE651))/STDEV(Rankings!AE2:AE651)*-1</f>
        <v>0.42987705246068014</v>
      </c>
      <c r="Y466" s="118">
        <f>(VLOOKUP($A466,Pitchers!$A1:$S251,7,FALSE)-AVERAGE(Rankings!AF2:AF651))/STDEV(Rankings!AF2:AF651)</f>
        <v>0.56440378288976756</v>
      </c>
      <c r="Z466" s="118">
        <f>(VLOOKUP($A466,Pitchers!$A1:$S251,8,FALSE)-AVERAGE(Rankings!AG2:AG651))/STDEV(Rankings!AG2:AG651)</f>
        <v>0.91120404112779663</v>
      </c>
      <c r="AA466" s="118">
        <f>(VLOOKUP($A466,Pitchers!$A1:$S251,9,FALSE)-AVERAGE(Rankings!AH2:AH651))/STDEV(Rankings!AH2:AH651)</f>
        <v>-0.48271287499720011</v>
      </c>
      <c r="AB466" s="118">
        <f>(VLOOKUP($A466,Pitchers!$A1:$S251,10,FALSE)-AVERAGE(Rankings!AI2:AI651))/STDEV(Rankings!AI2:AI651)*-1</f>
        <v>-0.68330885309547673</v>
      </c>
      <c r="AC466" s="118">
        <f>(VLOOKUP($A466,Pitchers!$A1:$S251,11,FALSE)-AVERAGE(Rankings!AJ2:AJ651))/STDEV(Rankings!AJ2:AJ651)*-1</f>
        <v>-0.86377824325653541</v>
      </c>
      <c r="AD466" s="118">
        <f>(VLOOKUP($A466,Pitchers!$A1:$S251,12,FALSE)-AVERAGE(Rankings!AK2:AK651))/STDEV(Rankings!AK2:AK651)*-1</f>
        <v>-0.53620080437886497</v>
      </c>
      <c r="AE466" s="118">
        <f>IFERROR((VLOOKUP($A466,Pitchers!$A1:$S251,13,FALSE)-AVERAGE(Rankings!AL2:AL651))/STDEV(Rankings!AL2:AL651)*-1,0)</f>
        <v>-0.52470684840587878</v>
      </c>
      <c r="AF466" s="118">
        <f>(VLOOKUP($A466,Pitchers!$A1:$S251,14,FALSE)-AVERAGE(Rankings!AM2:AM651))/STDEV(Rankings!AM2:AM651)</f>
        <v>-0.63508795950073416</v>
      </c>
      <c r="AG466" s="118">
        <f>(VLOOKUP($A466,Pitchers!$A1:$S251,15,FALSE)-AVERAGE(Rankings!AN2:AN651))/STDEV(Rankings!AN2:AN651)</f>
        <v>1.0890653837928885</v>
      </c>
      <c r="AH466" s="118">
        <f>(VLOOKUP($A466,Pitchers!$A1:$S251,16,FALSE)-AVERAGE(Rankings!AO2:AO651))/STDEV(Rankings!AO2:AO651)*-1</f>
        <v>-0.72402104269973799</v>
      </c>
      <c r="AI466" s="118">
        <f>IFERROR((VLOOKUP($A466,Pitchers!$A1:$S251,17,FALSE)-AVERAGE(Rankings!AP2:AP651))/STDEV(Rankings!AP2:AP651),0)</f>
        <v>0.92546252358226566</v>
      </c>
      <c r="AJ466" s="118">
        <f>(VLOOKUP($A466,Pitchers!$A1:$S251,18,FALSE)-AVERAGE(Rankings!AQ2:AQ651))/STDEV(Rankings!AQ2:AQ651)</f>
        <v>-0.69471541349839372</v>
      </c>
      <c r="AK466" s="118">
        <f>IFERROR((VLOOKUP($A466,Pitchers!$A1:$S251,19,FALSE)-AVERAGE(Rankings!AR2:AR651))/STDEV(Rankings!AR2:AR651)*-1,0)</f>
        <v>0.47686441955275594</v>
      </c>
    </row>
    <row r="467" spans="1:37" ht="18.600000000000001" customHeight="1">
      <c r="A467" s="26" t="s">
        <v>353</v>
      </c>
      <c r="B467" s="27" t="s">
        <v>84</v>
      </c>
      <c r="C467" s="127" t="s">
        <v>31</v>
      </c>
      <c r="D467" s="67">
        <f>(V467*Settings!$G$2)+(Y467*Settings!$G$5)+(Z467*Settings!$G$6)+(AA467*Settings!$G$7)+(AB467*Settings!$G$8)+(AC467*Settings!$G$9)+(AD467*Settings!$G$10)+(AE467*Settings!$G$11)+(AF467*Settings!$G$12)+(AG467*Settings!$G$13)+(AH467*Settings!$G$14)+(AI467*Settings!$G$15)+(AJ467*Settings!$G$16)+(AK467*Settings!$G$17)+(W467*Settings!$G$3)+(X467*Settings!$G$4)</f>
        <v>2.6095417193948207</v>
      </c>
      <c r="E467" s="67"/>
      <c r="F467" s="67"/>
      <c r="G467" s="67"/>
      <c r="H467" s="67"/>
      <c r="I467" s="67"/>
      <c r="J467" s="67"/>
      <c r="K467" s="72"/>
      <c r="L467" s="72"/>
      <c r="M467" s="67"/>
      <c r="N467" s="67"/>
      <c r="O467" s="67"/>
      <c r="P467" s="67"/>
      <c r="Q467" s="67"/>
      <c r="R467" s="72"/>
      <c r="S467" s="72"/>
      <c r="T467" s="67"/>
      <c r="U467" s="67"/>
      <c r="V467" s="118">
        <f>(VLOOKUP($A467,Pitchers!$A1:$S251,4,FALSE)-AVERAGE(Rankings!AC2:AC651))/STDEV(Rankings!AC2:AC651)</f>
        <v>1.1719931731277997</v>
      </c>
      <c r="W467" s="118">
        <f>(VLOOKUP($A467,Pitchers!$A1:$S251,5,FALSE)-AVERAGE(Rankings!AD2:AD651))/STDEV(Rankings!AD2:AD651)*-1</f>
        <v>0.33416891292822493</v>
      </c>
      <c r="X467" s="118">
        <f>(VLOOKUP($A467,Pitchers!$A1:$S251,6,FALSE)-AVERAGE(Rankings!AE2:AE651))/STDEV(Rankings!AE2:AE651)*-1</f>
        <v>0.69651501182521536</v>
      </c>
      <c r="Y467" s="118">
        <f>(VLOOKUP($A467,Pitchers!$A1:$S251,7,FALSE)-AVERAGE(Rankings!AF2:AF651))/STDEV(Rankings!AF2:AF651)</f>
        <v>1.3717446302416905</v>
      </c>
      <c r="Z467" s="118">
        <f>(VLOOKUP($A467,Pitchers!$A1:$S251,8,FALSE)-AVERAGE(Rankings!AG2:AG651))/STDEV(Rankings!AG2:AG651)</f>
        <v>0.68982603939689024</v>
      </c>
      <c r="AA467" s="118">
        <f>(VLOOKUP($A467,Pitchers!$A1:$S251,9,FALSE)-AVERAGE(Rankings!AH2:AH651))/STDEV(Rankings!AH2:AH651)</f>
        <v>-0.48271287499720011</v>
      </c>
      <c r="AB467" s="118">
        <f>(VLOOKUP($A467,Pitchers!$A1:$S251,10,FALSE)-AVERAGE(Rankings!AI2:AI651))/STDEV(Rankings!AI2:AI651)*-1</f>
        <v>-0.9448697138531611</v>
      </c>
      <c r="AC467" s="118">
        <f>(VLOOKUP($A467,Pitchers!$A1:$S251,11,FALSE)-AVERAGE(Rankings!AJ2:AJ651))/STDEV(Rankings!AJ2:AJ651)*-1</f>
        <v>-0.84444916792048541</v>
      </c>
      <c r="AD467" s="118">
        <f>(VLOOKUP($A467,Pitchers!$A1:$S251,12,FALSE)-AVERAGE(Rankings!AK2:AK651))/STDEV(Rankings!AK2:AK651)*-1</f>
        <v>-1.3373983241615146</v>
      </c>
      <c r="AE467" s="118">
        <f>IFERROR((VLOOKUP($A467,Pitchers!$A1:$S251,13,FALSE)-AVERAGE(Rankings!AL2:AL651))/STDEV(Rankings!AL2:AL651)*-1,0)</f>
        <v>-0.93520474959548927</v>
      </c>
      <c r="AF467" s="118">
        <f>(VLOOKUP($A467,Pitchers!$A1:$S251,14,FALSE)-AVERAGE(Rankings!AM2:AM651))/STDEV(Rankings!AM2:AM651)</f>
        <v>-0.73933864481047806</v>
      </c>
      <c r="AG467" s="118">
        <f>(VLOOKUP($A467,Pitchers!$A1:$S251,15,FALSE)-AVERAGE(Rankings!AN2:AN651))/STDEV(Rankings!AN2:AN651)</f>
        <v>0.96144606591145609</v>
      </c>
      <c r="AH467" s="118">
        <f>(VLOOKUP($A467,Pitchers!$A1:$S251,16,FALSE)-AVERAGE(Rankings!AO2:AO651))/STDEV(Rankings!AO2:AO651)*-1</f>
        <v>-0.8746475493000736</v>
      </c>
      <c r="AI467" s="118">
        <f>IFERROR((VLOOKUP($A467,Pitchers!$A1:$S251,17,FALSE)-AVERAGE(Rankings!AP2:AP651))/STDEV(Rankings!AP2:AP651),0)</f>
        <v>0.51764042066517624</v>
      </c>
      <c r="AJ467" s="118">
        <f>(VLOOKUP($A467,Pitchers!$A1:$S251,18,FALSE)-AVERAGE(Rankings!AQ2:AQ651))/STDEV(Rankings!AQ2:AQ651)</f>
        <v>-0.69471541349839372</v>
      </c>
      <c r="AK467" s="118">
        <f>IFERROR((VLOOKUP($A467,Pitchers!$A1:$S251,19,FALSE)-AVERAGE(Rankings!AR2:AR651))/STDEV(Rankings!AR2:AR651)*-1,0)</f>
        <v>0.47686441955275594</v>
      </c>
    </row>
    <row r="468" spans="1:37" ht="18.600000000000001" customHeight="1">
      <c r="A468" s="26" t="s">
        <v>281</v>
      </c>
      <c r="B468" s="27" t="s">
        <v>84</v>
      </c>
      <c r="C468" s="127" t="s">
        <v>31</v>
      </c>
      <c r="D468" s="67">
        <f>(V468*Settings!$G$2)+(Y468*Settings!$G$5)+(Z468*Settings!$G$6)+(AA468*Settings!$G$7)+(AB468*Settings!$G$8)+(AC468*Settings!$G$9)+(AD468*Settings!$G$10)+(AE468*Settings!$G$11)+(AF468*Settings!$G$12)+(AG468*Settings!$G$13)+(AH468*Settings!$G$14)+(AI468*Settings!$G$15)+(AJ468*Settings!$G$16)+(AK468*Settings!$G$17)+(W468*Settings!$G$3)+(X468*Settings!$G$4)</f>
        <v>-1.5940658613001479E-2</v>
      </c>
      <c r="E468" s="67"/>
      <c r="F468" s="67"/>
      <c r="G468" s="67"/>
      <c r="H468" s="67"/>
      <c r="I468" s="67"/>
      <c r="J468" s="67"/>
      <c r="K468" s="72"/>
      <c r="L468" s="72"/>
      <c r="M468" s="67"/>
      <c r="N468" s="67"/>
      <c r="O468" s="67"/>
      <c r="P468" s="67"/>
      <c r="Q468" s="67"/>
      <c r="R468" s="72"/>
      <c r="S468" s="72"/>
      <c r="T468" s="67"/>
      <c r="U468" s="67"/>
      <c r="V468" s="118">
        <f>(VLOOKUP($A468,Pitchers!$A1:$S251,4,FALSE)-AVERAGE(Rankings!AC2:AC651))/STDEV(Rankings!AC2:AC651)</f>
        <v>1.2210604004175609</v>
      </c>
      <c r="W468" s="118">
        <f>(VLOOKUP($A468,Pitchers!$A1:$S251,5,FALSE)-AVERAGE(Rankings!AD2:AD651))/STDEV(Rankings!AD2:AD651)*-1</f>
        <v>-0.83944725760063366</v>
      </c>
      <c r="X468" s="118">
        <f>(VLOOKUP($A468,Pitchers!$A1:$S251,6,FALSE)-AVERAGE(Rankings!AE2:AE651))/STDEV(Rankings!AE2:AE651)*-1</f>
        <v>-0.12593931687390963</v>
      </c>
      <c r="Y468" s="118">
        <f>(VLOOKUP($A468,Pitchers!$A1:$S251,7,FALSE)-AVERAGE(Rankings!AF2:AF651))/STDEV(Rankings!AF2:AF651)</f>
        <v>0.4995725607474949</v>
      </c>
      <c r="Z468" s="118">
        <f>(VLOOKUP($A468,Pitchers!$A1:$S251,8,FALSE)-AVERAGE(Rankings!AG2:AG651))/STDEV(Rankings!AG2:AG651)</f>
        <v>0.93258623011124686</v>
      </c>
      <c r="AA468" s="118">
        <f>(VLOOKUP($A468,Pitchers!$A1:$S251,9,FALSE)-AVERAGE(Rankings!AH2:AH651))/STDEV(Rankings!AH2:AH651)</f>
        <v>-0.48271287499720011</v>
      </c>
      <c r="AB468" s="118">
        <f>(VLOOKUP($A468,Pitchers!$A1:$S251,10,FALSE)-AVERAGE(Rankings!AI2:AI651))/STDEV(Rankings!AI2:AI651)*-1</f>
        <v>-1.4456962258062644</v>
      </c>
      <c r="AC468" s="118">
        <f>(VLOOKUP($A468,Pitchers!$A1:$S251,11,FALSE)-AVERAGE(Rankings!AJ2:AJ651))/STDEV(Rankings!AJ2:AJ651)*-1</f>
        <v>-1.4577165947913593</v>
      </c>
      <c r="AD468" s="118">
        <f>(VLOOKUP($A468,Pitchers!$A1:$S251,12,FALSE)-AVERAGE(Rankings!AK2:AK651))/STDEV(Rankings!AK2:AK651)*-1</f>
        <v>-0.40948499832231844</v>
      </c>
      <c r="AE468" s="118">
        <f>IFERROR((VLOOKUP($A468,Pitchers!$A1:$S251,13,FALSE)-AVERAGE(Rankings!AL2:AL651))/STDEV(Rankings!AL2:AL651)*-1,0)</f>
        <v>-1.5823426173532287</v>
      </c>
      <c r="AF468" s="118">
        <f>(VLOOKUP($A468,Pitchers!$A1:$S251,14,FALSE)-AVERAGE(Rankings!AM2:AM651))/STDEV(Rankings!AM2:AM651)</f>
        <v>-0.67947331753441065</v>
      </c>
      <c r="AG468" s="118">
        <f>(VLOOKUP($A468,Pitchers!$A1:$S251,15,FALSE)-AVERAGE(Rankings!AN2:AN651))/STDEV(Rankings!AN2:AN651)</f>
        <v>1.0581273673367839</v>
      </c>
      <c r="AH468" s="118">
        <f>(VLOOKUP($A468,Pitchers!$A1:$S251,16,FALSE)-AVERAGE(Rankings!AO2:AO651))/STDEV(Rankings!AO2:AO651)*-1</f>
        <v>-1.2142279178697863</v>
      </c>
      <c r="AI468" s="118">
        <f>IFERROR((VLOOKUP($A468,Pitchers!$A1:$S251,17,FALSE)-AVERAGE(Rankings!AP2:AP651))/STDEV(Rankings!AP2:AP651),0)</f>
        <v>0.92546252358226566</v>
      </c>
      <c r="AJ468" s="118">
        <f>(VLOOKUP($A468,Pitchers!$A1:$S251,18,FALSE)-AVERAGE(Rankings!AQ2:AQ651))/STDEV(Rankings!AQ2:AQ651)</f>
        <v>-0.69471541349839372</v>
      </c>
      <c r="AK468" s="118">
        <f>IFERROR((VLOOKUP($A468,Pitchers!$A1:$S251,19,FALSE)-AVERAGE(Rankings!AR2:AR651))/STDEV(Rankings!AR2:AR651)*-1,0)</f>
        <v>0.47686441955275594</v>
      </c>
    </row>
    <row r="469" spans="1:37" ht="18.600000000000001" customHeight="1">
      <c r="A469" s="26" t="s">
        <v>274</v>
      </c>
      <c r="B469" s="27" t="s">
        <v>78</v>
      </c>
      <c r="C469" s="127" t="s">
        <v>31</v>
      </c>
      <c r="D469" s="67">
        <f>(V469*Settings!$G$2)+(Y469*Settings!$G$5)+(Z469*Settings!$G$6)+(AA469*Settings!$G$7)+(AB469*Settings!$G$8)+(AC469*Settings!$G$9)+(AD469*Settings!$G$10)+(AE469*Settings!$G$11)+(AF469*Settings!$G$12)+(AG469*Settings!$G$13)+(AH469*Settings!$G$14)+(AI469*Settings!$G$15)+(AJ469*Settings!$G$16)+(AK469*Settings!$G$17)+(W469*Settings!$G$3)+(X469*Settings!$G$4)</f>
        <v>-0.58744158865874663</v>
      </c>
      <c r="E469" s="67"/>
      <c r="F469" s="67"/>
      <c r="G469" s="67"/>
      <c r="H469" s="67"/>
      <c r="I469" s="67"/>
      <c r="J469" s="67"/>
      <c r="K469" s="72"/>
      <c r="L469" s="72"/>
      <c r="M469" s="67"/>
      <c r="N469" s="67"/>
      <c r="O469" s="67"/>
      <c r="P469" s="67"/>
      <c r="Q469" s="67"/>
      <c r="R469" s="72"/>
      <c r="S469" s="72"/>
      <c r="T469" s="67"/>
      <c r="U469" s="67"/>
      <c r="V469" s="118">
        <f>(VLOOKUP($A469,Pitchers!$A1:$S251,4,FALSE)-AVERAGE(Rankings!AC2:AC651))/STDEV(Rankings!AC2:AC651)</f>
        <v>-0.12720598474299843</v>
      </c>
      <c r="W469" s="118">
        <f>(VLOOKUP($A469,Pitchers!$A1:$S251,5,FALSE)-AVERAGE(Rankings!AD2:AD651))/STDEV(Rankings!AD2:AD651)*-1</f>
        <v>0.41802948901883752</v>
      </c>
      <c r="X469" s="118">
        <f>(VLOOKUP($A469,Pitchers!$A1:$S251,6,FALSE)-AVERAGE(Rankings!AE2:AE651))/STDEV(Rankings!AE2:AE651)*-1</f>
        <v>-0.56490213967763925</v>
      </c>
      <c r="Y469" s="118">
        <f>(VLOOKUP($A469,Pitchers!$A1:$S251,7,FALSE)-AVERAGE(Rankings!AF2:AF651))/STDEV(Rankings!AF2:AF651)</f>
        <v>-1.9359244545737442E-2</v>
      </c>
      <c r="Z469" s="118">
        <f>(VLOOKUP($A469,Pitchers!$A1:$S251,8,FALSE)-AVERAGE(Rankings!AG2:AG651))/STDEV(Rankings!AG2:AG651)</f>
        <v>6.1503181542992655E-2</v>
      </c>
      <c r="AA469" s="118">
        <f>(VLOOKUP($A469,Pitchers!$A1:$S251,9,FALSE)-AVERAGE(Rankings!AH2:AH651))/STDEV(Rankings!AH2:AH651)</f>
        <v>-0.48271287499720011</v>
      </c>
      <c r="AB469" s="118">
        <f>(VLOOKUP($A469,Pitchers!$A1:$S251,10,FALSE)-AVERAGE(Rankings!AI2:AI651))/STDEV(Rankings!AI2:AI651)*-1</f>
        <v>0.24200360409089253</v>
      </c>
      <c r="AC469" s="118">
        <f>(VLOOKUP($A469,Pitchers!$A1:$S251,11,FALSE)-AVERAGE(Rankings!AJ2:AJ651))/STDEV(Rankings!AJ2:AJ651)*-1</f>
        <v>0.21971201266861176</v>
      </c>
      <c r="AD469" s="118">
        <f>(VLOOKUP($A469,Pitchers!$A1:$S251,12,FALSE)-AVERAGE(Rankings!AK2:AK651))/STDEV(Rankings!AK2:AK651)*-1</f>
        <v>-0.5900697563489512</v>
      </c>
      <c r="AE469" s="118">
        <f>IFERROR((VLOOKUP($A469,Pitchers!$A1:$S251,13,FALSE)-AVERAGE(Rankings!AL2:AL651))/STDEV(Rankings!AL2:AL651)*-1,0)</f>
        <v>0.5763934041968416</v>
      </c>
      <c r="AF469" s="118">
        <f>(VLOOKUP($A469,Pitchers!$A1:$S251,14,FALSE)-AVERAGE(Rankings!AM2:AM651))/STDEV(Rankings!AM2:AM651)</f>
        <v>-0.24103949759601481</v>
      </c>
      <c r="AG469" s="118">
        <f>(VLOOKUP($A469,Pitchers!$A1:$S251,15,FALSE)-AVERAGE(Rankings!AN2:AN651))/STDEV(Rankings!AN2:AN651)</f>
        <v>-9.4442654055023334E-2</v>
      </c>
      <c r="AH469" s="118">
        <f>(VLOOKUP($A469,Pitchers!$A1:$S251,16,FALSE)-AVERAGE(Rankings!AO2:AO651))/STDEV(Rankings!AO2:AO651)*-1</f>
        <v>0.37923188159813853</v>
      </c>
      <c r="AI469" s="118">
        <f>IFERROR((VLOOKUP($A469,Pitchers!$A1:$S251,17,FALSE)-AVERAGE(Rankings!AP2:AP651))/STDEV(Rankings!AP2:AP651),0)</f>
        <v>-0.43394448614136572</v>
      </c>
      <c r="AJ469" s="118">
        <f>(VLOOKUP($A469,Pitchers!$A1:$S251,18,FALSE)-AVERAGE(Rankings!AQ2:AQ651))/STDEV(Rankings!AQ2:AQ651)</f>
        <v>-0.69471541349839372</v>
      </c>
      <c r="AK469" s="118">
        <f>IFERROR((VLOOKUP($A469,Pitchers!$A1:$S251,19,FALSE)-AVERAGE(Rankings!AR2:AR651))/STDEV(Rankings!AR2:AR651)*-1,0)</f>
        <v>0.47686441955275594</v>
      </c>
    </row>
    <row r="470" spans="1:37" ht="18.600000000000001" customHeight="1">
      <c r="A470" s="26" t="s">
        <v>375</v>
      </c>
      <c r="B470" s="27" t="s">
        <v>217</v>
      </c>
      <c r="C470" s="127" t="s">
        <v>31</v>
      </c>
      <c r="D470" s="67">
        <f>(V470*Settings!$G$2)+(Y470*Settings!$G$5)+(Z470*Settings!$G$6)+(AA470*Settings!$G$7)+(AB470*Settings!$G$8)+(AC470*Settings!$G$9)+(AD470*Settings!$G$10)+(AE470*Settings!$G$11)+(AF470*Settings!$G$12)+(AG470*Settings!$G$13)+(AH470*Settings!$G$14)+(AI470*Settings!$G$15)+(AJ470*Settings!$G$16)+(AK470*Settings!$G$17)+(W470*Settings!$G$3)+(X470*Settings!$G$4)</f>
        <v>-0.42108042920378974</v>
      </c>
      <c r="E470" s="67"/>
      <c r="F470" s="67"/>
      <c r="G470" s="67"/>
      <c r="H470" s="67"/>
      <c r="I470" s="67"/>
      <c r="J470" s="67"/>
      <c r="K470" s="72"/>
      <c r="L470" s="72"/>
      <c r="M470" s="67"/>
      <c r="N470" s="67"/>
      <c r="O470" s="67"/>
      <c r="P470" s="67"/>
      <c r="Q470" s="67"/>
      <c r="R470" s="72"/>
      <c r="S470" s="72"/>
      <c r="T470" s="67"/>
      <c r="U470" s="67"/>
      <c r="V470" s="118">
        <f>(VLOOKUP($A470,Pitchers!$A1:$S251,4,FALSE)-AVERAGE(Rankings!AC2:AC651))/STDEV(Rankings!AC2:AC651)</f>
        <v>0.90842290366188594</v>
      </c>
      <c r="W470" s="118">
        <f>(VLOOKUP($A470,Pitchers!$A1:$S251,5,FALSE)-AVERAGE(Rankings!AD2:AD651))/STDEV(Rankings!AD2:AD651)*-1</f>
        <v>-0.79935852747949954</v>
      </c>
      <c r="X470" s="118">
        <f>(VLOOKUP($A470,Pitchers!$A1:$S251,6,FALSE)-AVERAGE(Rankings!AE2:AE651))/STDEV(Rankings!AE2:AE651)*-1</f>
        <v>-0.54541689390773584</v>
      </c>
      <c r="Y470" s="118">
        <f>(VLOOKUP($A470,Pitchers!$A1:$S251,7,FALSE)-AVERAGE(Rankings!AF2:AF651))/STDEV(Rankings!AF2:AF651)</f>
        <v>0.77960301636655538</v>
      </c>
      <c r="Z470" s="118">
        <f>(VLOOKUP($A470,Pitchers!$A1:$S251,8,FALSE)-AVERAGE(Rankings!AG2:AG651))/STDEV(Rankings!AG2:AG651)</f>
        <v>0.62680485081409021</v>
      </c>
      <c r="AA470" s="118">
        <f>(VLOOKUP($A470,Pitchers!$A1:$S251,9,FALSE)-AVERAGE(Rankings!AH2:AH651))/STDEV(Rankings!AH2:AH651)</f>
        <v>-0.48271287499720011</v>
      </c>
      <c r="AB470" s="118">
        <f>(VLOOKUP($A470,Pitchers!$A1:$S251,10,FALSE)-AVERAGE(Rankings!AI2:AI651))/STDEV(Rankings!AI2:AI651)*-1</f>
        <v>-1.1107358036261474</v>
      </c>
      <c r="AC470" s="118">
        <f>(VLOOKUP($A470,Pitchers!$A1:$S251,11,FALSE)-AVERAGE(Rankings!AJ2:AJ651))/STDEV(Rankings!AJ2:AJ651)*-1</f>
        <v>-1.1287683017097259</v>
      </c>
      <c r="AD470" s="118">
        <f>(VLOOKUP($A470,Pitchers!$A1:$S251,12,FALSE)-AVERAGE(Rankings!AK2:AK651))/STDEV(Rankings!AK2:AK651)*-1</f>
        <v>-0.60837969917758616</v>
      </c>
      <c r="AE470" s="118">
        <f>IFERROR((VLOOKUP($A470,Pitchers!$A1:$S251,13,FALSE)-AVERAGE(Rankings!AL2:AL651))/STDEV(Rankings!AL2:AL651)*-1,0)</f>
        <v>-1.1573565549451605</v>
      </c>
      <c r="AF470" s="118">
        <f>(VLOOKUP($A470,Pitchers!$A1:$S251,14,FALSE)-AVERAGE(Rankings!AM2:AM651))/STDEV(Rankings!AM2:AM651)</f>
        <v>-0.75882144362813331</v>
      </c>
      <c r="AG470" s="118">
        <f>(VLOOKUP($A470,Pitchers!$A1:$S251,15,FALSE)-AVERAGE(Rankings!AN2:AN651))/STDEV(Rankings!AN2:AN651)</f>
        <v>0.96273514993046039</v>
      </c>
      <c r="AH470" s="118">
        <f>(VLOOKUP($A470,Pitchers!$A1:$S251,16,FALSE)-AVERAGE(Rankings!AO2:AO651))/STDEV(Rankings!AO2:AO651)*-1</f>
        <v>-1.0222078674708854</v>
      </c>
      <c r="AI470" s="118">
        <f>IFERROR((VLOOKUP($A470,Pitchers!$A1:$S251,17,FALSE)-AVERAGE(Rankings!AP2:AP651))/STDEV(Rankings!AP2:AP651),0)</f>
        <v>0.65358112163753934</v>
      </c>
      <c r="AJ470" s="118">
        <f>(VLOOKUP($A470,Pitchers!$A1:$S251,18,FALSE)-AVERAGE(Rankings!AQ2:AQ651))/STDEV(Rankings!AQ2:AQ651)</f>
        <v>-0.69471541349839372</v>
      </c>
      <c r="AK470" s="118">
        <f>IFERROR((VLOOKUP($A470,Pitchers!$A1:$S251,19,FALSE)-AVERAGE(Rankings!AR2:AR651))/STDEV(Rankings!AR2:AR651)*-1,0)</f>
        <v>0.47686441955275594</v>
      </c>
    </row>
    <row r="471" spans="1:37" ht="18.600000000000001" customHeight="1">
      <c r="A471" s="26" t="s">
        <v>316</v>
      </c>
      <c r="B471" s="27" t="s">
        <v>158</v>
      </c>
      <c r="C471" s="127" t="s">
        <v>31</v>
      </c>
      <c r="D471" s="67">
        <f>(V471*Settings!$G$2)+(Y471*Settings!$G$5)+(Z471*Settings!$G$6)+(AA471*Settings!$G$7)+(AB471*Settings!$G$8)+(AC471*Settings!$G$9)+(AD471*Settings!$G$10)+(AE471*Settings!$G$11)+(AF471*Settings!$G$12)+(AG471*Settings!$G$13)+(AH471*Settings!$G$14)+(AI471*Settings!$G$15)+(AJ471*Settings!$G$16)+(AK471*Settings!$G$17)+(W471*Settings!$G$3)+(X471*Settings!$G$4)</f>
        <v>0.28316365725441572</v>
      </c>
      <c r="E471" s="67"/>
      <c r="F471" s="67"/>
      <c r="G471" s="67"/>
      <c r="H471" s="67"/>
      <c r="I471" s="67"/>
      <c r="J471" s="67"/>
      <c r="K471" s="72"/>
      <c r="L471" s="72"/>
      <c r="M471" s="67"/>
      <c r="N471" s="67"/>
      <c r="O471" s="67"/>
      <c r="P471" s="67"/>
      <c r="Q471" s="67"/>
      <c r="R471" s="72"/>
      <c r="S471" s="72"/>
      <c r="T471" s="67"/>
      <c r="U471" s="67"/>
      <c r="V471" s="118">
        <f>(VLOOKUP($A471,Pitchers!$A1:$S251,4,FALSE)-AVERAGE(Rankings!AC2:AC651))/STDEV(Rankings!AC2:AC651)</f>
        <v>1.11900881424768</v>
      </c>
      <c r="W471" s="118">
        <f>(VLOOKUP($A471,Pitchers!$A1:$S251,5,FALSE)-AVERAGE(Rankings!AD2:AD651))/STDEV(Rankings!AD2:AD651)*-1</f>
        <v>-0.15189798718202227</v>
      </c>
      <c r="X471" s="118">
        <f>(VLOOKUP($A471,Pitchers!$A1:$S251,6,FALSE)-AVERAGE(Rankings!AE2:AE651))/STDEV(Rankings!AE2:AE651)*-1</f>
        <v>-0.41257321258838509</v>
      </c>
      <c r="Y471" s="118">
        <f>(VLOOKUP($A471,Pitchers!$A1:$S251,7,FALSE)-AVERAGE(Rankings!AF2:AF651))/STDEV(Rankings!AF2:AF651)</f>
        <v>0.53087768595811902</v>
      </c>
      <c r="Z471" s="118">
        <f>(VLOOKUP($A471,Pitchers!$A1:$S251,8,FALSE)-AVERAGE(Rankings!AG2:AG651))/STDEV(Rankings!AG2:AG651)</f>
        <v>0.79947004606390404</v>
      </c>
      <c r="AA471" s="118">
        <f>(VLOOKUP($A471,Pitchers!$A1:$S251,9,FALSE)-AVERAGE(Rankings!AH2:AH651))/STDEV(Rankings!AH2:AH651)</f>
        <v>-0.48271287499720011</v>
      </c>
      <c r="AB471" s="118">
        <f>(VLOOKUP($A471,Pitchers!$A1:$S251,10,FALSE)-AVERAGE(Rankings!AI2:AI651))/STDEV(Rankings!AI2:AI651)*-1</f>
        <v>-1.0810624073946955</v>
      </c>
      <c r="AC471" s="118">
        <f>(VLOOKUP($A471,Pitchers!$A1:$S251,11,FALSE)-AVERAGE(Rankings!AJ2:AJ651))/STDEV(Rankings!AJ2:AJ651)*-1</f>
        <v>-1.3421197559684406</v>
      </c>
      <c r="AD471" s="118">
        <f>(VLOOKUP($A471,Pitchers!$A1:$S251,12,FALSE)-AVERAGE(Rankings!AK2:AK651))/STDEV(Rankings!AK2:AK651)*-1</f>
        <v>-0.67328962525678471</v>
      </c>
      <c r="AE471" s="118">
        <f>IFERROR((VLOOKUP($A471,Pitchers!$A1:$S251,13,FALSE)-AVERAGE(Rankings!AL2:AL651))/STDEV(Rankings!AL2:AL651)*-1,0)</f>
        <v>-0.6261239769350766</v>
      </c>
      <c r="AF471" s="118">
        <f>(VLOOKUP($A471,Pitchers!$A1:$S251,14,FALSE)-AVERAGE(Rankings!AM2:AM651))/STDEV(Rankings!AM2:AM651)</f>
        <v>-0.67097173259579745</v>
      </c>
      <c r="AG471" s="118">
        <f>(VLOOKUP($A471,Pitchers!$A1:$S251,15,FALSE)-AVERAGE(Rankings!AN2:AN651))/STDEV(Rankings!AN2:AN651)</f>
        <v>1.0701588181808244</v>
      </c>
      <c r="AH471" s="118">
        <f>(VLOOKUP($A471,Pitchers!$A1:$S251,16,FALSE)-AVERAGE(Rankings!AO2:AO651))/STDEV(Rankings!AO2:AO651)*-1</f>
        <v>-1.3142623153829864</v>
      </c>
      <c r="AI471" s="118">
        <f>IFERROR((VLOOKUP($A471,Pitchers!$A1:$S251,17,FALSE)-AVERAGE(Rankings!AP2:AP651))/STDEV(Rankings!AP2:AP651),0)</f>
        <v>0.92546252358226566</v>
      </c>
      <c r="AJ471" s="118">
        <f>(VLOOKUP($A471,Pitchers!$A1:$S251,18,FALSE)-AVERAGE(Rankings!AQ2:AQ651))/STDEV(Rankings!AQ2:AQ651)</f>
        <v>-0.69471541349839372</v>
      </c>
      <c r="AK471" s="118">
        <f>IFERROR((VLOOKUP($A471,Pitchers!$A1:$S251,19,FALSE)-AVERAGE(Rankings!AR2:AR651))/STDEV(Rankings!AR2:AR651)*-1,0)</f>
        <v>0.47686441955275594</v>
      </c>
    </row>
    <row r="472" spans="1:37" ht="18.600000000000001" customHeight="1">
      <c r="A472" s="26" t="s">
        <v>350</v>
      </c>
      <c r="B472" s="27" t="s">
        <v>95</v>
      </c>
      <c r="C472" s="127" t="s">
        <v>31</v>
      </c>
      <c r="D472" s="67">
        <f>(V472*Settings!$G$2)+(Y472*Settings!$G$5)+(Z472*Settings!$G$6)+(AA472*Settings!$G$7)+(AB472*Settings!$G$8)+(AC472*Settings!$G$9)+(AD472*Settings!$G$10)+(AE472*Settings!$G$11)+(AF472*Settings!$G$12)+(AG472*Settings!$G$13)+(AH472*Settings!$G$14)+(AI472*Settings!$G$15)+(AJ472*Settings!$G$16)+(AK472*Settings!$G$17)+(W472*Settings!$G$3)+(X472*Settings!$G$4)</f>
        <v>-2.5211491926456446</v>
      </c>
      <c r="E472" s="67"/>
      <c r="F472" s="67"/>
      <c r="G472" s="67"/>
      <c r="H472" s="67"/>
      <c r="I472" s="67"/>
      <c r="J472" s="67"/>
      <c r="K472" s="72"/>
      <c r="L472" s="72"/>
      <c r="M472" s="67"/>
      <c r="N472" s="67"/>
      <c r="O472" s="67"/>
      <c r="P472" s="67"/>
      <c r="Q472" s="67"/>
      <c r="R472" s="72"/>
      <c r="S472" s="72"/>
      <c r="T472" s="67"/>
      <c r="U472" s="67"/>
      <c r="V472" s="118">
        <f>(VLOOKUP($A472,Pitchers!$A1:$S251,4,FALSE)-AVERAGE(Rankings!AC2:AC651))/STDEV(Rankings!AC2:AC651)</f>
        <v>-0.25128628198813519</v>
      </c>
      <c r="W472" s="118">
        <f>(VLOOKUP($A472,Pitchers!$A1:$S251,5,FALSE)-AVERAGE(Rankings!AD2:AD651))/STDEV(Rankings!AD2:AD651)*-1</f>
        <v>-0.23689546436458406</v>
      </c>
      <c r="X472" s="118">
        <f>(VLOOKUP($A472,Pitchers!$A1:$S251,6,FALSE)-AVERAGE(Rankings!AE2:AE651))/STDEV(Rankings!AE2:AE651)*-1</f>
        <v>-1.0065526657994859</v>
      </c>
      <c r="Y472" s="118">
        <f>(VLOOKUP($A472,Pitchers!$A1:$S251,7,FALSE)-AVERAGE(Rankings!AF2:AF651))/STDEV(Rankings!AF2:AF651)</f>
        <v>-0.45885499968739796</v>
      </c>
      <c r="Z472" s="118">
        <f>(VLOOKUP($A472,Pitchers!$A1:$S251,8,FALSE)-AVERAGE(Rankings!AG2:AG651))/STDEV(Rankings!AG2:AG651)</f>
        <v>-0.33613318779697671</v>
      </c>
      <c r="AA472" s="118">
        <f>(VLOOKUP($A472,Pitchers!$A1:$S251,9,FALSE)-AVERAGE(Rankings!AH2:AH651))/STDEV(Rankings!AH2:AH651)</f>
        <v>-0.48271287499720011</v>
      </c>
      <c r="AB472" s="118">
        <f>(VLOOKUP($A472,Pitchers!$A1:$S251,10,FALSE)-AVERAGE(Rankings!AI2:AI651))/STDEV(Rankings!AI2:AI651)*-1</f>
        <v>0.20252066135361751</v>
      </c>
      <c r="AC472" s="118">
        <f>(VLOOKUP($A472,Pitchers!$A1:$S251,11,FALSE)-AVERAGE(Rankings!AJ2:AJ651))/STDEV(Rankings!AJ2:AJ651)*-1</f>
        <v>7.377395375775006E-2</v>
      </c>
      <c r="AD472" s="118">
        <f>(VLOOKUP($A472,Pitchers!$A1:$S251,12,FALSE)-AVERAGE(Rankings!AK2:AK651))/STDEV(Rankings!AK2:AK651)*-1</f>
        <v>0.14847003890586782</v>
      </c>
      <c r="AE472" s="118">
        <f>IFERROR((VLOOKUP($A472,Pitchers!$A1:$S251,13,FALSE)-AVERAGE(Rankings!AL2:AL651))/STDEV(Rankings!AL2:AL651)*-1,0)</f>
        <v>0.43382989780722625</v>
      </c>
      <c r="AF472" s="118">
        <f>(VLOOKUP($A472,Pitchers!$A1:$S251,14,FALSE)-AVERAGE(Rankings!AM2:AM651))/STDEV(Rankings!AM2:AM651)</f>
        <v>-1.3324177117130702</v>
      </c>
      <c r="AG472" s="118">
        <f>(VLOOKUP($A472,Pitchers!$A1:$S251,15,FALSE)-AVERAGE(Rankings!AN2:AN651))/STDEV(Rankings!AN2:AN651)</f>
        <v>0.25666773836923484</v>
      </c>
      <c r="AH472" s="118">
        <f>(VLOOKUP($A472,Pitchers!$A1:$S251,16,FALSE)-AVERAGE(Rankings!AO2:AO651))/STDEV(Rankings!AO2:AO651)*-1</f>
        <v>0.30732209745474154</v>
      </c>
      <c r="AI472" s="118">
        <f>IFERROR((VLOOKUP($A472,Pitchers!$A1:$S251,17,FALSE)-AVERAGE(Rankings!AP2:AP651))/STDEV(Rankings!AP2:AP651),0)</f>
        <v>0.10438068970919241</v>
      </c>
      <c r="AJ472" s="118">
        <f>(VLOOKUP($A472,Pitchers!$A1:$S251,18,FALSE)-AVERAGE(Rankings!AQ2:AQ651))/STDEV(Rankings!AQ2:AQ651)</f>
        <v>-0.69471541349839372</v>
      </c>
      <c r="AK472" s="118">
        <f>IFERROR((VLOOKUP($A472,Pitchers!$A1:$S251,19,FALSE)-AVERAGE(Rankings!AR2:AR651))/STDEV(Rankings!AR2:AR651)*-1,0)</f>
        <v>0.47686441955275594</v>
      </c>
    </row>
    <row r="473" spans="1:37" ht="18.600000000000001" customHeight="1">
      <c r="A473" s="26" t="s">
        <v>319</v>
      </c>
      <c r="B473" s="27" t="s">
        <v>123</v>
      </c>
      <c r="C473" s="127" t="s">
        <v>31</v>
      </c>
      <c r="D473" s="67">
        <f>(V473*Settings!$G$2)+(Y473*Settings!$G$5)+(Z473*Settings!$G$6)+(AA473*Settings!$G$7)+(AB473*Settings!$G$8)+(AC473*Settings!$G$9)+(AD473*Settings!$G$10)+(AE473*Settings!$G$11)+(AF473*Settings!$G$12)+(AG473*Settings!$G$13)+(AH473*Settings!$G$14)+(AI473*Settings!$G$15)+(AJ473*Settings!$G$16)+(AK473*Settings!$G$17)+(W473*Settings!$G$3)+(X473*Settings!$G$4)</f>
        <v>-5.965900090545128E-2</v>
      </c>
      <c r="E473" s="67"/>
      <c r="F473" s="67"/>
      <c r="G473" s="67"/>
      <c r="H473" s="67"/>
      <c r="I473" s="67"/>
      <c r="J473" s="67"/>
      <c r="K473" s="72"/>
      <c r="L473" s="72"/>
      <c r="M473" s="67"/>
      <c r="N473" s="67"/>
      <c r="O473" s="67"/>
      <c r="P473" s="67"/>
      <c r="Q473" s="67"/>
      <c r="R473" s="72"/>
      <c r="S473" s="72"/>
      <c r="T473" s="67"/>
      <c r="U473" s="67"/>
      <c r="V473" s="118">
        <f>(VLOOKUP($A473,Pitchers!$A1:$S251,4,FALSE)-AVERAGE(Rankings!AC2:AC651))/STDEV(Rankings!AC2:AC651)</f>
        <v>0.72663592778603026</v>
      </c>
      <c r="W473" s="118">
        <f>(VLOOKUP($A473,Pitchers!$A1:$S251,5,FALSE)-AVERAGE(Rankings!AD2:AD651))/STDEV(Rankings!AD2:AD651)*-1</f>
        <v>-0.24423521212600272</v>
      </c>
      <c r="X473" s="118">
        <f>(VLOOKUP($A473,Pitchers!$A1:$S251,6,FALSE)-AVERAGE(Rankings!AE2:AE651))/STDEV(Rankings!AE2:AE651)*-1</f>
        <v>-3.1734110635909883E-2</v>
      </c>
      <c r="Y473" s="118">
        <f>(VLOOKUP($A473,Pitchers!$A1:$S251,7,FALSE)-AVERAGE(Rankings!AF2:AF651))/STDEV(Rankings!AF2:AF651)</f>
        <v>-8.5720469429159937E-2</v>
      </c>
      <c r="Z473" s="118">
        <f>(VLOOKUP($A473,Pitchers!$A1:$S251,8,FALSE)-AVERAGE(Rankings!AG2:AG651))/STDEV(Rankings!AG2:AG651)</f>
        <v>0.78474366628282133</v>
      </c>
      <c r="AA473" s="118">
        <f>(VLOOKUP($A473,Pitchers!$A1:$S251,9,FALSE)-AVERAGE(Rankings!AH2:AH651))/STDEV(Rankings!AH2:AH651)</f>
        <v>-0.48271287499720011</v>
      </c>
      <c r="AB473" s="118">
        <f>(VLOOKUP($A473,Pitchers!$A1:$S251,10,FALSE)-AVERAGE(Rankings!AI2:AI651))/STDEV(Rankings!AI2:AI651)*-1</f>
        <v>-0.73891322267224013</v>
      </c>
      <c r="AC473" s="118">
        <f>(VLOOKUP($A473,Pitchers!$A1:$S251,11,FALSE)-AVERAGE(Rankings!AJ2:AJ651))/STDEV(Rankings!AJ2:AJ651)*-1</f>
        <v>-0.82240835783948829</v>
      </c>
      <c r="AD473" s="118">
        <f>(VLOOKUP($A473,Pitchers!$A1:$S251,12,FALSE)-AVERAGE(Rankings!AK2:AK651))/STDEV(Rankings!AK2:AK651)*-1</f>
        <v>-0.34029227445702281</v>
      </c>
      <c r="AE473" s="118">
        <f>IFERROR((VLOOKUP($A473,Pitchers!$A1:$S251,13,FALSE)-AVERAGE(Rankings!AL2:AL651))/STDEV(Rankings!AL2:AL651)*-1,0)</f>
        <v>-0.45371485843544002</v>
      </c>
      <c r="AF473" s="118">
        <f>(VLOOKUP($A473,Pitchers!$A1:$S251,14,FALSE)-AVERAGE(Rankings!AM2:AM651))/STDEV(Rankings!AM2:AM651)</f>
        <v>-0.9636529634157861</v>
      </c>
      <c r="AG473" s="118">
        <f>(VLOOKUP($A473,Pitchers!$A1:$S251,15,FALSE)-AVERAGE(Rankings!AN2:AN651))/STDEV(Rankings!AN2:AN651)</f>
        <v>0.71512789156010104</v>
      </c>
      <c r="AH473" s="118">
        <f>(VLOOKUP($A473,Pitchers!$A1:$S251,16,FALSE)-AVERAGE(Rankings!AO2:AO651))/STDEV(Rankings!AO2:AO651)*-1</f>
        <v>-0.64732800460628481</v>
      </c>
      <c r="AI473" s="118">
        <f>IFERROR((VLOOKUP($A473,Pitchers!$A1:$S251,17,FALSE)-AVERAGE(Rankings!AP2:AP651))/STDEV(Rankings!AP2:AP651),0)</f>
        <v>2.825389716466899E-2</v>
      </c>
      <c r="AJ473" s="118">
        <f>(VLOOKUP($A473,Pitchers!$A1:$S251,18,FALSE)-AVERAGE(Rankings!AQ2:AQ651))/STDEV(Rankings!AQ2:AQ651)</f>
        <v>-0.69471541349839372</v>
      </c>
      <c r="AK473" s="118">
        <f>IFERROR((VLOOKUP($A473,Pitchers!$A1:$S251,19,FALSE)-AVERAGE(Rankings!AR2:AR651))/STDEV(Rankings!AR2:AR651)*-1,0)</f>
        <v>0.47686441955275594</v>
      </c>
    </row>
    <row r="474" spans="1:37" ht="18.600000000000001" customHeight="1">
      <c r="A474" s="26" t="s">
        <v>333</v>
      </c>
      <c r="B474" s="27" t="s">
        <v>158</v>
      </c>
      <c r="C474" s="127" t="s">
        <v>31</v>
      </c>
      <c r="D474" s="67">
        <f>(V474*Settings!$G$2)+(Y474*Settings!$G$5)+(Z474*Settings!$G$6)+(AA474*Settings!$G$7)+(AB474*Settings!$G$8)+(AC474*Settings!$G$9)+(AD474*Settings!$G$10)+(AE474*Settings!$G$11)+(AF474*Settings!$G$12)+(AG474*Settings!$G$13)+(AH474*Settings!$G$14)+(AI474*Settings!$G$15)+(AJ474*Settings!$G$16)+(AK474*Settings!$G$17)+(W474*Settings!$G$3)+(X474*Settings!$G$4)</f>
        <v>-1.0543733251362404</v>
      </c>
      <c r="E474" s="67"/>
      <c r="F474" s="67"/>
      <c r="G474" s="67"/>
      <c r="H474" s="67"/>
      <c r="I474" s="67"/>
      <c r="J474" s="67"/>
      <c r="K474" s="72"/>
      <c r="L474" s="72"/>
      <c r="M474" s="67"/>
      <c r="N474" s="67"/>
      <c r="O474" s="67"/>
      <c r="P474" s="67"/>
      <c r="Q474" s="67"/>
      <c r="R474" s="72"/>
      <c r="S474" s="72"/>
      <c r="T474" s="67"/>
      <c r="U474" s="67"/>
      <c r="V474" s="118">
        <f>(VLOOKUP($A474,Pitchers!$A1:$S251,4,FALSE)-AVERAGE(Rankings!AC2:AC651))/STDEV(Rankings!AC2:AC651)</f>
        <v>0.54942122948582128</v>
      </c>
      <c r="W474" s="118">
        <f>(VLOOKUP($A474,Pitchers!$A1:$S251,5,FALSE)-AVERAGE(Rankings!AD2:AD651))/STDEV(Rankings!AD2:AD651)*-1</f>
        <v>-0.201049920123586</v>
      </c>
      <c r="X474" s="118">
        <f>(VLOOKUP($A474,Pitchers!$A1:$S251,6,FALSE)-AVERAGE(Rankings!AE2:AE651))/STDEV(Rankings!AE2:AE651)*-1</f>
        <v>-1.0775428557218405</v>
      </c>
      <c r="Y474" s="118">
        <f>(VLOOKUP($A474,Pitchers!$A1:$S251,7,FALSE)-AVERAGE(Rankings!AF2:AF651))/STDEV(Rankings!AF2:AF651)</f>
        <v>0.48140524709298105</v>
      </c>
      <c r="Z474" s="118">
        <f>(VLOOKUP($A474,Pitchers!$A1:$S251,8,FALSE)-AVERAGE(Rankings!AG2:AG651))/STDEV(Rankings!AG2:AG651)</f>
        <v>0.22552707861340521</v>
      </c>
      <c r="AA474" s="118">
        <f>(VLOOKUP($A474,Pitchers!$A1:$S251,9,FALSE)-AVERAGE(Rankings!AH2:AH651))/STDEV(Rankings!AH2:AH651)</f>
        <v>-0.48271287499720011</v>
      </c>
      <c r="AB474" s="118">
        <f>(VLOOKUP($A474,Pitchers!$A1:$S251,10,FALSE)-AVERAGE(Rankings!AI2:AI651))/STDEV(Rankings!AI2:AI651)*-1</f>
        <v>-0.55496968588658058</v>
      </c>
      <c r="AC474" s="118">
        <f>(VLOOKUP($A474,Pitchers!$A1:$S251,11,FALSE)-AVERAGE(Rankings!AJ2:AJ651))/STDEV(Rankings!AJ2:AJ651)*-1</f>
        <v>-0.55489065107312208</v>
      </c>
      <c r="AD474" s="118">
        <f>(VLOOKUP($A474,Pitchers!$A1:$S251,12,FALSE)-AVERAGE(Rankings!AK2:AK651))/STDEV(Rankings!AK2:AK651)*-1</f>
        <v>-1.4343702960522302</v>
      </c>
      <c r="AE474" s="118">
        <f>IFERROR((VLOOKUP($A474,Pitchers!$A1:$S251,13,FALSE)-AVERAGE(Rankings!AL2:AL651))/STDEV(Rankings!AL2:AL651)*-1,0)</f>
        <v>-1.279181868707005E-2</v>
      </c>
      <c r="AF474" s="118">
        <f>(VLOOKUP($A474,Pitchers!$A1:$S251,14,FALSE)-AVERAGE(Rankings!AM2:AM651))/STDEV(Rankings!AM2:AM651)</f>
        <v>-0.83526486153449653</v>
      </c>
      <c r="AG474" s="118">
        <f>(VLOOKUP($A474,Pitchers!$A1:$S251,15,FALSE)-AVERAGE(Rankings!AN2:AN651))/STDEV(Rankings!AN2:AN651)</f>
        <v>0.82961574023460927</v>
      </c>
      <c r="AH474" s="118">
        <f>(VLOOKUP($A474,Pitchers!$A1:$S251,16,FALSE)-AVERAGE(Rankings!AO2:AO651))/STDEV(Rankings!AO2:AO651)*-1</f>
        <v>-0.64736633196165372</v>
      </c>
      <c r="AI474" s="118">
        <f>IFERROR((VLOOKUP($A474,Pitchers!$A1:$S251,17,FALSE)-AVERAGE(Rankings!AP2:AP651))/STDEV(Rankings!AP2:AP651),0)</f>
        <v>0.51764042066517624</v>
      </c>
      <c r="AJ474" s="118">
        <f>(VLOOKUP($A474,Pitchers!$A1:$S251,18,FALSE)-AVERAGE(Rankings!AQ2:AQ651))/STDEV(Rankings!AQ2:AQ651)</f>
        <v>-0.61487903439508862</v>
      </c>
      <c r="AK474" s="118">
        <f>IFERROR((VLOOKUP($A474,Pitchers!$A1:$S251,19,FALSE)-AVERAGE(Rankings!AR2:AR651))/STDEV(Rankings!AR2:AR651)*-1,0)</f>
        <v>0.47686441955275594</v>
      </c>
    </row>
    <row r="475" spans="1:37" ht="18.600000000000001" customHeight="1">
      <c r="A475" s="26" t="s">
        <v>345</v>
      </c>
      <c r="B475" s="27" t="s">
        <v>158</v>
      </c>
      <c r="C475" s="127" t="s">
        <v>31</v>
      </c>
      <c r="D475" s="67">
        <f>(V475*Settings!$G$2)+(Y475*Settings!$G$5)+(Z475*Settings!$G$6)+(AA475*Settings!$G$7)+(AB475*Settings!$G$8)+(AC475*Settings!$G$9)+(AD475*Settings!$G$10)+(AE475*Settings!$G$11)+(AF475*Settings!$G$12)+(AG475*Settings!$G$13)+(AH475*Settings!$G$14)+(AI475*Settings!$G$15)+(AJ475*Settings!$G$16)+(AK475*Settings!$G$17)+(W475*Settings!$G$3)+(X475*Settings!$G$4)</f>
        <v>-0.13419705753293018</v>
      </c>
      <c r="E475" s="67"/>
      <c r="F475" s="67"/>
      <c r="G475" s="67"/>
      <c r="H475" s="67"/>
      <c r="I475" s="67"/>
      <c r="J475" s="67"/>
      <c r="K475" s="72"/>
      <c r="L475" s="72"/>
      <c r="M475" s="67"/>
      <c r="N475" s="67"/>
      <c r="O475" s="67"/>
      <c r="P475" s="67"/>
      <c r="Q475" s="67"/>
      <c r="R475" s="72"/>
      <c r="S475" s="72"/>
      <c r="T475" s="67"/>
      <c r="U475" s="67"/>
      <c r="V475" s="118">
        <f>(VLOOKUP($A475,Pitchers!$A1:$S251,4,FALSE)-AVERAGE(Rankings!AC2:AC651))/STDEV(Rankings!AC2:AC651)</f>
        <v>1.0912796458843494</v>
      </c>
      <c r="W475" s="118">
        <f>(VLOOKUP($A475,Pitchers!$A1:$S251,5,FALSE)-AVERAGE(Rankings!AD2:AD651))/STDEV(Rankings!AD2:AD651)*-1</f>
        <v>-0.87157842971657185</v>
      </c>
      <c r="X475" s="118">
        <f>(VLOOKUP($A475,Pitchers!$A1:$S251,6,FALSE)-AVERAGE(Rankings!AE2:AE651))/STDEV(Rankings!AE2:AE651)*-1</f>
        <v>-0.19280751920590852</v>
      </c>
      <c r="Y475" s="118">
        <f>(VLOOKUP($A475,Pitchers!$A1:$S251,7,FALSE)-AVERAGE(Rankings!AF2:AF651))/STDEV(Rankings!AF2:AF651)</f>
        <v>0.59285337303050323</v>
      </c>
      <c r="Z475" s="118">
        <f>(VLOOKUP($A475,Pitchers!$A1:$S251,8,FALSE)-AVERAGE(Rankings!AG2:AG651))/STDEV(Rankings!AG2:AG651)</f>
        <v>0.82004839335624691</v>
      </c>
      <c r="AA475" s="118">
        <f>(VLOOKUP($A475,Pitchers!$A1:$S251,9,FALSE)-AVERAGE(Rankings!AH2:AH651))/STDEV(Rankings!AH2:AH651)</f>
        <v>-0.48271287499720011</v>
      </c>
      <c r="AB475" s="118">
        <f>(VLOOKUP($A475,Pitchers!$A1:$S251,10,FALSE)-AVERAGE(Rankings!AI2:AI651))/STDEV(Rankings!AI2:AI651)*-1</f>
        <v>-1.3246091658691901</v>
      </c>
      <c r="AC475" s="118">
        <f>(VLOOKUP($A475,Pitchers!$A1:$S251,11,FALSE)-AVERAGE(Rankings!AJ2:AJ651))/STDEV(Rankings!AJ2:AJ651)*-1</f>
        <v>-1.3157812357303071</v>
      </c>
      <c r="AD475" s="118">
        <f>(VLOOKUP($A475,Pitchers!$A1:$S251,12,FALSE)-AVERAGE(Rankings!AK2:AK651))/STDEV(Rankings!AK2:AK651)*-1</f>
        <v>-0.40445565780286502</v>
      </c>
      <c r="AE475" s="118">
        <f>IFERROR((VLOOKUP($A475,Pitchers!$A1:$S251,13,FALSE)-AVERAGE(Rankings!AL2:AL651))/STDEV(Rankings!AL2:AL651)*-1,0)</f>
        <v>-1.4905842629696682</v>
      </c>
      <c r="AF475" s="118">
        <f>(VLOOKUP($A475,Pitchers!$A1:$S251,14,FALSE)-AVERAGE(Rankings!AM2:AM651))/STDEV(Rankings!AM2:AM651)</f>
        <v>-0.65219739918969344</v>
      </c>
      <c r="AG475" s="118">
        <f>(VLOOKUP($A475,Pitchers!$A1:$S251,15,FALSE)-AVERAGE(Rankings!AN2:AN651))/STDEV(Rankings!AN2:AN651)</f>
        <v>1.0671509554698142</v>
      </c>
      <c r="AH475" s="118">
        <f>(VLOOKUP($A475,Pitchers!$A1:$S251,16,FALSE)-AVERAGE(Rankings!AO2:AO651))/STDEV(Rankings!AO2:AO651)*-1</f>
        <v>-1.3190532348041162</v>
      </c>
      <c r="AI475" s="118">
        <f>IFERROR((VLOOKUP($A475,Pitchers!$A1:$S251,17,FALSE)-AVERAGE(Rankings!AP2:AP651))/STDEV(Rankings!AP2:AP651),0)</f>
        <v>0.78952182260990256</v>
      </c>
      <c r="AJ475" s="118">
        <f>(VLOOKUP($A475,Pitchers!$A1:$S251,18,FALSE)-AVERAGE(Rankings!AQ2:AQ651))/STDEV(Rankings!AQ2:AQ651)</f>
        <v>-0.69471541349839372</v>
      </c>
      <c r="AK475" s="118">
        <f>IFERROR((VLOOKUP($A475,Pitchers!$A1:$S251,19,FALSE)-AVERAGE(Rankings!AR2:AR651))/STDEV(Rankings!AR2:AR651)*-1,0)</f>
        <v>0.47686441955275594</v>
      </c>
    </row>
    <row r="476" spans="1:37" ht="18.600000000000001" customHeight="1">
      <c r="A476" s="26" t="s">
        <v>361</v>
      </c>
      <c r="B476" s="27" t="s">
        <v>95</v>
      </c>
      <c r="C476" s="127" t="s">
        <v>31</v>
      </c>
      <c r="D476" s="67">
        <f>(V476*Settings!$G$2)+(Y476*Settings!$G$5)+(Z476*Settings!$G$6)+(AA476*Settings!$G$7)+(AB476*Settings!$G$8)+(AC476*Settings!$G$9)+(AD476*Settings!$G$10)+(AE476*Settings!$G$11)+(AF476*Settings!$G$12)+(AG476*Settings!$G$13)+(AH476*Settings!$G$14)+(AI476*Settings!$G$15)+(AJ476*Settings!$G$16)+(AK476*Settings!$G$17)+(W476*Settings!$G$3)+(X476*Settings!$G$4)</f>
        <v>-0.39339165985830404</v>
      </c>
      <c r="E476" s="67"/>
      <c r="F476" s="67"/>
      <c r="G476" s="67"/>
      <c r="H476" s="67"/>
      <c r="I476" s="67"/>
      <c r="J476" s="67"/>
      <c r="K476" s="72"/>
      <c r="L476" s="72"/>
      <c r="M476" s="67"/>
      <c r="N476" s="67"/>
      <c r="O476" s="67"/>
      <c r="P476" s="67"/>
      <c r="Q476" s="67"/>
      <c r="R476" s="72"/>
      <c r="S476" s="72"/>
      <c r="T476" s="67"/>
      <c r="U476" s="67"/>
      <c r="V476" s="118">
        <f>(VLOOKUP($A476,Pitchers!$A1:$S251,4,FALSE)-AVERAGE(Rankings!AC2:AC651))/STDEV(Rankings!AC2:AC651)</f>
        <v>0.66700389880344091</v>
      </c>
      <c r="W476" s="118">
        <f>(VLOOKUP($A476,Pitchers!$A1:$S251,5,FALSE)-AVERAGE(Rankings!AD2:AD651))/STDEV(Rankings!AD2:AD651)*-1</f>
        <v>-0.72309317623321789</v>
      </c>
      <c r="X476" s="118">
        <f>(VLOOKUP($A476,Pitchers!$A1:$S251,6,FALSE)-AVERAGE(Rankings!AE2:AE651))/STDEV(Rankings!AE2:AE651)*-1</f>
        <v>-0.66346817978073369</v>
      </c>
      <c r="Y476" s="118">
        <f>(VLOOKUP($A476,Pitchers!$A1:$S251,7,FALSE)-AVERAGE(Rankings!AF2:AF651))/STDEV(Rankings!AF2:AF651)</f>
        <v>0.54924476955579338</v>
      </c>
      <c r="Z476" s="118">
        <f>(VLOOKUP($A476,Pitchers!$A1:$S251,8,FALSE)-AVERAGE(Rankings!AG2:AG651))/STDEV(Rankings!AG2:AG651)</f>
        <v>0.92663780159705411</v>
      </c>
      <c r="AA476" s="118">
        <f>(VLOOKUP($A476,Pitchers!$A1:$S251,9,FALSE)-AVERAGE(Rankings!AH2:AH651))/STDEV(Rankings!AH2:AH651)</f>
        <v>-0.48271287499720011</v>
      </c>
      <c r="AB476" s="118">
        <f>(VLOOKUP($A476,Pitchers!$A1:$S251,10,FALSE)-AVERAGE(Rankings!AI2:AI651))/STDEV(Rankings!AI2:AI651)*-1</f>
        <v>-0.83905198738325437</v>
      </c>
      <c r="AC476" s="118">
        <f>(VLOOKUP($A476,Pitchers!$A1:$S251,11,FALSE)-AVERAGE(Rankings!AJ2:AJ651))/STDEV(Rankings!AJ2:AJ651)*-1</f>
        <v>-0.88511338868240652</v>
      </c>
      <c r="AD476" s="118">
        <f>(VLOOKUP($A476,Pitchers!$A1:$S251,12,FALSE)-AVERAGE(Rankings!AK2:AK651))/STDEV(Rankings!AK2:AK651)*-1</f>
        <v>-0.47698817810686045</v>
      </c>
      <c r="AE476" s="118">
        <f>IFERROR((VLOOKUP($A476,Pitchers!$A1:$S251,13,FALSE)-AVERAGE(Rankings!AL2:AL651))/STDEV(Rankings!AL2:AL651)*-1,0)</f>
        <v>-0.80964068570219649</v>
      </c>
      <c r="AF476" s="118">
        <f>(VLOOKUP($A476,Pitchers!$A1:$S251,14,FALSE)-AVERAGE(Rankings!AM2:AM651))/STDEV(Rankings!AM2:AM651)</f>
        <v>-0.78404281227935235</v>
      </c>
      <c r="AG476" s="118">
        <f>(VLOOKUP($A476,Pitchers!$A1:$S251,15,FALSE)-AVERAGE(Rankings!AN2:AN651))/STDEV(Rankings!AN2:AN651)</f>
        <v>0.93300027855875933</v>
      </c>
      <c r="AH476" s="118">
        <f>(VLOOKUP($A476,Pitchers!$A1:$S251,16,FALSE)-AVERAGE(Rankings!AO2:AO651))/STDEV(Rankings!AO2:AO651)*-1</f>
        <v>-0.84705185343436329</v>
      </c>
      <c r="AI476" s="118">
        <f>IFERROR((VLOOKUP($A476,Pitchers!$A1:$S251,17,FALSE)-AVERAGE(Rankings!AP2:AP651))/STDEV(Rankings!AP2:AP651),0)</f>
        <v>0.51764042066517624</v>
      </c>
      <c r="AJ476" s="118">
        <f>(VLOOKUP($A476,Pitchers!$A1:$S251,18,FALSE)-AVERAGE(Rankings!AQ2:AQ651))/STDEV(Rankings!AQ2:AQ651)</f>
        <v>-0.69471541349839372</v>
      </c>
      <c r="AK476" s="118">
        <f>IFERROR((VLOOKUP($A476,Pitchers!$A1:$S251,19,FALSE)-AVERAGE(Rankings!AR2:AR651))/STDEV(Rankings!AR2:AR651)*-1,0)</f>
        <v>0.47686441955275594</v>
      </c>
    </row>
    <row r="477" spans="1:37" ht="18.600000000000001" customHeight="1">
      <c r="A477" s="26" t="s">
        <v>389</v>
      </c>
      <c r="B477" s="27" t="s">
        <v>97</v>
      </c>
      <c r="C477" s="127" t="s">
        <v>31</v>
      </c>
      <c r="D477" s="67">
        <f>(V477*Settings!$G$2)+(Y477*Settings!$G$5)+(Z477*Settings!$G$6)+(AA477*Settings!$G$7)+(AB477*Settings!$G$8)+(AC477*Settings!$G$9)+(AD477*Settings!$G$10)+(AE477*Settings!$G$11)+(AF477*Settings!$G$12)+(AG477*Settings!$G$13)+(AH477*Settings!$G$14)+(AI477*Settings!$G$15)+(AJ477*Settings!$G$16)+(AK477*Settings!$G$17)+(W477*Settings!$G$3)+(X477*Settings!$G$4)</f>
        <v>-0.76244299758423295</v>
      </c>
      <c r="E477" s="67"/>
      <c r="F477" s="67"/>
      <c r="G477" s="67"/>
      <c r="H477" s="67"/>
      <c r="I477" s="67"/>
      <c r="J477" s="67"/>
      <c r="K477" s="72"/>
      <c r="L477" s="72"/>
      <c r="M477" s="67"/>
      <c r="N477" s="67"/>
      <c r="O477" s="67"/>
      <c r="P477" s="67"/>
      <c r="Q477" s="67"/>
      <c r="R477" s="72"/>
      <c r="S477" s="72"/>
      <c r="T477" s="67"/>
      <c r="U477" s="67"/>
      <c r="V477" s="118">
        <f>(VLOOKUP($A477,Pitchers!$A1:$S251,4,FALSE)-AVERAGE(Rankings!AC2:AC651))/STDEV(Rankings!AC2:AC651)</f>
        <v>0.82989701423644224</v>
      </c>
      <c r="W477" s="118">
        <f>(VLOOKUP($A477,Pitchers!$A1:$S251,5,FALSE)-AVERAGE(Rankings!AD2:AD651))/STDEV(Rankings!AD2:AD651)*-1</f>
        <v>-0.8921748117896211</v>
      </c>
      <c r="X477" s="118">
        <f>(VLOOKUP($A477,Pitchers!$A1:$S251,6,FALSE)-AVERAGE(Rankings!AE2:AE651))/STDEV(Rankings!AE2:AE651)*-1</f>
        <v>-0.74803707429600308</v>
      </c>
      <c r="Y477" s="118">
        <f>(VLOOKUP($A477,Pitchers!$A1:$S251,7,FALSE)-AVERAGE(Rankings!AF2:AF651))/STDEV(Rankings!AF2:AF651)</f>
        <v>0.71743931052413679</v>
      </c>
      <c r="Z477" s="118">
        <f>(VLOOKUP($A477,Pitchers!$A1:$S251,8,FALSE)-AVERAGE(Rankings!AG2:AG651))/STDEV(Rankings!AG2:AG651)</f>
        <v>0.6430424529744545</v>
      </c>
      <c r="AA477" s="118">
        <f>(VLOOKUP($A477,Pitchers!$A1:$S251,9,FALSE)-AVERAGE(Rankings!AH2:AH651))/STDEV(Rankings!AH2:AH651)</f>
        <v>-0.48271287499720011</v>
      </c>
      <c r="AB477" s="118">
        <f>(VLOOKUP($A477,Pitchers!$A1:$S251,10,FALSE)-AVERAGE(Rankings!AI2:AI651))/STDEV(Rankings!AI2:AI651)*-1</f>
        <v>-1.0626873519980811</v>
      </c>
      <c r="AC477" s="118">
        <f>(VLOOKUP($A477,Pitchers!$A1:$S251,11,FALSE)-AVERAGE(Rankings!AJ2:AJ651))/STDEV(Rankings!AJ2:AJ651)*-1</f>
        <v>-0.83826575187891683</v>
      </c>
      <c r="AD477" s="118">
        <f>(VLOOKUP($A477,Pitchers!$A1:$S251,12,FALSE)-AVERAGE(Rankings!AK2:AK651))/STDEV(Rankings!AK2:AK651)*-1</f>
        <v>-1.4343702960522302</v>
      </c>
      <c r="AE477" s="118">
        <f>IFERROR((VLOOKUP($A477,Pitchers!$A1:$S251,13,FALSE)-AVERAGE(Rankings!AL2:AL651))/STDEV(Rankings!AL2:AL651)*-1,0)</f>
        <v>-1.3795083602948326</v>
      </c>
      <c r="AF477" s="118">
        <f>(VLOOKUP($A477,Pitchers!$A1:$S251,14,FALSE)-AVERAGE(Rankings!AM2:AM651))/STDEV(Rankings!AM2:AM651)</f>
        <v>-0.78404281227935235</v>
      </c>
      <c r="AG477" s="118">
        <f>(VLOOKUP($A477,Pitchers!$A1:$S251,15,FALSE)-AVERAGE(Rankings!AN2:AN651))/STDEV(Rankings!AN2:AN651)</f>
        <v>0.93128149986675379</v>
      </c>
      <c r="AH477" s="118">
        <f>(VLOOKUP($A477,Pitchers!$A1:$S251,16,FALSE)-AVERAGE(Rankings!AO2:AO651))/STDEV(Rankings!AO2:AO651)*-1</f>
        <v>-0.97755649846595183</v>
      </c>
      <c r="AI477" s="118">
        <f>IFERROR((VLOOKUP($A477,Pitchers!$A1:$S251,17,FALSE)-AVERAGE(Rankings!AP2:AP651))/STDEV(Rankings!AP2:AP651),0)</f>
        <v>0.51764042066517624</v>
      </c>
      <c r="AJ477" s="118">
        <f>(VLOOKUP($A477,Pitchers!$A1:$S251,18,FALSE)-AVERAGE(Rankings!AQ2:AQ651))/STDEV(Rankings!AQ2:AQ651)</f>
        <v>-0.61487903439508862</v>
      </c>
      <c r="AK477" s="118">
        <f>IFERROR((VLOOKUP($A477,Pitchers!$A1:$S251,19,FALSE)-AVERAGE(Rankings!AR2:AR651))/STDEV(Rankings!AR2:AR651)*-1,0)</f>
        <v>0.47686441955275594</v>
      </c>
    </row>
    <row r="478" spans="1:37" ht="18.600000000000001" customHeight="1">
      <c r="A478" s="26" t="s">
        <v>435</v>
      </c>
      <c r="B478" s="27" t="s">
        <v>176</v>
      </c>
      <c r="C478" s="127" t="s">
        <v>31</v>
      </c>
      <c r="D478" s="67">
        <f>(V478*Settings!$G$2)+(Y478*Settings!$G$5)+(Z478*Settings!$G$6)+(AA478*Settings!$G$7)+(AB478*Settings!$G$8)+(AC478*Settings!$G$9)+(AD478*Settings!$G$10)+(AE478*Settings!$G$11)+(AF478*Settings!$G$12)+(AG478*Settings!$G$13)+(AH478*Settings!$G$14)+(AI478*Settings!$G$15)+(AJ478*Settings!$G$16)+(AK478*Settings!$G$17)+(W478*Settings!$G$3)+(X478*Settings!$G$4)</f>
        <v>-1.9746990548405459</v>
      </c>
      <c r="E478" s="67"/>
      <c r="F478" s="67"/>
      <c r="G478" s="67"/>
      <c r="H478" s="67"/>
      <c r="I478" s="67"/>
      <c r="J478" s="67"/>
      <c r="K478" s="72"/>
      <c r="L478" s="72"/>
      <c r="M478" s="67"/>
      <c r="N478" s="67"/>
      <c r="O478" s="67"/>
      <c r="P478" s="67"/>
      <c r="Q478" s="67"/>
      <c r="R478" s="72"/>
      <c r="S478" s="72"/>
      <c r="T478" s="67"/>
      <c r="U478" s="67"/>
      <c r="V478" s="118">
        <f>(VLOOKUP($A478,Pitchers!$A1:$S251,4,FALSE)-AVERAGE(Rankings!AC2:AC651))/STDEV(Rankings!AC2:AC651)</f>
        <v>1.4772545507484129</v>
      </c>
      <c r="W478" s="118">
        <f>(VLOOKUP($A478,Pitchers!$A1:$S251,5,FALSE)-AVERAGE(Rankings!AD2:AD651))/STDEV(Rankings!AD2:AD651)*-1</f>
        <v>-1.8537897084747597</v>
      </c>
      <c r="X478" s="118">
        <f>(VLOOKUP($A478,Pitchers!$A1:$S251,6,FALSE)-AVERAGE(Rankings!AE2:AE651))/STDEV(Rankings!AE2:AE651)*-1</f>
        <v>-1.5219924461183187</v>
      </c>
      <c r="Y478" s="118">
        <f>(VLOOKUP($A478,Pitchers!$A1:$S251,7,FALSE)-AVERAGE(Rankings!AF2:AF651))/STDEV(Rankings!AF2:AF651)</f>
        <v>0.96198122329932145</v>
      </c>
      <c r="Z478" s="118">
        <f>(VLOOKUP($A478,Pitchers!$A1:$S251,8,FALSE)-AVERAGE(Rankings!AG2:AG651))/STDEV(Rankings!AG2:AG651)</f>
        <v>0.92181475145041103</v>
      </c>
      <c r="AA478" s="118">
        <f>(VLOOKUP($A478,Pitchers!$A1:$S251,9,FALSE)-AVERAGE(Rankings!AH2:AH651))/STDEV(Rankings!AH2:AH651)</f>
        <v>-0.48271287499720011</v>
      </c>
      <c r="AB478" s="118">
        <f>(VLOOKUP($A478,Pitchers!$A1:$S251,10,FALSE)-AVERAGE(Rankings!AI2:AI651))/STDEV(Rankings!AI2:AI651)*-1</f>
        <v>-2.1316301704011864</v>
      </c>
      <c r="AC478" s="118">
        <f>(VLOOKUP($A478,Pitchers!$A1:$S251,11,FALSE)-AVERAGE(Rankings!AJ2:AJ651))/STDEV(Rankings!AJ2:AJ651)*-1</f>
        <v>-1.8809973837437979</v>
      </c>
      <c r="AD478" s="118">
        <f>(VLOOKUP($A478,Pitchers!$A1:$S251,12,FALSE)-AVERAGE(Rankings!AK2:AK651))/STDEV(Rankings!AK2:AK651)*-1</f>
        <v>-1.7567981734165776</v>
      </c>
      <c r="AE478" s="118">
        <f>IFERROR((VLOOKUP($A478,Pitchers!$A1:$S251,13,FALSE)-AVERAGE(Rankings!AL2:AL651))/STDEV(Rankings!AL2:AL651)*-1,0)</f>
        <v>-1.6789303588096078</v>
      </c>
      <c r="AF478" s="118">
        <f>(VLOOKUP($A478,Pitchers!$A1:$S251,14,FALSE)-AVERAGE(Rankings!AM2:AM651))/STDEV(Rankings!AM2:AM651)</f>
        <v>-0.59948757257029184</v>
      </c>
      <c r="AG478" s="118">
        <f>(VLOOKUP($A478,Pitchers!$A1:$S251,15,FALSE)-AVERAGE(Rankings!AN2:AN651))/STDEV(Rankings!AN2:AN651)</f>
        <v>1.1684729593635579</v>
      </c>
      <c r="AH478" s="118">
        <f>(VLOOKUP($A478,Pitchers!$A1:$S251,16,FALSE)-AVERAGE(Rankings!AO2:AO651))/STDEV(Rankings!AO2:AO651)*-1</f>
        <v>-2.021593658718658</v>
      </c>
      <c r="AI478" s="118">
        <f>IFERROR((VLOOKUP($A478,Pitchers!$A1:$S251,17,FALSE)-AVERAGE(Rankings!AP2:AP651))/STDEV(Rankings!AP2:AP651),0)</f>
        <v>0.78952182260990256</v>
      </c>
      <c r="AJ478" s="118">
        <f>(VLOOKUP($A478,Pitchers!$A1:$S251,18,FALSE)-AVERAGE(Rankings!AQ2:AQ651))/STDEV(Rankings!AQ2:AQ651)</f>
        <v>-0.69471541349839372</v>
      </c>
      <c r="AK478" s="118">
        <f>IFERROR((VLOOKUP($A478,Pitchers!$A1:$S251,19,FALSE)-AVERAGE(Rankings!AR2:AR651))/STDEV(Rankings!AR2:AR651)*-1,0)</f>
        <v>0.47686441955275594</v>
      </c>
    </row>
    <row r="479" spans="1:37" ht="18.600000000000001" customHeight="1">
      <c r="A479" s="26" t="s">
        <v>335</v>
      </c>
      <c r="B479" s="27" t="s">
        <v>78</v>
      </c>
      <c r="C479" s="127" t="s">
        <v>31</v>
      </c>
      <c r="D479" s="67">
        <f>(V479*Settings!$G$2)+(Y479*Settings!$G$5)+(Z479*Settings!$G$6)+(AA479*Settings!$G$7)+(AB479*Settings!$G$8)+(AC479*Settings!$G$9)+(AD479*Settings!$G$10)+(AE479*Settings!$G$11)+(AF479*Settings!$G$12)+(AG479*Settings!$G$13)+(AH479*Settings!$G$14)+(AI479*Settings!$G$15)+(AJ479*Settings!$G$16)+(AK479*Settings!$G$17)+(W479*Settings!$G$3)+(X479*Settings!$G$4)</f>
        <v>5.2614270759135856E-2</v>
      </c>
      <c r="E479" s="67"/>
      <c r="F479" s="67"/>
      <c r="G479" s="67"/>
      <c r="H479" s="67"/>
      <c r="I479" s="67"/>
      <c r="J479" s="67"/>
      <c r="K479" s="72"/>
      <c r="L479" s="72"/>
      <c r="M479" s="67"/>
      <c r="N479" s="67"/>
      <c r="O479" s="67"/>
      <c r="P479" s="67"/>
      <c r="Q479" s="67"/>
      <c r="R479" s="72"/>
      <c r="S479" s="72"/>
      <c r="T479" s="67"/>
      <c r="U479" s="67"/>
      <c r="V479" s="118">
        <f>(VLOOKUP($A479,Pitchers!$A1:$S251,4,FALSE)-AVERAGE(Rankings!AC2:AC651))/STDEV(Rankings!AC2:AC651)</f>
        <v>0.93788156579756909</v>
      </c>
      <c r="W479" s="118">
        <f>(VLOOKUP($A479,Pitchers!$A1:$S251,5,FALSE)-AVERAGE(Rankings!AD2:AD651))/STDEV(Rankings!AD2:AD651)*-1</f>
        <v>-1.083849535617458</v>
      </c>
      <c r="X479" s="118">
        <f>(VLOOKUP($A479,Pitchers!$A1:$S251,6,FALSE)-AVERAGE(Rankings!AE2:AE651))/STDEV(Rankings!AE2:AE651)*-1</f>
        <v>0.15564763388521033</v>
      </c>
      <c r="Y479" s="118">
        <f>(VLOOKUP($A479,Pitchers!$A1:$S251,7,FALSE)-AVERAGE(Rankings!AF2:AF651))/STDEV(Rankings!AF2:AF651)</f>
        <v>0.41679729724012293</v>
      </c>
      <c r="Z479" s="118">
        <f>(VLOOKUP($A479,Pitchers!$A1:$S251,8,FALSE)-AVERAGE(Rankings!AG2:AG651))/STDEV(Rankings!AG2:AG651)</f>
        <v>1.0467317502484608</v>
      </c>
      <c r="AA479" s="118">
        <f>(VLOOKUP($A479,Pitchers!$A1:$S251,9,FALSE)-AVERAGE(Rankings!AH2:AH651))/STDEV(Rankings!AH2:AH651)</f>
        <v>-0.48271287499720011</v>
      </c>
      <c r="AB479" s="118">
        <f>(VLOOKUP($A479,Pitchers!$A1:$S251,10,FALSE)-AVERAGE(Rankings!AI2:AI651))/STDEV(Rankings!AI2:AI651)*-1</f>
        <v>-1.2427673686699707</v>
      </c>
      <c r="AC479" s="118">
        <f>(VLOOKUP($A479,Pitchers!$A1:$S251,11,FALSE)-AVERAGE(Rankings!AJ2:AJ651))/STDEV(Rankings!AJ2:AJ651)*-1</f>
        <v>-1.108117580196853</v>
      </c>
      <c r="AD479" s="118">
        <f>(VLOOKUP($A479,Pitchers!$A1:$S251,12,FALSE)-AVERAGE(Rankings!AK2:AK651))/STDEV(Rankings!AK2:AK651)*-1</f>
        <v>-8.4621034143860088E-2</v>
      </c>
      <c r="AE479" s="118">
        <f>IFERROR((VLOOKUP($A479,Pitchers!$A1:$S251,13,FALSE)-AVERAGE(Rankings!AL2:AL651))/STDEV(Rankings!AL2:AL651)*-1,0)</f>
        <v>-1.8141531968485378</v>
      </c>
      <c r="AF479" s="118">
        <f>(VLOOKUP($A479,Pitchers!$A1:$S251,14,FALSE)-AVERAGE(Rankings!AM2:AM651))/STDEV(Rankings!AM2:AM651)</f>
        <v>-0.78432619844397289</v>
      </c>
      <c r="AG479" s="118">
        <f>(VLOOKUP($A479,Pitchers!$A1:$S251,15,FALSE)-AVERAGE(Rankings!AN2:AN651))/STDEV(Rankings!AN2:AN651)</f>
        <v>0.93265652282035816</v>
      </c>
      <c r="AH479" s="118">
        <f>(VLOOKUP($A479,Pitchers!$A1:$S251,16,FALSE)-AVERAGE(Rankings!AO2:AO651))/STDEV(Rankings!AO2:AO651)*-1</f>
        <v>-0.66729655675355604</v>
      </c>
      <c r="AI479" s="118">
        <f>IFERROR((VLOOKUP($A479,Pitchers!$A1:$S251,17,FALSE)-AVERAGE(Rankings!AP2:AP651))/STDEV(Rankings!AP2:AP651),0)</f>
        <v>0.51764042066517624</v>
      </c>
      <c r="AJ479" s="118">
        <f>(VLOOKUP($A479,Pitchers!$A1:$S251,18,FALSE)-AVERAGE(Rankings!AQ2:AQ651))/STDEV(Rankings!AQ2:AQ651)</f>
        <v>-0.69471541349839372</v>
      </c>
      <c r="AK479" s="118">
        <f>IFERROR((VLOOKUP($A479,Pitchers!$A1:$S251,19,FALSE)-AVERAGE(Rankings!AR2:AR651))/STDEV(Rankings!AR2:AR651)*-1,0)</f>
        <v>0.47686441955275594</v>
      </c>
    </row>
    <row r="480" spans="1:37" ht="18.600000000000001" customHeight="1">
      <c r="A480" s="26" t="s">
        <v>362</v>
      </c>
      <c r="B480" s="27" t="s">
        <v>91</v>
      </c>
      <c r="C480" s="127" t="s">
        <v>31</v>
      </c>
      <c r="D480" s="67">
        <f>(V480*Settings!$G$2)+(Y480*Settings!$G$5)+(Z480*Settings!$G$6)+(AA480*Settings!$G$7)+(AB480*Settings!$G$8)+(AC480*Settings!$G$9)+(AD480*Settings!$G$10)+(AE480*Settings!$G$11)+(AF480*Settings!$G$12)+(AG480*Settings!$G$13)+(AH480*Settings!$G$14)+(AI480*Settings!$G$15)+(AJ480*Settings!$G$16)+(AK480*Settings!$G$17)+(W480*Settings!$G$3)+(X480*Settings!$G$4)</f>
        <v>-1.1402284050845357</v>
      </c>
      <c r="E480" s="67"/>
      <c r="F480" s="67"/>
      <c r="G480" s="67"/>
      <c r="H480" s="67"/>
      <c r="I480" s="67"/>
      <c r="J480" s="67"/>
      <c r="K480" s="72"/>
      <c r="L480" s="72"/>
      <c r="M480" s="67"/>
      <c r="N480" s="67"/>
      <c r="O480" s="67"/>
      <c r="P480" s="67"/>
      <c r="Q480" s="67"/>
      <c r="R480" s="72"/>
      <c r="S480" s="72"/>
      <c r="T480" s="67"/>
      <c r="U480" s="67"/>
      <c r="V480" s="118">
        <f>(VLOOKUP($A480,Pitchers!$A1:$S251,4,FALSE)-AVERAGE(Rankings!AC2:AC651))/STDEV(Rankings!AC2:AC651)</f>
        <v>0.88327079555537003</v>
      </c>
      <c r="W480" s="118">
        <f>(VLOOKUP($A480,Pitchers!$A1:$S251,5,FALSE)-AVERAGE(Rankings!AD2:AD651))/STDEV(Rankings!AD2:AD651)*-1</f>
        <v>-1.1314336209914393</v>
      </c>
      <c r="X480" s="118">
        <f>(VLOOKUP($A480,Pitchers!$A1:$S251,6,FALSE)-AVERAGE(Rankings!AE2:AE651))/STDEV(Rankings!AE2:AE651)*-1</f>
        <v>-0.77098027218785503</v>
      </c>
      <c r="Y480" s="118">
        <f>(VLOOKUP($A480,Pitchers!$A1:$S251,7,FALSE)-AVERAGE(Rankings!AF2:AF651))/STDEV(Rankings!AF2:AF651)</f>
        <v>0.32871050347929748</v>
      </c>
      <c r="Z480" s="118">
        <f>(VLOOKUP($A480,Pitchers!$A1:$S251,8,FALSE)-AVERAGE(Rankings!AG2:AG651))/STDEV(Rankings!AG2:AG651)</f>
        <v>0.91618785961266114</v>
      </c>
      <c r="AA480" s="118">
        <f>(VLOOKUP($A480,Pitchers!$A1:$S251,9,FALSE)-AVERAGE(Rankings!AH2:AH651))/STDEV(Rankings!AH2:AH651)</f>
        <v>-0.48271287499720011</v>
      </c>
      <c r="AB480" s="118">
        <f>(VLOOKUP($A480,Pitchers!$A1:$S251,10,FALSE)-AVERAGE(Rankings!AI2:AI651))/STDEV(Rankings!AI2:AI651)*-1</f>
        <v>-1.2020559245530804</v>
      </c>
      <c r="AC480" s="118">
        <f>(VLOOKUP($A480,Pitchers!$A1:$S251,11,FALSE)-AVERAGE(Rankings!AJ2:AJ651))/STDEV(Rankings!AJ2:AJ651)*-1</f>
        <v>-1.0822746772750285</v>
      </c>
      <c r="AD480" s="118">
        <f>(VLOOKUP($A480,Pitchers!$A1:$S251,12,FALSE)-AVERAGE(Rankings!AK2:AK651))/STDEV(Rankings!AK2:AK651)*-1</f>
        <v>-0.88153575614041224</v>
      </c>
      <c r="AE480" s="118">
        <f>IFERROR((VLOOKUP($A480,Pitchers!$A1:$S251,13,FALSE)-AVERAGE(Rankings!AL2:AL651))/STDEV(Rankings!AL2:AL651)*-1,0)</f>
        <v>-1.1332096195810657</v>
      </c>
      <c r="AF480" s="118">
        <f>(VLOOKUP($A480,Pitchers!$A1:$S251,14,FALSE)-AVERAGE(Rankings!AM2:AM651))/STDEV(Rankings!AM2:AM651)</f>
        <v>-0.75882144362813331</v>
      </c>
      <c r="AG480" s="118">
        <f>(VLOOKUP($A480,Pitchers!$A1:$S251,15,FALSE)-AVERAGE(Rankings!AN2:AN651))/STDEV(Rankings!AN2:AN651)</f>
        <v>0.96359453927646321</v>
      </c>
      <c r="AH480" s="118">
        <f>(VLOOKUP($A480,Pitchers!$A1:$S251,16,FALSE)-AVERAGE(Rankings!AO2:AO651))/STDEV(Rankings!AO2:AO651)*-1</f>
        <v>-0.84321911789745907</v>
      </c>
      <c r="AI480" s="118">
        <f>IFERROR((VLOOKUP($A480,Pitchers!$A1:$S251,17,FALSE)-AVERAGE(Rankings!AP2:AP651))/STDEV(Rankings!AP2:AP651),0)</f>
        <v>0.51764042066517624</v>
      </c>
      <c r="AJ480" s="118">
        <f>(VLOOKUP($A480,Pitchers!$A1:$S251,18,FALSE)-AVERAGE(Rankings!AQ2:AQ651))/STDEV(Rankings!AQ2:AQ651)</f>
        <v>-0.69471541349839372</v>
      </c>
      <c r="AK480" s="118">
        <f>IFERROR((VLOOKUP($A480,Pitchers!$A1:$S251,19,FALSE)-AVERAGE(Rankings!AR2:AR651))/STDEV(Rankings!AR2:AR651)*-1,0)</f>
        <v>0.47686441955275594</v>
      </c>
    </row>
    <row r="481" spans="1:37" ht="18.600000000000001" customHeight="1">
      <c r="A481" s="26" t="s">
        <v>359</v>
      </c>
      <c r="B481" s="27" t="s">
        <v>134</v>
      </c>
      <c r="C481" s="127" t="s">
        <v>31</v>
      </c>
      <c r="D481" s="67">
        <f>(V481*Settings!$G$2)+(Y481*Settings!$G$5)+(Z481*Settings!$G$6)+(AA481*Settings!$G$7)+(AB481*Settings!$G$8)+(AC481*Settings!$G$9)+(AD481*Settings!$G$10)+(AE481*Settings!$G$11)+(AF481*Settings!$G$12)+(AG481*Settings!$G$13)+(AH481*Settings!$G$14)+(AI481*Settings!$G$15)+(AJ481*Settings!$G$16)+(AK481*Settings!$G$17)+(W481*Settings!$G$3)+(X481*Settings!$G$4)</f>
        <v>-1.7337733454810085</v>
      </c>
      <c r="E481" s="67"/>
      <c r="F481" s="67"/>
      <c r="G481" s="67"/>
      <c r="H481" s="67"/>
      <c r="I481" s="67"/>
      <c r="J481" s="67"/>
      <c r="K481" s="72"/>
      <c r="L481" s="72"/>
      <c r="M481" s="67"/>
      <c r="N481" s="67"/>
      <c r="O481" s="67"/>
      <c r="P481" s="67"/>
      <c r="Q481" s="67"/>
      <c r="R481" s="72"/>
      <c r="S481" s="72"/>
      <c r="T481" s="67"/>
      <c r="U481" s="67"/>
      <c r="V481" s="118">
        <f>(VLOOKUP($A481,Pitchers!$A1:$S251,4,FALSE)-AVERAGE(Rankings!AC2:AC651))/STDEV(Rankings!AC2:AC651)</f>
        <v>0.12587851287796289</v>
      </c>
      <c r="W481" s="118">
        <f>(VLOOKUP($A481,Pitchers!$A1:$S251,5,FALSE)-AVERAGE(Rankings!AD2:AD651))/STDEV(Rankings!AD2:AD651)*-1</f>
        <v>-0.6640736283036216</v>
      </c>
      <c r="X481" s="118">
        <f>(VLOOKUP($A481,Pitchers!$A1:$S251,6,FALSE)-AVERAGE(Rankings!AE2:AE651))/STDEV(Rankings!AE2:AE651)*-1</f>
        <v>-0.81909925274557227</v>
      </c>
      <c r="Y481" s="118">
        <f>(VLOOKUP($A481,Pitchers!$A1:$S251,7,FALSE)-AVERAGE(Rankings!AF2:AF651))/STDEV(Rankings!AF2:AF651)</f>
        <v>0.23584098225573719</v>
      </c>
      <c r="Z481" s="118">
        <f>(VLOOKUP($A481,Pitchers!$A1:$S251,8,FALSE)-AVERAGE(Rankings!AG2:AG651))/STDEV(Rankings!AG2:AG651)</f>
        <v>-3.7285716903516643E-3</v>
      </c>
      <c r="AA481" s="118">
        <f>(VLOOKUP($A481,Pitchers!$A1:$S251,9,FALSE)-AVERAGE(Rankings!AH2:AH651))/STDEV(Rankings!AH2:AH651)</f>
        <v>-0.48271287499720011</v>
      </c>
      <c r="AB481" s="118">
        <f>(VLOOKUP($A481,Pitchers!$A1:$S251,10,FALSE)-AVERAGE(Rankings!AI2:AI651))/STDEV(Rankings!AI2:AI651)*-1</f>
        <v>-0.27487108663890764</v>
      </c>
      <c r="AC481" s="118">
        <f>(VLOOKUP($A481,Pitchers!$A1:$S251,11,FALSE)-AVERAGE(Rankings!AJ2:AJ651))/STDEV(Rankings!AJ2:AJ651)*-1</f>
        <v>-1.0608434467538478E-2</v>
      </c>
      <c r="AD481" s="118">
        <f>(VLOOKUP($A481,Pitchers!$A1:$S251,12,FALSE)-AVERAGE(Rankings!AK2:AK651))/STDEV(Rankings!AK2:AK651)*-1</f>
        <v>-1.1266375230181604</v>
      </c>
      <c r="AE481" s="118">
        <f>IFERROR((VLOOKUP($A481,Pitchers!$A1:$S251,13,FALSE)-AVERAGE(Rankings!AL2:AL651))/STDEV(Rankings!AL2:AL651)*-1,0)</f>
        <v>-0.16733220501727664</v>
      </c>
      <c r="AF481" s="118">
        <f>(VLOOKUP($A481,Pitchers!$A1:$S251,14,FALSE)-AVERAGE(Rankings!AM2:AM651))/STDEV(Rankings!AM2:AM651)</f>
        <v>-1.0337060233099586</v>
      </c>
      <c r="AG481" s="118">
        <f>(VLOOKUP($A481,Pitchers!$A1:$S251,15,FALSE)-AVERAGE(Rankings!AN2:AN651))/STDEV(Rankings!AN2:AN651)</f>
        <v>0.60436979264724544</v>
      </c>
      <c r="AH481" s="118">
        <f>(VLOOKUP($A481,Pitchers!$A1:$S251,16,FALSE)-AVERAGE(Rankings!AO2:AO651))/STDEV(Rankings!AO2:AO651)*-1</f>
        <v>-0.65388198237439099</v>
      </c>
      <c r="AI481" s="118">
        <f>IFERROR((VLOOKUP($A481,Pitchers!$A1:$S251,17,FALSE)-AVERAGE(Rankings!AP2:AP651))/STDEV(Rankings!AP2:AP651),0)</f>
        <v>0.38169971969281308</v>
      </c>
      <c r="AJ481" s="118">
        <f>(VLOOKUP($A481,Pitchers!$A1:$S251,18,FALSE)-AVERAGE(Rankings!AQ2:AQ651))/STDEV(Rankings!AQ2:AQ651)</f>
        <v>-0.69471541349839372</v>
      </c>
      <c r="AK481" s="118">
        <f>IFERROR((VLOOKUP($A481,Pitchers!$A1:$S251,19,FALSE)-AVERAGE(Rankings!AR2:AR651))/STDEV(Rankings!AR2:AR651)*-1,0)</f>
        <v>0.47686441955275594</v>
      </c>
    </row>
    <row r="482" spans="1:37" ht="18.600000000000001" customHeight="1">
      <c r="A482" s="26" t="s">
        <v>388</v>
      </c>
      <c r="B482" s="27" t="s">
        <v>86</v>
      </c>
      <c r="C482" s="127" t="s">
        <v>31</v>
      </c>
      <c r="D482" s="67">
        <f>(V482*Settings!$G$2)+(Y482*Settings!$G$5)+(Z482*Settings!$G$6)+(AA482*Settings!$G$7)+(AB482*Settings!$G$8)+(AC482*Settings!$G$9)+(AD482*Settings!$G$10)+(AE482*Settings!$G$11)+(AF482*Settings!$G$12)+(AG482*Settings!$G$13)+(AH482*Settings!$G$14)+(AI482*Settings!$G$15)+(AJ482*Settings!$G$16)+(AK482*Settings!$G$17)+(W482*Settings!$G$3)+(X482*Settings!$G$4)</f>
        <v>-0.83360809700489591</v>
      </c>
      <c r="E482" s="67"/>
      <c r="F482" s="67"/>
      <c r="G482" s="67"/>
      <c r="H482" s="67"/>
      <c r="I482" s="67"/>
      <c r="J482" s="67"/>
      <c r="K482" s="72"/>
      <c r="L482" s="72"/>
      <c r="M482" s="67"/>
      <c r="N482" s="67"/>
      <c r="O482" s="67"/>
      <c r="P482" s="67"/>
      <c r="Q482" s="67"/>
      <c r="R482" s="72"/>
      <c r="S482" s="72"/>
      <c r="T482" s="67"/>
      <c r="U482" s="67"/>
      <c r="V482" s="118">
        <f>(VLOOKUP($A482,Pitchers!$A1:$S251,4,FALSE)-AVERAGE(Rankings!AC2:AC651))/STDEV(Rankings!AC2:AC651)</f>
        <v>1.2201441123262482</v>
      </c>
      <c r="W482" s="118">
        <f>(VLOOKUP($A482,Pitchers!$A1:$S251,5,FALSE)-AVERAGE(Rankings!AD2:AD651))/STDEV(Rankings!AD2:AD651)*-1</f>
        <v>-0.5573280035302145</v>
      </c>
      <c r="X482" s="118">
        <f>(VLOOKUP($A482,Pitchers!$A1:$S251,6,FALSE)-AVERAGE(Rankings!AE2:AE651))/STDEV(Rankings!AE2:AE651)*-1</f>
        <v>-1.3120468704779167</v>
      </c>
      <c r="Y482" s="118">
        <f>(VLOOKUP($A482,Pitchers!$A1:$S251,7,FALSE)-AVERAGE(Rankings!AF2:AF651))/STDEV(Rankings!AF2:AF651)</f>
        <v>0.60389947576998815</v>
      </c>
      <c r="Z482" s="118">
        <f>(VLOOKUP($A482,Pitchers!$A1:$S251,8,FALSE)-AVERAGE(Rankings!AG2:AG651))/STDEV(Rankings!AG2:AG651)</f>
        <v>0.91458017623044718</v>
      </c>
      <c r="AA482" s="118">
        <f>(VLOOKUP($A482,Pitchers!$A1:$S251,9,FALSE)-AVERAGE(Rankings!AH2:AH651))/STDEV(Rankings!AH2:AH651)</f>
        <v>-0.48271287499720011</v>
      </c>
      <c r="AB482" s="118">
        <f>(VLOOKUP($A482,Pitchers!$A1:$S251,10,FALSE)-AVERAGE(Rankings!AI2:AI651))/STDEV(Rankings!AI2:AI651)*-1</f>
        <v>-1.3349842801491287</v>
      </c>
      <c r="AC482" s="118">
        <f>(VLOOKUP($A482,Pitchers!$A1:$S251,11,FALSE)-AVERAGE(Rankings!AJ2:AJ651))/STDEV(Rankings!AJ2:AJ651)*-1</f>
        <v>-1.4719242911922161</v>
      </c>
      <c r="AD482" s="118">
        <f>(VLOOKUP($A482,Pitchers!$A1:$S251,12,FALSE)-AVERAGE(Rankings!AK2:AK651))/STDEV(Rankings!AK2:AK651)*-1</f>
        <v>-1.6831654848739519</v>
      </c>
      <c r="AE482" s="118">
        <f>IFERROR((VLOOKUP($A482,Pitchers!$A1:$S251,13,FALSE)-AVERAGE(Rankings!AL2:AL651))/STDEV(Rankings!AL2:AL651)*-1,0)</f>
        <v>-0.80964068570219649</v>
      </c>
      <c r="AF482" s="118">
        <f>(VLOOKUP($A482,Pitchers!$A1:$S251,14,FALSE)-AVERAGE(Rankings!AM2:AM651))/STDEV(Rankings!AM2:AM651)</f>
        <v>-0.6522682457308483</v>
      </c>
      <c r="AG482" s="118">
        <f>(VLOOKUP($A482,Pitchers!$A1:$S251,15,FALSE)-AVERAGE(Rankings!AN2:AN651))/STDEV(Rankings!AN2:AN651)</f>
        <v>1.0885497501852868</v>
      </c>
      <c r="AH482" s="118">
        <f>(VLOOKUP($A482,Pitchers!$A1:$S251,16,FALSE)-AVERAGE(Rankings!AO2:AO651))/STDEV(Rankings!AO2:AO651)*-1</f>
        <v>-1.3341925401748878</v>
      </c>
      <c r="AI482" s="118">
        <f>IFERROR((VLOOKUP($A482,Pitchers!$A1:$S251,17,FALSE)-AVERAGE(Rankings!AP2:AP651))/STDEV(Rankings!AP2:AP651),0)</f>
        <v>1.0614032245546288</v>
      </c>
      <c r="AJ482" s="118">
        <f>(VLOOKUP($A482,Pitchers!$A1:$S251,18,FALSE)-AVERAGE(Rankings!AQ2:AQ651))/STDEV(Rankings!AQ2:AQ651)</f>
        <v>-0.69471541349839372</v>
      </c>
      <c r="AK482" s="118">
        <f>IFERROR((VLOOKUP($A482,Pitchers!$A1:$S251,19,FALSE)-AVERAGE(Rankings!AR2:AR651))/STDEV(Rankings!AR2:AR651)*-1,0)</f>
        <v>0.47686441955275594</v>
      </c>
    </row>
    <row r="483" spans="1:37" ht="18.600000000000001" customHeight="1">
      <c r="A483" s="26" t="s">
        <v>378</v>
      </c>
      <c r="B483" s="27" t="s">
        <v>258</v>
      </c>
      <c r="C483" s="127" t="s">
        <v>31</v>
      </c>
      <c r="D483" s="67">
        <f>(V483*Settings!$G$2)+(Y483*Settings!$G$5)+(Z483*Settings!$G$6)+(AA483*Settings!$G$7)+(AB483*Settings!$G$8)+(AC483*Settings!$G$9)+(AD483*Settings!$G$10)+(AE483*Settings!$G$11)+(AF483*Settings!$G$12)+(AG483*Settings!$G$13)+(AH483*Settings!$G$14)+(AI483*Settings!$G$15)+(AJ483*Settings!$G$16)+(AK483*Settings!$G$17)+(W483*Settings!$G$3)+(X483*Settings!$G$4)</f>
        <v>-0.57005835417383444</v>
      </c>
      <c r="E483" s="67"/>
      <c r="F483" s="67"/>
      <c r="G483" s="67"/>
      <c r="H483" s="67"/>
      <c r="I483" s="67"/>
      <c r="J483" s="67"/>
      <c r="K483" s="72"/>
      <c r="L483" s="72"/>
      <c r="M483" s="67"/>
      <c r="N483" s="67"/>
      <c r="O483" s="67"/>
      <c r="P483" s="67"/>
      <c r="Q483" s="67"/>
      <c r="R483" s="72"/>
      <c r="S483" s="72"/>
      <c r="T483" s="67"/>
      <c r="U483" s="67"/>
      <c r="V483" s="118">
        <f>(VLOOKUP($A483,Pitchers!$A1:$S251,4,FALSE)-AVERAGE(Rankings!AC2:AC651))/STDEV(Rankings!AC2:AC651)</f>
        <v>0.84228981067143804</v>
      </c>
      <c r="W483" s="118">
        <f>(VLOOKUP($A483,Pitchers!$A1:$S251,5,FALSE)-AVERAGE(Rankings!AD2:AD651))/STDEV(Rankings!AD2:AD651)*-1</f>
        <v>-0.49550769000246325</v>
      </c>
      <c r="X483" s="118">
        <f>(VLOOKUP($A483,Pitchers!$A1:$S251,6,FALSE)-AVERAGE(Rankings!AE2:AE651))/STDEV(Rankings!AE2:AE651)*-1</f>
        <v>-0.76089566120381269</v>
      </c>
      <c r="Y483" s="118">
        <f>(VLOOKUP($A483,Pitchers!$A1:$S251,7,FALSE)-AVERAGE(Rankings!AF2:AF651))/STDEV(Rankings!AF2:AF651)</f>
        <v>0.54578992465642284</v>
      </c>
      <c r="Z483" s="118">
        <f>(VLOOKUP($A483,Pitchers!$A1:$S251,8,FALSE)-AVERAGE(Rankings!AG2:AG651))/STDEV(Rankings!AG2:AG651)</f>
        <v>0.62326794737321878</v>
      </c>
      <c r="AA483" s="118">
        <f>(VLOOKUP($A483,Pitchers!$A1:$S251,9,FALSE)-AVERAGE(Rankings!AH2:AH651))/STDEV(Rankings!AH2:AH651)</f>
        <v>-0.48271287499720011</v>
      </c>
      <c r="AB483" s="118">
        <f>(VLOOKUP($A483,Pitchers!$A1:$S251,10,FALSE)-AVERAGE(Rankings!AI2:AI651))/STDEV(Rankings!AI2:AI651)*-1</f>
        <v>-0.93747119179730265</v>
      </c>
      <c r="AC483" s="118">
        <f>(VLOOKUP($A483,Pitchers!$A1:$S251,11,FALSE)-AVERAGE(Rankings!AJ2:AJ651))/STDEV(Rankings!AJ2:AJ651)*-1</f>
        <v>-0.99650928072899192</v>
      </c>
      <c r="AD483" s="118">
        <f>(VLOOKUP($A483,Pitchers!$A1:$S251,12,FALSE)-AVERAGE(Rankings!AK2:AK651))/STDEV(Rankings!AK2:AK651)*-1</f>
        <v>-0.97520722331523579</v>
      </c>
      <c r="AE483" s="118">
        <f>IFERROR((VLOOKUP($A483,Pitchers!$A1:$S251,13,FALSE)-AVERAGE(Rankings!AL2:AL651))/STDEV(Rankings!AL2:AL651)*-1,0)</f>
        <v>-0.58265949327970601</v>
      </c>
      <c r="AF483" s="118">
        <f>(VLOOKUP($A483,Pitchers!$A1:$S251,14,FALSE)-AVERAGE(Rankings!AM2:AM651))/STDEV(Rankings!AM2:AM651)</f>
        <v>-0.77228228644760399</v>
      </c>
      <c r="AG483" s="118">
        <f>(VLOOKUP($A483,Pitchers!$A1:$S251,15,FALSE)-AVERAGE(Rankings!AN2:AN651))/STDEV(Rankings!AN2:AN651)</f>
        <v>0.93437530151236425</v>
      </c>
      <c r="AH483" s="118">
        <f>(VLOOKUP($A483,Pitchers!$A1:$S251,16,FALSE)-AVERAGE(Rankings!AO2:AO651))/STDEV(Rankings!AO2:AO651)*-1</f>
        <v>-1.2788095116666225</v>
      </c>
      <c r="AI483" s="118">
        <f>IFERROR((VLOOKUP($A483,Pitchers!$A1:$S251,17,FALSE)-AVERAGE(Rankings!AP2:AP651))/STDEV(Rankings!AP2:AP651),0)</f>
        <v>0.92546252358226566</v>
      </c>
      <c r="AJ483" s="118">
        <f>(VLOOKUP($A483,Pitchers!$A1:$S251,18,FALSE)-AVERAGE(Rankings!AQ2:AQ651))/STDEV(Rankings!AQ2:AQ651)</f>
        <v>-0.69471541349839372</v>
      </c>
      <c r="AK483" s="118">
        <f>IFERROR((VLOOKUP($A483,Pitchers!$A1:$S251,19,FALSE)-AVERAGE(Rankings!AR2:AR651))/STDEV(Rankings!AR2:AR651)*-1,0)</f>
        <v>0.47686441955275594</v>
      </c>
    </row>
    <row r="484" spans="1:37" ht="18.600000000000001" customHeight="1">
      <c r="A484" s="26" t="s">
        <v>356</v>
      </c>
      <c r="B484" s="27" t="s">
        <v>78</v>
      </c>
      <c r="C484" s="127" t="s">
        <v>31</v>
      </c>
      <c r="D484" s="67">
        <f>(V484*Settings!$G$2)+(Y484*Settings!$G$5)+(Z484*Settings!$G$6)+(AA484*Settings!$G$7)+(AB484*Settings!$G$8)+(AC484*Settings!$G$9)+(AD484*Settings!$G$10)+(AE484*Settings!$G$11)+(AF484*Settings!$G$12)+(AG484*Settings!$G$13)+(AH484*Settings!$G$14)+(AI484*Settings!$G$15)+(AJ484*Settings!$G$16)+(AK484*Settings!$G$17)+(W484*Settings!$G$3)+(X484*Settings!$G$4)</f>
        <v>-0.86815030854161768</v>
      </c>
      <c r="E484" s="67"/>
      <c r="F484" s="67"/>
      <c r="G484" s="67"/>
      <c r="H484" s="67"/>
      <c r="I484" s="67"/>
      <c r="J484" s="67"/>
      <c r="K484" s="72"/>
      <c r="L484" s="72"/>
      <c r="M484" s="67"/>
      <c r="N484" s="67"/>
      <c r="O484" s="67"/>
      <c r="P484" s="67"/>
      <c r="Q484" s="67"/>
      <c r="R484" s="72"/>
      <c r="S484" s="72"/>
      <c r="T484" s="67"/>
      <c r="U484" s="67"/>
      <c r="V484" s="118">
        <f>(VLOOKUP($A484,Pitchers!$A1:$S251,4,FALSE)-AVERAGE(Rankings!AC2:AC651))/STDEV(Rankings!AC2:AC651)</f>
        <v>9.7962653098665666E-3</v>
      </c>
      <c r="W484" s="118">
        <f>(VLOOKUP($A484,Pitchers!$A1:$S251,5,FALSE)-AVERAGE(Rankings!AD2:AD651))/STDEV(Rankings!AD2:AD651)*-1</f>
        <v>0.1392751133271046</v>
      </c>
      <c r="X484" s="118">
        <f>(VLOOKUP($A484,Pitchers!$A1:$S251,6,FALSE)-AVERAGE(Rankings!AE2:AE651))/STDEV(Rankings!AE2:AE651)*-1</f>
        <v>-0.81786281053933696</v>
      </c>
      <c r="Y484" s="118">
        <f>(VLOOKUP($A484,Pitchers!$A1:$S251,7,FALSE)-AVERAGE(Rankings!AF2:AF651))/STDEV(Rankings!AF2:AF651)</f>
        <v>1.5212706794224028E-2</v>
      </c>
      <c r="Z484" s="118">
        <f>(VLOOKUP($A484,Pitchers!$A1:$S251,8,FALSE)-AVERAGE(Rankings!AG2:AG651))/STDEV(Rankings!AG2:AG651)</f>
        <v>0.27793755687359079</v>
      </c>
      <c r="AA484" s="118">
        <f>(VLOOKUP($A484,Pitchers!$A1:$S251,9,FALSE)-AVERAGE(Rankings!AH2:AH651))/STDEV(Rankings!AH2:AH651)</f>
        <v>-0.48271287499720011</v>
      </c>
      <c r="AB484" s="118">
        <f>(VLOOKUP($A484,Pitchers!$A1:$S251,10,FALSE)-AVERAGE(Rankings!AI2:AI651))/STDEV(Rankings!AI2:AI651)*-1</f>
        <v>4.8563238375648313E-2</v>
      </c>
      <c r="AC484" s="118">
        <f>(VLOOKUP($A484,Pitchers!$A1:$S251,11,FALSE)-AVERAGE(Rankings!AJ2:AJ651))/STDEV(Rankings!AJ2:AJ651)*-1</f>
        <v>5.5379471075312083E-2</v>
      </c>
      <c r="AD484" s="118">
        <f>(VLOOKUP($A484,Pitchers!$A1:$S251,12,FALSE)-AVERAGE(Rankings!AK2:AK651))/STDEV(Rankings!AK2:AK651)*-1</f>
        <v>-0.82864909724053315</v>
      </c>
      <c r="AE484" s="118">
        <f>IFERROR((VLOOKUP($A484,Pitchers!$A1:$S251,13,FALSE)-AVERAGE(Rankings!AL2:AL651))/STDEV(Rankings!AL2:AL651)*-1,0)</f>
        <v>0.35907098591998871</v>
      </c>
      <c r="AF484" s="118">
        <f>(VLOOKUP($A484,Pitchers!$A1:$S251,14,FALSE)-AVERAGE(Rankings!AM2:AM651))/STDEV(Rankings!AM2:AM651)</f>
        <v>-1.2433409385879279</v>
      </c>
      <c r="AG484" s="118">
        <f>(VLOOKUP($A484,Pitchers!$A1:$S251,15,FALSE)-AVERAGE(Rankings!AN2:AN651))/STDEV(Rankings!AN2:AN651)</f>
        <v>0.34492014908896601</v>
      </c>
      <c r="AH484" s="118">
        <f>(VLOOKUP($A484,Pitchers!$A1:$S251,16,FALSE)-AVERAGE(Rankings!AO2:AO651))/STDEV(Rankings!AO2:AO651)*-1</f>
        <v>0.34032961589856087</v>
      </c>
      <c r="AI484" s="118">
        <f>IFERROR((VLOOKUP($A484,Pitchers!$A1:$S251,17,FALSE)-AVERAGE(Rankings!AP2:AP651))/STDEV(Rankings!AP2:AP651),0)</f>
        <v>0.65358112163753934</v>
      </c>
      <c r="AJ484" s="118">
        <f>(VLOOKUP($A484,Pitchers!$A1:$S251,18,FALSE)-AVERAGE(Rankings!AQ2:AQ651))/STDEV(Rankings!AQ2:AQ651)</f>
        <v>-0.69471541349839372</v>
      </c>
      <c r="AK484" s="118">
        <f>IFERROR((VLOOKUP($A484,Pitchers!$A1:$S251,19,FALSE)-AVERAGE(Rankings!AR2:AR651))/STDEV(Rankings!AR2:AR651)*-1,0)</f>
        <v>0.47686441955275594</v>
      </c>
    </row>
    <row r="485" spans="1:37" ht="18.600000000000001" customHeight="1">
      <c r="A485" s="26" t="s">
        <v>475</v>
      </c>
      <c r="B485" s="27" t="s">
        <v>103</v>
      </c>
      <c r="C485" s="127" t="s">
        <v>31</v>
      </c>
      <c r="D485" s="67">
        <f>(V485*Settings!$G$2)+(Y485*Settings!$G$5)+(Z485*Settings!$G$6)+(AA485*Settings!$G$7)+(AB485*Settings!$G$8)+(AC485*Settings!$G$9)+(AD485*Settings!$G$10)+(AE485*Settings!$G$11)+(AF485*Settings!$G$12)+(AG485*Settings!$G$13)+(AH485*Settings!$G$14)+(AI485*Settings!$G$15)+(AJ485*Settings!$G$16)+(AK485*Settings!$G$17)+(W485*Settings!$G$3)+(X485*Settings!$G$4)</f>
        <v>-1.9659840492078622</v>
      </c>
      <c r="E485" s="67"/>
      <c r="F485" s="67"/>
      <c r="G485" s="67"/>
      <c r="H485" s="67"/>
      <c r="I485" s="67"/>
      <c r="J485" s="67"/>
      <c r="K485" s="72"/>
      <c r="L485" s="72"/>
      <c r="M485" s="67"/>
      <c r="N485" s="67"/>
      <c r="O485" s="67"/>
      <c r="P485" s="67"/>
      <c r="Q485" s="67"/>
      <c r="R485" s="72"/>
      <c r="S485" s="72"/>
      <c r="T485" s="67"/>
      <c r="U485" s="67"/>
      <c r="V485" s="118">
        <f>(VLOOKUP($A485,Pitchers!$A1:$S251,4,FALSE)-AVERAGE(Rankings!AC2:AC651))/STDEV(Rankings!AC2:AC651)</f>
        <v>1.1384341217834957</v>
      </c>
      <c r="W485" s="118">
        <f>(VLOOKUP($A485,Pitchers!$A1:$S251,5,FALSE)-AVERAGE(Rankings!AD2:AD651))/STDEV(Rankings!AD2:AD651)*-1</f>
        <v>-1.828032964023744</v>
      </c>
      <c r="X485" s="118">
        <f>(VLOOKUP($A485,Pitchers!$A1:$S251,6,FALSE)-AVERAGE(Rankings!AE2:AE651))/STDEV(Rankings!AE2:AE651)*-1</f>
        <v>-1.587130615137337</v>
      </c>
      <c r="Y485" s="118">
        <f>(VLOOKUP($A485,Pitchers!$A1:$S251,7,FALSE)-AVERAGE(Rankings!AF2:AF651))/STDEV(Rankings!AF2:AF651)</f>
        <v>1.0185983754257435</v>
      </c>
      <c r="Z485" s="118">
        <f>(VLOOKUP($A485,Pitchers!$A1:$S251,8,FALSE)-AVERAGE(Rankings!AG2:AG651))/STDEV(Rankings!AG2:AG651)</f>
        <v>0.91329402952467553</v>
      </c>
      <c r="AA485" s="118">
        <f>(VLOOKUP($A485,Pitchers!$A1:$S251,9,FALSE)-AVERAGE(Rankings!AH2:AH651))/STDEV(Rankings!AH2:AH651)</f>
        <v>-0.48271287499720011</v>
      </c>
      <c r="AB485" s="118">
        <f>(VLOOKUP($A485,Pitchers!$A1:$S251,10,FALSE)-AVERAGE(Rankings!AI2:AI651))/STDEV(Rankings!AI2:AI651)*-1</f>
        <v>-1.7367820344726965</v>
      </c>
      <c r="AC485" s="118">
        <f>(VLOOKUP($A485,Pitchers!$A1:$S251,11,FALSE)-AVERAGE(Rankings!AJ2:AJ651))/STDEV(Rankings!AJ2:AJ651)*-1</f>
        <v>-1.3168904744858561</v>
      </c>
      <c r="AD485" s="118">
        <f>(VLOOKUP($A485,Pitchers!$A1:$S251,12,FALSE)-AVERAGE(Rankings!AK2:AK651))/STDEV(Rankings!AK2:AK651)*-1</f>
        <v>-2.1232327803261448</v>
      </c>
      <c r="AE485" s="118">
        <f>IFERROR((VLOOKUP($A485,Pitchers!$A1:$S251,13,FALSE)-AVERAGE(Rankings!AL2:AL651))/STDEV(Rankings!AL2:AL651)*-1,0)</f>
        <v>-1.6741009717367881</v>
      </c>
      <c r="AF485" s="118">
        <f>(VLOOKUP($A485,Pitchers!$A1:$S251,14,FALSE)-AVERAGE(Rankings!AM2:AM651))/STDEV(Rankings!AM2:AM651)</f>
        <v>-0.56257652462847962</v>
      </c>
      <c r="AG485" s="118">
        <f>(VLOOKUP($A485,Pitchers!$A1:$S251,15,FALSE)-AVERAGE(Rankings!AN2:AN651))/STDEV(Rankings!AN2:AN651)</f>
        <v>1.0710182075268273</v>
      </c>
      <c r="AH485" s="118">
        <f>(VLOOKUP($A485,Pitchers!$A1:$S251,16,FALSE)-AVERAGE(Rankings!AO2:AO651))/STDEV(Rankings!AO2:AO651)*-1</f>
        <v>-1.5331115145402168</v>
      </c>
      <c r="AI485" s="118">
        <f>IFERROR((VLOOKUP($A485,Pitchers!$A1:$S251,17,FALSE)-AVERAGE(Rankings!AP2:AP651))/STDEV(Rankings!AP2:AP651),0)</f>
        <v>0.65358112163753934</v>
      </c>
      <c r="AJ485" s="118">
        <f>(VLOOKUP($A485,Pitchers!$A1:$S251,18,FALSE)-AVERAGE(Rankings!AQ2:AQ651))/STDEV(Rankings!AQ2:AQ651)</f>
        <v>-0.69471541349839372</v>
      </c>
      <c r="AK485" s="118">
        <f>IFERROR((VLOOKUP($A485,Pitchers!$A1:$S251,19,FALSE)-AVERAGE(Rankings!AR2:AR651))/STDEV(Rankings!AR2:AR651)*-1,0)</f>
        <v>0.47686441955275594</v>
      </c>
    </row>
    <row r="486" spans="1:37" ht="18.600000000000001" customHeight="1">
      <c r="A486" s="26" t="s">
        <v>351</v>
      </c>
      <c r="B486" s="27" t="s">
        <v>76</v>
      </c>
      <c r="C486" s="127" t="s">
        <v>31</v>
      </c>
      <c r="D486" s="67">
        <f>(V486*Settings!$G$2)+(Y486*Settings!$G$5)+(Z486*Settings!$G$6)+(AA486*Settings!$G$7)+(AB486*Settings!$G$8)+(AC486*Settings!$G$9)+(AD486*Settings!$G$10)+(AE486*Settings!$G$11)+(AF486*Settings!$G$12)+(AG486*Settings!$G$13)+(AH486*Settings!$G$14)+(AI486*Settings!$G$15)+(AJ486*Settings!$G$16)+(AK486*Settings!$G$17)+(W486*Settings!$G$3)+(X486*Settings!$G$4)</f>
        <v>-0.74618948414251973</v>
      </c>
      <c r="E486" s="67"/>
      <c r="F486" s="67"/>
      <c r="G486" s="67"/>
      <c r="H486" s="67"/>
      <c r="I486" s="67"/>
      <c r="J486" s="67"/>
      <c r="K486" s="72"/>
      <c r="L486" s="72"/>
      <c r="M486" s="67"/>
      <c r="N486" s="67"/>
      <c r="O486" s="67"/>
      <c r="P486" s="67"/>
      <c r="Q486" s="67"/>
      <c r="R486" s="72"/>
      <c r="S486" s="72"/>
      <c r="T486" s="67"/>
      <c r="U486" s="67"/>
      <c r="V486" s="118">
        <f>(VLOOKUP($A486,Pitchers!$A1:$S251,4,FALSE)-AVERAGE(Rankings!AC2:AC651))/STDEV(Rankings!AC2:AC651)</f>
        <v>0.30228687765781753</v>
      </c>
      <c r="W486" s="118">
        <f>(VLOOKUP($A486,Pitchers!$A1:$S251,5,FALSE)-AVERAGE(Rankings!AD2:AD651))/STDEV(Rankings!AD2:AD651)*-1</f>
        <v>-0.77070440523603889</v>
      </c>
      <c r="X486" s="118">
        <f>(VLOOKUP($A486,Pitchers!$A1:$S251,6,FALSE)-AVERAGE(Rankings!AE2:AE651))/STDEV(Rankings!AE2:AE651)*-1</f>
        <v>0.15047264084498199</v>
      </c>
      <c r="Y486" s="118">
        <f>(VLOOKUP($A486,Pitchers!$A1:$S251,7,FALSE)-AVERAGE(Rankings!AF2:AF651))/STDEV(Rankings!AF2:AF651)</f>
        <v>2.3191753347532113E-2</v>
      </c>
      <c r="Z486" s="118">
        <f>(VLOOKUP($A486,Pitchers!$A1:$S251,8,FALSE)-AVERAGE(Rankings!AG2:AG651))/STDEV(Rankings!AG2:AG651)</f>
        <v>0.33356340189820521</v>
      </c>
      <c r="AA486" s="118">
        <f>(VLOOKUP($A486,Pitchers!$A1:$S251,9,FALSE)-AVERAGE(Rankings!AH2:AH651))/STDEV(Rankings!AH2:AH651)</f>
        <v>-0.48271287499720011</v>
      </c>
      <c r="AB486" s="118">
        <f>(VLOOKUP($A486,Pitchers!$A1:$S251,10,FALSE)-AVERAGE(Rankings!AI2:AI651))/STDEV(Rankings!AI2:AI651)*-1</f>
        <v>-0.48328846463791336</v>
      </c>
      <c r="AC486" s="118">
        <f>(VLOOKUP($A486,Pitchers!$A1:$S251,11,FALSE)-AVERAGE(Rankings!AJ2:AJ651))/STDEV(Rankings!AJ2:AJ651)*-1</f>
        <v>-0.4284846345897505</v>
      </c>
      <c r="AD486" s="118">
        <f>(VLOOKUP($A486,Pitchers!$A1:$S251,12,FALSE)-AVERAGE(Rankings!AK2:AK651))/STDEV(Rankings!AK2:AK651)*-1</f>
        <v>0.2838567423517348</v>
      </c>
      <c r="AE486" s="118">
        <f>IFERROR((VLOOKUP($A486,Pitchers!$A1:$S251,13,FALSE)-AVERAGE(Rankings!AL2:AL651))/STDEV(Rankings!AL2:AL651)*-1,0)</f>
        <v>-0.64544152522635234</v>
      </c>
      <c r="AF486" s="118">
        <f>(VLOOKUP($A486,Pitchers!$A1:$S251,14,FALSE)-AVERAGE(Rankings!AM2:AM651))/STDEV(Rankings!AM2:AM651)</f>
        <v>-1.0145774571980788</v>
      </c>
      <c r="AG486" s="118">
        <f>(VLOOKUP($A486,Pitchers!$A1:$S251,15,FALSE)-AVERAGE(Rankings!AN2:AN651))/STDEV(Rankings!AN2:AN651)</f>
        <v>0.65206590135040743</v>
      </c>
      <c r="AH486" s="118">
        <f>(VLOOKUP($A486,Pitchers!$A1:$S251,16,FALSE)-AVERAGE(Rankings!AO2:AO651))/STDEV(Rankings!AO2:AO651)*-1</f>
        <v>-0.47067722371036996</v>
      </c>
      <c r="AI486" s="118">
        <f>IFERROR((VLOOKUP($A486,Pitchers!$A1:$S251,17,FALSE)-AVERAGE(Rankings!AP2:AP651))/STDEV(Rankings!AP2:AP651),0)</f>
        <v>0.38169971969281308</v>
      </c>
      <c r="AJ486" s="118">
        <f>(VLOOKUP($A486,Pitchers!$A1:$S251,18,FALSE)-AVERAGE(Rankings!AQ2:AQ651))/STDEV(Rankings!AQ2:AQ651)</f>
        <v>-0.69471541349839372</v>
      </c>
      <c r="AK486" s="118">
        <f>IFERROR((VLOOKUP($A486,Pitchers!$A1:$S251,19,FALSE)-AVERAGE(Rankings!AR2:AR651))/STDEV(Rankings!AR2:AR651)*-1,0)</f>
        <v>0.47686441955275594</v>
      </c>
    </row>
    <row r="487" spans="1:37" ht="18.600000000000001" customHeight="1">
      <c r="A487" s="26" t="s">
        <v>337</v>
      </c>
      <c r="B487" s="27" t="s">
        <v>120</v>
      </c>
      <c r="C487" s="127" t="s">
        <v>31</v>
      </c>
      <c r="D487" s="67">
        <f>(V487*Settings!$G$2)+(Y487*Settings!$G$5)+(Z487*Settings!$G$6)+(AA487*Settings!$G$7)+(AB487*Settings!$G$8)+(AC487*Settings!$G$9)+(AD487*Settings!$G$10)+(AE487*Settings!$G$11)+(AF487*Settings!$G$12)+(AG487*Settings!$G$13)+(AH487*Settings!$G$14)+(AI487*Settings!$G$15)+(AJ487*Settings!$G$16)+(AK487*Settings!$G$17)+(W487*Settings!$G$3)+(X487*Settings!$G$4)</f>
        <v>-4.0120990981386786</v>
      </c>
      <c r="E487" s="67"/>
      <c r="F487" s="67"/>
      <c r="G487" s="67"/>
      <c r="H487" s="67"/>
      <c r="I487" s="67"/>
      <c r="J487" s="67"/>
      <c r="K487" s="72"/>
      <c r="L487" s="72"/>
      <c r="M487" s="67"/>
      <c r="N487" s="67"/>
      <c r="O487" s="67"/>
      <c r="P487" s="67"/>
      <c r="Q487" s="67"/>
      <c r="R487" s="72"/>
      <c r="S487" s="72"/>
      <c r="T487" s="67"/>
      <c r="U487" s="67"/>
      <c r="V487" s="118">
        <f>(VLOOKUP($A487,Pitchers!$A1:$S251,4,FALSE)-AVERAGE(Rankings!AC2:AC651))/STDEV(Rankings!AC2:AC651)</f>
        <v>-0.23796803458091437</v>
      </c>
      <c r="W487" s="118">
        <f>(VLOOKUP($A487,Pitchers!$A1:$S251,5,FALSE)-AVERAGE(Rankings!AD2:AD651))/STDEV(Rankings!AD2:AD651)*-1</f>
        <v>-1.574522404339525</v>
      </c>
      <c r="X487" s="118">
        <f>(VLOOKUP($A487,Pitchers!$A1:$S251,6,FALSE)-AVERAGE(Rankings!AE2:AE651))/STDEV(Rankings!AE2:AE651)*-1</f>
        <v>-0.9518451197635861</v>
      </c>
      <c r="Y487" s="118">
        <f>(VLOOKUP($A487,Pitchers!$A1:$S251,7,FALSE)-AVERAGE(Rankings!AF2:AF651))/STDEV(Rankings!AF2:AF651)</f>
        <v>-0.57389710441411657</v>
      </c>
      <c r="Z487" s="118">
        <f>(VLOOKUP($A487,Pitchers!$A1:$S251,8,FALSE)-AVERAGE(Rankings!AG2:AG651))/STDEV(Rankings!AG2:AG651)</f>
        <v>-0.42912159462425059</v>
      </c>
      <c r="AA487" s="118">
        <f>(VLOOKUP($A487,Pitchers!$A1:$S251,9,FALSE)-AVERAGE(Rankings!AH2:AH651))/STDEV(Rankings!AH2:AH651)</f>
        <v>-0.48271287499720011</v>
      </c>
      <c r="AB487" s="118">
        <f>(VLOOKUP($A487,Pitchers!$A1:$S251,10,FALSE)-AVERAGE(Rankings!AI2:AI651))/STDEV(Rankings!AI2:AI651)*-1</f>
        <v>-0.11808373024553455</v>
      </c>
      <c r="AC487" s="118">
        <f>(VLOOKUP($A487,Pitchers!$A1:$S251,11,FALSE)-AVERAGE(Rankings!AJ2:AJ651))/STDEV(Rankings!AJ2:AJ651)*-1</f>
        <v>8.4479287790023727E-2</v>
      </c>
      <c r="AD487" s="118">
        <f>(VLOOKUP($A487,Pitchers!$A1:$S251,12,FALSE)-AVERAGE(Rankings!AK2:AK651))/STDEV(Rankings!AK2:AK651)*-1</f>
        <v>8.8891213777290354E-2</v>
      </c>
      <c r="AE487" s="118">
        <f>IFERROR((VLOOKUP($A487,Pitchers!$A1:$S251,13,FALSE)-AVERAGE(Rankings!AL2:AL651))/STDEV(Rankings!AL2:AL651)*-1,0)</f>
        <v>-0.16250281794445742</v>
      </c>
      <c r="AF487" s="118">
        <f>(VLOOKUP($A487,Pitchers!$A1:$S251,14,FALSE)-AVERAGE(Rankings!AM2:AM651))/STDEV(Rankings!AM2:AM651)</f>
        <v>-1.2977865054656297</v>
      </c>
      <c r="AG487" s="118">
        <f>(VLOOKUP($A487,Pitchers!$A1:$S251,15,FALSE)-AVERAGE(Rankings!AN2:AN651))/STDEV(Rankings!AN2:AN651)</f>
        <v>0.15512401202422252</v>
      </c>
      <c r="AH487" s="118">
        <f>(VLOOKUP($A487,Pitchers!$A1:$S251,16,FALSE)-AVERAGE(Rankings!AO2:AO651))/STDEV(Rankings!AO2:AO651)*-1</f>
        <v>-1.4581694818768918E-2</v>
      </c>
      <c r="AI487" s="118">
        <f>IFERROR((VLOOKUP($A487,Pitchers!$A1:$S251,17,FALSE)-AVERAGE(Rankings!AP2:AP651))/STDEV(Rankings!AP2:AP651),0)</f>
        <v>0.10981831774808683</v>
      </c>
      <c r="AJ487" s="118">
        <f>(VLOOKUP($A487,Pitchers!$A1:$S251,18,FALSE)-AVERAGE(Rankings!AQ2:AQ651))/STDEV(Rankings!AQ2:AQ651)</f>
        <v>-0.69471541349839372</v>
      </c>
      <c r="AK487" s="118">
        <f>IFERROR((VLOOKUP($A487,Pitchers!$A1:$S251,19,FALSE)-AVERAGE(Rankings!AR2:AR651))/STDEV(Rankings!AR2:AR651)*-1,0)</f>
        <v>0.47686441955275594</v>
      </c>
    </row>
    <row r="488" spans="1:37" ht="18.600000000000001" customHeight="1">
      <c r="A488" s="26" t="s">
        <v>386</v>
      </c>
      <c r="B488" s="27" t="s">
        <v>134</v>
      </c>
      <c r="C488" s="127" t="s">
        <v>31</v>
      </c>
      <c r="D488" s="67">
        <f>(V488*Settings!$G$2)+(Y488*Settings!$G$5)+(Z488*Settings!$G$6)+(AA488*Settings!$G$7)+(AB488*Settings!$G$8)+(AC488*Settings!$G$9)+(AD488*Settings!$G$10)+(AE488*Settings!$G$11)+(AF488*Settings!$G$12)+(AG488*Settings!$G$13)+(AH488*Settings!$G$14)+(AI488*Settings!$G$15)+(AJ488*Settings!$G$16)+(AK488*Settings!$G$17)+(W488*Settings!$G$3)+(X488*Settings!$G$4)</f>
        <v>-1.5046026996163415</v>
      </c>
      <c r="E488" s="67"/>
      <c r="F488" s="67"/>
      <c r="G488" s="67"/>
      <c r="H488" s="67"/>
      <c r="I488" s="67"/>
      <c r="J488" s="67"/>
      <c r="K488" s="72"/>
      <c r="L488" s="72"/>
      <c r="M488" s="67"/>
      <c r="N488" s="67"/>
      <c r="O488" s="67"/>
      <c r="P488" s="67"/>
      <c r="Q488" s="67"/>
      <c r="R488" s="72"/>
      <c r="S488" s="72"/>
      <c r="T488" s="67"/>
      <c r="U488" s="67"/>
      <c r="V488" s="118">
        <f>(VLOOKUP($A488,Pitchers!$A1:$S251,4,FALSE)-AVERAGE(Rankings!AC2:AC651))/STDEV(Rankings!AC2:AC651)</f>
        <v>0.29457860408965464</v>
      </c>
      <c r="W488" s="118">
        <f>(VLOOKUP($A488,Pitchers!$A1:$S251,5,FALSE)-AVERAGE(Rankings!AD2:AD651))/STDEV(Rankings!AD2:AD651)*-1</f>
        <v>-0.59902414646515922</v>
      </c>
      <c r="X488" s="118">
        <f>(VLOOKUP($A488,Pitchers!$A1:$S251,6,FALSE)-AVERAGE(Rankings!AE2:AE651))/STDEV(Rankings!AE2:AE651)*-1</f>
        <v>-0.80158961127636075</v>
      </c>
      <c r="Y488" s="118">
        <f>(VLOOKUP($A488,Pitchers!$A1:$S251,7,FALSE)-AVERAGE(Rankings!AF2:AF651))/STDEV(Rankings!AF2:AF651)</f>
        <v>0.33775890678717307</v>
      </c>
      <c r="Z488" s="118">
        <f>(VLOOKUP($A488,Pitchers!$A1:$S251,8,FALSE)-AVERAGE(Rankings!AG2:AG651))/STDEV(Rankings!AG2:AG651)</f>
        <v>4.0965026335205448E-2</v>
      </c>
      <c r="AA488" s="118">
        <f>(VLOOKUP($A488,Pitchers!$A1:$S251,9,FALSE)-AVERAGE(Rankings!AH2:AH651))/STDEV(Rankings!AH2:AH651)</f>
        <v>-0.48271287499720011</v>
      </c>
      <c r="AB488" s="118">
        <f>(VLOOKUP($A488,Pitchers!$A1:$S251,10,FALSE)-AVERAGE(Rankings!AI2:AI651))/STDEV(Rankings!AI2:AI651)*-1</f>
        <v>-0.42596300961018407</v>
      </c>
      <c r="AC488" s="118">
        <f>(VLOOKUP($A488,Pitchers!$A1:$S251,11,FALSE)-AVERAGE(Rankings!AJ2:AJ651))/STDEV(Rankings!AJ2:AJ651)*-1</f>
        <v>-0.38116498129453791</v>
      </c>
      <c r="AD488" s="118">
        <f>(VLOOKUP($A488,Pitchers!$A1:$S251,12,FALSE)-AVERAGE(Rankings!AK2:AK651))/STDEV(Rankings!AK2:AK651)*-1</f>
        <v>-0.62936147915718232</v>
      </c>
      <c r="AE488" s="118">
        <f>IFERROR((VLOOKUP($A488,Pitchers!$A1:$S251,13,FALSE)-AVERAGE(Rankings!AL2:AL651))/STDEV(Rankings!AL2:AL651)*-1,0)</f>
        <v>-0.14801465672600089</v>
      </c>
      <c r="AF488" s="118">
        <f>(VLOOKUP($A488,Pitchers!$A1:$S251,14,FALSE)-AVERAGE(Rankings!AM2:AM651))/STDEV(Rankings!AM2:AM651)</f>
        <v>-0.66891718290229918</v>
      </c>
      <c r="AG488" s="118">
        <f>(VLOOKUP($A488,Pitchers!$A1:$S251,15,FALSE)-AVERAGE(Rankings!AN2:AN651))/STDEV(Rankings!AN2:AN651)</f>
        <v>0.63264370213074128</v>
      </c>
      <c r="AH488" s="118">
        <f>(VLOOKUP($A488,Pitchers!$A1:$S251,16,FALSE)-AVERAGE(Rankings!AO2:AO651))/STDEV(Rankings!AO2:AO651)*-1</f>
        <v>-0.95935100466565637</v>
      </c>
      <c r="AI488" s="118">
        <f>IFERROR((VLOOKUP($A488,Pitchers!$A1:$S251,17,FALSE)-AVERAGE(Rankings!AP2:AP651))/STDEV(Rankings!AP2:AP651),0)</f>
        <v>0.24575901872044997</v>
      </c>
      <c r="AJ488" s="118">
        <f>(VLOOKUP($A488,Pitchers!$A1:$S251,18,FALSE)-AVERAGE(Rankings!AQ2:AQ651))/STDEV(Rankings!AQ2:AQ651)</f>
        <v>-0.69471541349839372</v>
      </c>
      <c r="AK488" s="118">
        <f>IFERROR((VLOOKUP($A488,Pitchers!$A1:$S251,19,FALSE)-AVERAGE(Rankings!AR2:AR651))/STDEV(Rankings!AR2:AR651)*-1,0)</f>
        <v>0.47686441955275594</v>
      </c>
    </row>
    <row r="489" spans="1:37" ht="18.600000000000001" customHeight="1">
      <c r="A489" s="26" t="s">
        <v>384</v>
      </c>
      <c r="B489" s="27" t="s">
        <v>91</v>
      </c>
      <c r="C489" s="127" t="s">
        <v>31</v>
      </c>
      <c r="D489" s="67">
        <f>(V489*Settings!$G$2)+(Y489*Settings!$G$5)+(Z489*Settings!$G$6)+(AA489*Settings!$G$7)+(AB489*Settings!$G$8)+(AC489*Settings!$G$9)+(AD489*Settings!$G$10)+(AE489*Settings!$G$11)+(AF489*Settings!$G$12)+(AG489*Settings!$G$13)+(AH489*Settings!$G$14)+(AI489*Settings!$G$15)+(AJ489*Settings!$G$16)+(AK489*Settings!$G$17)+(W489*Settings!$G$3)+(X489*Settings!$G$4)</f>
        <v>-0.20077093537894231</v>
      </c>
      <c r="E489" s="67"/>
      <c r="F489" s="67"/>
      <c r="G489" s="67"/>
      <c r="H489" s="67"/>
      <c r="I489" s="67"/>
      <c r="J489" s="67"/>
      <c r="K489" s="72"/>
      <c r="L489" s="72"/>
      <c r="M489" s="67"/>
      <c r="N489" s="67"/>
      <c r="O489" s="67"/>
      <c r="P489" s="67"/>
      <c r="Q489" s="67"/>
      <c r="R489" s="72"/>
      <c r="S489" s="72"/>
      <c r="T489" s="67"/>
      <c r="U489" s="67"/>
      <c r="V489" s="118">
        <f>(VLOOKUP($A489,Pitchers!$A1:$S251,4,FALSE)-AVERAGE(Rankings!AC2:AC651))/STDEV(Rankings!AC2:AC651)</f>
        <v>0.97806079860160289</v>
      </c>
      <c r="W489" s="118">
        <f>(VLOOKUP($A489,Pitchers!$A1:$S251,5,FALSE)-AVERAGE(Rankings!AD2:AD651))/STDEV(Rankings!AD2:AD651)*-1</f>
        <v>-9.8496602879573486E-2</v>
      </c>
      <c r="X489" s="118">
        <f>(VLOOKUP($A489,Pitchers!$A1:$S251,6,FALSE)-AVERAGE(Rankings!AE2:AE651))/STDEV(Rankings!AE2:AE651)*-1</f>
        <v>-1.0214772975925985</v>
      </c>
      <c r="Y489" s="118">
        <f>(VLOOKUP($A489,Pitchers!$A1:$S251,7,FALSE)-AVERAGE(Rankings!AF2:AF651))/STDEV(Rankings!AF2:AF651)</f>
        <v>0.40387100680030108</v>
      </c>
      <c r="Z489" s="118">
        <f>(VLOOKUP($A489,Pitchers!$A1:$S251,8,FALSE)-AVERAGE(Rankings!AG2:AG651))/STDEV(Rankings!AG2:AG651)</f>
        <v>0.99657202872337503</v>
      </c>
      <c r="AA489" s="118">
        <f>(VLOOKUP($A489,Pitchers!$A1:$S251,9,FALSE)-AVERAGE(Rankings!AH2:AH651))/STDEV(Rankings!AH2:AH651)</f>
        <v>-0.48124007043044637</v>
      </c>
      <c r="AB489" s="118">
        <f>(VLOOKUP($A489,Pitchers!$A1:$S251,10,FALSE)-AVERAGE(Rankings!AI2:AI651))/STDEV(Rankings!AI2:AI651)*-1</f>
        <v>-0.92766546834417407</v>
      </c>
      <c r="AC489" s="118">
        <f>(VLOOKUP($A489,Pitchers!$A1:$S251,11,FALSE)-AVERAGE(Rankings!AJ2:AJ651))/STDEV(Rankings!AJ2:AJ651)*-1</f>
        <v>-1.1265026225494565</v>
      </c>
      <c r="AD489" s="118">
        <f>(VLOOKUP($A489,Pitchers!$A1:$S251,12,FALSE)-AVERAGE(Rankings!AK2:AK651))/STDEV(Rankings!AK2:AK651)*-1</f>
        <v>-1.4156674359955115</v>
      </c>
      <c r="AE489" s="118">
        <f>IFERROR((VLOOKUP($A489,Pitchers!$A1:$S251,13,FALSE)-AVERAGE(Rankings!AL2:AL651))/STDEV(Rankings!AL2:AL651)*-1,0)</f>
        <v>-0.25909055940083658</v>
      </c>
      <c r="AF489" s="118">
        <f>(VLOOKUP($A489,Pitchers!$A1:$S251,14,FALSE)-AVERAGE(Rankings!AM2:AM651))/STDEV(Rankings!AM2:AM651)</f>
        <v>-0.69222569494233055</v>
      </c>
      <c r="AG489" s="118">
        <f>(VLOOKUP($A489,Pitchers!$A1:$S251,15,FALSE)-AVERAGE(Rankings!AN2:AN651))/STDEV(Rankings!AN2:AN651)</f>
        <v>1.0289081295726847</v>
      </c>
      <c r="AH489" s="118">
        <f>(VLOOKUP($A489,Pitchers!$A1:$S251,16,FALSE)-AVERAGE(Rankings!AO2:AO651))/STDEV(Rankings!AO2:AO651)*-1</f>
        <v>-0.71405593030378733</v>
      </c>
      <c r="AI489" s="118">
        <f>IFERROR((VLOOKUP($A489,Pitchers!$A1:$S251,17,FALSE)-AVERAGE(Rankings!AP2:AP651))/STDEV(Rankings!AP2:AP651),0)</f>
        <v>0.92546252358226566</v>
      </c>
      <c r="AJ489" s="118">
        <f>(VLOOKUP($A489,Pitchers!$A1:$S251,18,FALSE)-AVERAGE(Rankings!AQ2:AQ651))/STDEV(Rankings!AQ2:AQ651)</f>
        <v>-0.69471541349839372</v>
      </c>
      <c r="AK489" s="118">
        <f>IFERROR((VLOOKUP($A489,Pitchers!$A1:$S251,19,FALSE)-AVERAGE(Rankings!AR2:AR651))/STDEV(Rankings!AR2:AR651)*-1,0)</f>
        <v>0.47686441955275594</v>
      </c>
    </row>
    <row r="490" spans="1:37" ht="18.600000000000001" customHeight="1">
      <c r="A490" s="26" t="s">
        <v>346</v>
      </c>
      <c r="B490" s="27" t="s">
        <v>217</v>
      </c>
      <c r="C490" s="127" t="s">
        <v>31</v>
      </c>
      <c r="D490" s="67">
        <f>(V490*Settings!$G$2)+(Y490*Settings!$G$5)+(Z490*Settings!$G$6)+(AA490*Settings!$G$7)+(AB490*Settings!$G$8)+(AC490*Settings!$G$9)+(AD490*Settings!$G$10)+(AE490*Settings!$G$11)+(AF490*Settings!$G$12)+(AG490*Settings!$G$13)+(AH490*Settings!$G$14)+(AI490*Settings!$G$15)+(AJ490*Settings!$G$16)+(AK490*Settings!$G$17)+(W490*Settings!$G$3)+(X490*Settings!$G$4)</f>
        <v>-1.1596632418274</v>
      </c>
      <c r="E490" s="67"/>
      <c r="F490" s="67"/>
      <c r="G490" s="67"/>
      <c r="H490" s="67"/>
      <c r="I490" s="67"/>
      <c r="J490" s="67"/>
      <c r="K490" s="72"/>
      <c r="L490" s="72"/>
      <c r="M490" s="67"/>
      <c r="N490" s="67"/>
      <c r="O490" s="67"/>
      <c r="P490" s="67"/>
      <c r="Q490" s="67"/>
      <c r="R490" s="72"/>
      <c r="S490" s="72"/>
      <c r="T490" s="67"/>
      <c r="U490" s="67"/>
      <c r="V490" s="118">
        <f>(VLOOKUP($A490,Pitchers!$A1:$S251,4,FALSE)-AVERAGE(Rankings!AC2:AC651))/STDEV(Rankings!AC2:AC651)</f>
        <v>0.47992077775980163</v>
      </c>
      <c r="W490" s="118">
        <f>(VLOOKUP($A490,Pitchers!$A1:$S251,5,FALSE)-AVERAGE(Rankings!AD2:AD651))/STDEV(Rankings!AD2:AD651)*-1</f>
        <v>-0.70773531489224784</v>
      </c>
      <c r="X490" s="118">
        <f>(VLOOKUP($A490,Pitchers!$A1:$S251,6,FALSE)-AVERAGE(Rankings!AE2:AE651))/STDEV(Rankings!AE2:AE651)*-1</f>
        <v>-0.32046706991494955</v>
      </c>
      <c r="Y490" s="118">
        <f>(VLOOKUP($A490,Pitchers!$A1:$S251,7,FALSE)-AVERAGE(Rankings!AF2:AF651))/STDEV(Rankings!AF2:AF651)</f>
        <v>1.5894274835596061E-2</v>
      </c>
      <c r="Z490" s="118">
        <f>(VLOOKUP($A490,Pitchers!$A1:$S251,8,FALSE)-AVERAGE(Rankings!AG2:AG651))/STDEV(Rankings!AG2:AG651)</f>
        <v>0.33388493857464757</v>
      </c>
      <c r="AA490" s="118">
        <f>(VLOOKUP($A490,Pitchers!$A1:$S251,9,FALSE)-AVERAGE(Rankings!AH2:AH651))/STDEV(Rankings!AH2:AH651)</f>
        <v>-0.48124007043044637</v>
      </c>
      <c r="AB490" s="118">
        <f>(VLOOKUP($A490,Pitchers!$A1:$S251,10,FALSE)-AVERAGE(Rankings!AI2:AI651))/STDEV(Rankings!AI2:AI651)*-1</f>
        <v>-0.6447666863517979</v>
      </c>
      <c r="AC490" s="118">
        <f>(VLOOKUP($A490,Pitchers!$A1:$S251,11,FALSE)-AVERAGE(Rankings!AJ2:AJ651))/STDEV(Rankings!AJ2:AJ651)*-1</f>
        <v>-0.75113150750688429</v>
      </c>
      <c r="AD490" s="118">
        <f>(VLOOKUP($A490,Pitchers!$A1:$S251,12,FALSE)-AVERAGE(Rankings!AK2:AK651))/STDEV(Rankings!AK2:AK651)*-1</f>
        <v>0.20433029538787481</v>
      </c>
      <c r="AE490" s="118">
        <f>IFERROR((VLOOKUP($A490,Pitchers!$A1:$S251,13,FALSE)-AVERAGE(Rankings!AL2:AL651))/STDEV(Rankings!AL2:AL651)*-1,0)</f>
        <v>-0.70822355717299879</v>
      </c>
      <c r="AF490" s="118">
        <f>(VLOOKUP($A490,Pitchers!$A1:$S251,14,FALSE)-AVERAGE(Rankings!AM2:AM651))/STDEV(Rankings!AM2:AM651)</f>
        <v>-0.45318946508499069</v>
      </c>
      <c r="AG490" s="118">
        <f>(VLOOKUP($A490,Pitchers!$A1:$S251,15,FALSE)-AVERAGE(Rankings!AN2:AN651))/STDEV(Rankings!AN2:AN651)</f>
        <v>0.59955721230962911</v>
      </c>
      <c r="AH490" s="118">
        <f>(VLOOKUP($A490,Pitchers!$A1:$S251,16,FALSE)-AVERAGE(Rankings!AO2:AO651))/STDEV(Rankings!AO2:AO651)*-1</f>
        <v>-0.64276704931736894</v>
      </c>
      <c r="AI490" s="118">
        <f>IFERROR((VLOOKUP($A490,Pitchers!$A1:$S251,17,FALSE)-AVERAGE(Rankings!AP2:AP651))/STDEV(Rankings!AP2:AP651),0)</f>
        <v>0.24575901872044997</v>
      </c>
      <c r="AJ490" s="118">
        <f>(VLOOKUP($A490,Pitchers!$A1:$S251,18,FALSE)-AVERAGE(Rankings!AQ2:AQ651))/STDEV(Rankings!AQ2:AQ651)</f>
        <v>-0.69471541349839372</v>
      </c>
      <c r="AK490" s="118">
        <f>IFERROR((VLOOKUP($A490,Pitchers!$A1:$S251,19,FALSE)-AVERAGE(Rankings!AR2:AR651))/STDEV(Rankings!AR2:AR651)*-1,0)</f>
        <v>0.47686441955275594</v>
      </c>
    </row>
    <row r="491" spans="1:37" ht="18.600000000000001" customHeight="1">
      <c r="A491" s="26" t="s">
        <v>391</v>
      </c>
      <c r="B491" s="27" t="s">
        <v>63</v>
      </c>
      <c r="C491" s="127" t="s">
        <v>31</v>
      </c>
      <c r="D491" s="67">
        <f>(V491*Settings!$G$2)+(Y491*Settings!$G$5)+(Z491*Settings!$G$6)+(AA491*Settings!$G$7)+(AB491*Settings!$G$8)+(AC491*Settings!$G$9)+(AD491*Settings!$G$10)+(AE491*Settings!$G$11)+(AF491*Settings!$G$12)+(AG491*Settings!$G$13)+(AH491*Settings!$G$14)+(AI491*Settings!$G$15)+(AJ491*Settings!$G$16)+(AK491*Settings!$G$17)+(W491*Settings!$G$3)+(X491*Settings!$G$4)</f>
        <v>-2.719644044662838</v>
      </c>
      <c r="E491" s="67"/>
      <c r="F491" s="67"/>
      <c r="G491" s="67"/>
      <c r="H491" s="67"/>
      <c r="I491" s="67"/>
      <c r="J491" s="67"/>
      <c r="K491" s="72"/>
      <c r="L491" s="72"/>
      <c r="M491" s="67"/>
      <c r="N491" s="67"/>
      <c r="O491" s="67"/>
      <c r="P491" s="67"/>
      <c r="Q491" s="67"/>
      <c r="R491" s="72"/>
      <c r="S491" s="72"/>
      <c r="T491" s="67"/>
      <c r="U491" s="67"/>
      <c r="V491" s="118">
        <f>(VLOOKUP($A491,Pitchers!$A1:$S251,4,FALSE)-AVERAGE(Rankings!AC2:AC651))/STDEV(Rankings!AC2:AC651)</f>
        <v>0.18757906222668894</v>
      </c>
      <c r="W491" s="118">
        <f>(VLOOKUP($A491,Pitchers!$A1:$S251,5,FALSE)-AVERAGE(Rankings!AD2:AD651))/STDEV(Rankings!AD2:AD651)*-1</f>
        <v>-0.96525159179669073</v>
      </c>
      <c r="X491" s="118">
        <f>(VLOOKUP($A491,Pitchers!$A1:$S251,6,FALSE)-AVERAGE(Rankings!AE2:AE651))/STDEV(Rankings!AE2:AE651)*-1</f>
        <v>-1.18038385199569</v>
      </c>
      <c r="Y491" s="118">
        <f>(VLOOKUP($A491,Pitchers!$A1:$S251,7,FALSE)-AVERAGE(Rankings!AF2:AF651))/STDEV(Rankings!AF2:AF651)</f>
        <v>-0.13616590542922319</v>
      </c>
      <c r="Z491" s="118">
        <f>(VLOOKUP($A491,Pitchers!$A1:$S251,8,FALSE)-AVERAGE(Rankings!AG2:AG651))/STDEV(Rankings!AG2:AG651)</f>
        <v>-0.1407031958550084</v>
      </c>
      <c r="AA491" s="118">
        <f>(VLOOKUP($A491,Pitchers!$A1:$S251,9,FALSE)-AVERAGE(Rankings!AH2:AH651))/STDEV(Rankings!AH2:AH651)</f>
        <v>-0.29713949958622565</v>
      </c>
      <c r="AB491" s="118">
        <f>(VLOOKUP($A491,Pitchers!$A1:$S251,10,FALSE)-AVERAGE(Rankings!AI2:AI651))/STDEV(Rankings!AI2:AI651)*-1</f>
        <v>-0.42026910134208734</v>
      </c>
      <c r="AC491" s="118">
        <f>(VLOOKUP($A491,Pitchers!$A1:$S251,11,FALSE)-AVERAGE(Rankings!AJ2:AJ651))/STDEV(Rankings!AJ2:AJ651)*-1</f>
        <v>-0.30611435911060991</v>
      </c>
      <c r="AD491" s="118">
        <f>(VLOOKUP($A491,Pitchers!$A1:$S251,12,FALSE)-AVERAGE(Rankings!AK2:AK651))/STDEV(Rankings!AK2:AK651)*-1</f>
        <v>-0.7041729193840548</v>
      </c>
      <c r="AE491" s="118">
        <f>IFERROR((VLOOKUP($A491,Pitchers!$A1:$S251,13,FALSE)-AVERAGE(Rankings!AL2:AL651))/STDEV(Rankings!AL2:AL651)*-1,0)</f>
        <v>-0.3460195267115776</v>
      </c>
      <c r="AF491" s="118">
        <f>(VLOOKUP($A491,Pitchers!$A1:$S251,14,FALSE)-AVERAGE(Rankings!AM2:AM651))/STDEV(Rankings!AM2:AM651)</f>
        <v>-0.46346221355248163</v>
      </c>
      <c r="AG491" s="118">
        <f>(VLOOKUP($A491,Pitchers!$A1:$S251,15,FALSE)-AVERAGE(Rankings!AN2:AN651))/STDEV(Rankings!AN2:AN651)</f>
        <v>0.23130887754738072</v>
      </c>
      <c r="AH491" s="118">
        <f>(VLOOKUP($A491,Pitchers!$A1:$S251,16,FALSE)-AVERAGE(Rankings!AO2:AO651))/STDEV(Rankings!AO2:AO651)*-1</f>
        <v>3.5243867160985314E-2</v>
      </c>
      <c r="AI491" s="118">
        <f>IFERROR((VLOOKUP($A491,Pitchers!$A1:$S251,17,FALSE)-AVERAGE(Rankings!AP2:AP651))/STDEV(Rankings!AP2:AP651),0)</f>
        <v>-0.16206308419663945</v>
      </c>
      <c r="AJ491" s="118">
        <f>(VLOOKUP($A491,Pitchers!$A1:$S251,18,FALSE)-AVERAGE(Rankings!AQ2:AQ651))/STDEV(Rankings!AQ2:AQ651)</f>
        <v>-0.37536989708517349</v>
      </c>
      <c r="AK491" s="118">
        <f>IFERROR((VLOOKUP($A491,Pitchers!$A1:$S251,19,FALSE)-AVERAGE(Rankings!AR2:AR651))/STDEV(Rankings!AR2:AR651)*-1,0)</f>
        <v>0.47686441955275594</v>
      </c>
    </row>
    <row r="492" spans="1:37" ht="18.600000000000001" customHeight="1">
      <c r="A492" s="26" t="s">
        <v>463</v>
      </c>
      <c r="B492" s="27" t="s">
        <v>137</v>
      </c>
      <c r="C492" s="127" t="s">
        <v>31</v>
      </c>
      <c r="D492" s="67">
        <f>(V492*Settings!$G$2)+(Y492*Settings!$G$5)+(Z492*Settings!$G$6)+(AA492*Settings!$G$7)+(AB492*Settings!$G$8)+(AC492*Settings!$G$9)+(AD492*Settings!$G$10)+(AE492*Settings!$G$11)+(AF492*Settings!$G$12)+(AG492*Settings!$G$13)+(AH492*Settings!$G$14)+(AI492*Settings!$G$15)+(AJ492*Settings!$G$16)+(AK492*Settings!$G$17)+(W492*Settings!$G$3)+(X492*Settings!$G$4)</f>
        <v>-2.1357551637217354</v>
      </c>
      <c r="E492" s="67"/>
      <c r="F492" s="67"/>
      <c r="G492" s="67"/>
      <c r="H492" s="67"/>
      <c r="I492" s="67"/>
      <c r="J492" s="67"/>
      <c r="K492" s="72"/>
      <c r="L492" s="72"/>
      <c r="M492" s="67"/>
      <c r="N492" s="67"/>
      <c r="O492" s="67"/>
      <c r="P492" s="67"/>
      <c r="Q492" s="67"/>
      <c r="R492" s="72"/>
      <c r="S492" s="72"/>
      <c r="T492" s="67"/>
      <c r="U492" s="67"/>
      <c r="V492" s="118">
        <f>(VLOOKUP($A492,Pitchers!$A1:$S251,4,FALSE)-AVERAGE(Rankings!AC2:AC651))/STDEV(Rankings!AC2:AC651)</f>
        <v>0.84247306828970048</v>
      </c>
      <c r="W492" s="118">
        <f>(VLOOKUP($A492,Pitchers!$A1:$S251,5,FALSE)-AVERAGE(Rankings!AD2:AD651))/STDEV(Rankings!AD2:AD651)*-1</f>
        <v>-1.2755179627708351</v>
      </c>
      <c r="X492" s="118">
        <f>(VLOOKUP($A492,Pitchers!$A1:$S251,6,FALSE)-AVERAGE(Rankings!AE2:AE651))/STDEV(Rankings!AE2:AE651)*-1</f>
        <v>-1.2633547754465204</v>
      </c>
      <c r="Y492" s="118">
        <f>(VLOOKUP($A492,Pitchers!$A1:$S251,7,FALSE)-AVERAGE(Rankings!AF2:AF651))/STDEV(Rankings!AF2:AF651)</f>
        <v>0.67686250971622197</v>
      </c>
      <c r="Z492" s="118">
        <f>(VLOOKUP($A492,Pitchers!$A1:$S251,8,FALSE)-AVERAGE(Rankings!AG2:AG651))/STDEV(Rankings!AG2:AG651)</f>
        <v>0.20896793977659806</v>
      </c>
      <c r="AA492" s="118">
        <f>(VLOOKUP($A492,Pitchers!$A1:$S251,9,FALSE)-AVERAGE(Rankings!AH2:AH651))/STDEV(Rankings!AH2:AH651)</f>
        <v>-0.48271287499720011</v>
      </c>
      <c r="AB492" s="118">
        <f>(VLOOKUP($A492,Pitchers!$A1:$S251,10,FALSE)-AVERAGE(Rankings!AI2:AI651))/STDEV(Rankings!AI2:AI651)*-1</f>
        <v>-1.2090340124894994</v>
      </c>
      <c r="AC492" s="118">
        <f>(VLOOKUP($A492,Pitchers!$A1:$S251,11,FALSE)-AVERAGE(Rankings!AJ2:AJ651))/STDEV(Rankings!AJ2:AJ651)*-1</f>
        <v>-1.0936384743132554</v>
      </c>
      <c r="AD492" s="118">
        <f>(VLOOKUP($A492,Pitchers!$A1:$S251,12,FALSE)-AVERAGE(Rankings!AK2:AK651))/STDEV(Rankings!AK2:AK651)*-1</f>
        <v>-1.1544560627663887</v>
      </c>
      <c r="AE492" s="118">
        <f>IFERROR((VLOOKUP($A492,Pitchers!$A1:$S251,13,FALSE)-AVERAGE(Rankings!AL2:AL651))/STDEV(Rankings!AL2:AL651)*-1,0)</f>
        <v>-1.046280652270325</v>
      </c>
      <c r="AF492" s="118">
        <f>(VLOOKUP($A492,Pitchers!$A1:$S251,14,FALSE)-AVERAGE(Rankings!AM2:AM651))/STDEV(Rankings!AM2:AM651)</f>
        <v>-0.73933864481047806</v>
      </c>
      <c r="AG492" s="118">
        <f>(VLOOKUP($A492,Pitchers!$A1:$S251,15,FALSE)-AVERAGE(Rankings!AN2:AN651))/STDEV(Rankings!AN2:AN651)</f>
        <v>0.98722774629154342</v>
      </c>
      <c r="AH492" s="118">
        <f>(VLOOKUP($A492,Pitchers!$A1:$S251,16,FALSE)-AVERAGE(Rankings!AO2:AO651))/STDEV(Rankings!AO2:AO651)*-1</f>
        <v>-1.6151320550299668</v>
      </c>
      <c r="AI492" s="118">
        <f>IFERROR((VLOOKUP($A492,Pitchers!$A1:$S251,17,FALSE)-AVERAGE(Rankings!AP2:AP651))/STDEV(Rankings!AP2:AP651),0)</f>
        <v>0.65358112163753934</v>
      </c>
      <c r="AJ492" s="118">
        <f>(VLOOKUP($A492,Pitchers!$A1:$S251,18,FALSE)-AVERAGE(Rankings!AQ2:AQ651))/STDEV(Rankings!AQ2:AQ651)</f>
        <v>-0.69471541349839372</v>
      </c>
      <c r="AK492" s="118">
        <f>IFERROR((VLOOKUP($A492,Pitchers!$A1:$S251,19,FALSE)-AVERAGE(Rankings!AR2:AR651))/STDEV(Rankings!AR2:AR651)*-1,0)</f>
        <v>0.47686441955275594</v>
      </c>
    </row>
    <row r="493" spans="1:37" ht="18.600000000000001" customHeight="1">
      <c r="A493" s="26" t="s">
        <v>453</v>
      </c>
      <c r="B493" s="27" t="s">
        <v>137</v>
      </c>
      <c r="C493" s="127" t="s">
        <v>31</v>
      </c>
      <c r="D493" s="67">
        <f>(V493*Settings!$G$2)+(Y493*Settings!$G$5)+(Z493*Settings!$G$6)+(AA493*Settings!$G$7)+(AB493*Settings!$G$8)+(AC493*Settings!$G$9)+(AD493*Settings!$G$10)+(AE493*Settings!$G$11)+(AF493*Settings!$G$12)+(AG493*Settings!$G$13)+(AH493*Settings!$G$14)+(AI493*Settings!$G$15)+(AJ493*Settings!$G$16)+(AK493*Settings!$G$17)+(W493*Settings!$G$3)+(X493*Settings!$G$4)</f>
        <v>-3.1501043022140922</v>
      </c>
      <c r="E493" s="67"/>
      <c r="F493" s="67"/>
      <c r="G493" s="67"/>
      <c r="H493" s="67"/>
      <c r="I493" s="67"/>
      <c r="J493" s="67"/>
      <c r="K493" s="72"/>
      <c r="L493" s="72"/>
      <c r="M493" s="67"/>
      <c r="N493" s="67"/>
      <c r="O493" s="67"/>
      <c r="P493" s="67"/>
      <c r="Q493" s="67"/>
      <c r="R493" s="72"/>
      <c r="S493" s="72"/>
      <c r="T493" s="67"/>
      <c r="U493" s="67"/>
      <c r="V493" s="118">
        <f>(VLOOKUP($A493,Pitchers!$A1:$S251,4,FALSE)-AVERAGE(Rankings!AC2:AC651))/STDEV(Rankings!AC2:AC651)</f>
        <v>0.8684841964818214</v>
      </c>
      <c r="W493" s="118">
        <f>(VLOOKUP($A493,Pitchers!$A1:$S251,5,FALSE)-AVERAGE(Rankings!AD2:AD651))/STDEV(Rankings!AD2:AD651)*-1</f>
        <v>-1.3558212242284751</v>
      </c>
      <c r="X493" s="118">
        <f>(VLOOKUP($A493,Pitchers!$A1:$S251,6,FALSE)-AVERAGE(Rankings!AE2:AE651))/STDEV(Rankings!AE2:AE651)*-1</f>
        <v>-2.1451942464001501</v>
      </c>
      <c r="Y493" s="118">
        <f>(VLOOKUP($A493,Pitchers!$A1:$S251,7,FALSE)-AVERAGE(Rankings!AF2:AF651))/STDEV(Rankings!AF2:AF651)</f>
        <v>0.49780988477842802</v>
      </c>
      <c r="Z493" s="118">
        <f>(VLOOKUP($A493,Pitchers!$A1:$S251,8,FALSE)-AVERAGE(Rankings!AG2:AG651))/STDEV(Rankings!AG2:AG651)</f>
        <v>0.33581415863330505</v>
      </c>
      <c r="AA493" s="118">
        <f>(VLOOKUP($A493,Pitchers!$A1:$S251,9,FALSE)-AVERAGE(Rankings!AH2:AH651))/STDEV(Rankings!AH2:AH651)</f>
        <v>-0.48271287499720011</v>
      </c>
      <c r="AB493" s="118">
        <f>(VLOOKUP($A493,Pitchers!$A1:$S251,10,FALSE)-AVERAGE(Rankings!AI2:AI651))/STDEV(Rankings!AI2:AI651)*-1</f>
        <v>-1.265121550853584</v>
      </c>
      <c r="AC493" s="118">
        <f>(VLOOKUP($A493,Pitchers!$A1:$S251,11,FALSE)-AVERAGE(Rankings!AJ2:AJ651))/STDEV(Rankings!AJ2:AJ651)*-1</f>
        <v>-1.2004086047409568</v>
      </c>
      <c r="AD493" s="118">
        <f>(VLOOKUP($A493,Pitchers!$A1:$S251,12,FALSE)-AVERAGE(Rankings!AK2:AK651))/STDEV(Rankings!AK2:AK651)*-1</f>
        <v>-1.8063057441549495</v>
      </c>
      <c r="AE493" s="118">
        <f>IFERROR((VLOOKUP($A493,Pitchers!$A1:$S251,13,FALSE)-AVERAGE(Rankings!AL2:AL651))/STDEV(Rankings!AL2:AL651)*-1,0)</f>
        <v>-0.38948401036694824</v>
      </c>
      <c r="AF493" s="118">
        <f>(VLOOKUP($A493,Pitchers!$A1:$S251,14,FALSE)-AVERAGE(Rankings!AM2:AM651))/STDEV(Rankings!AM2:AM651)</f>
        <v>-0.71170849375998535</v>
      </c>
      <c r="AG493" s="118">
        <f>(VLOOKUP($A493,Pitchers!$A1:$S251,15,FALSE)-AVERAGE(Rankings!AN2:AN651))/STDEV(Rankings!AN2:AN651)</f>
        <v>1.0207439307856569</v>
      </c>
      <c r="AH493" s="118">
        <f>(VLOOKUP($A493,Pitchers!$A1:$S251,16,FALSE)-AVERAGE(Rankings!AO2:AO651))/STDEV(Rankings!AO2:AO651)*-1</f>
        <v>-1.5363693397465852</v>
      </c>
      <c r="AI493" s="118">
        <f>IFERROR((VLOOKUP($A493,Pitchers!$A1:$S251,17,FALSE)-AVERAGE(Rankings!AP2:AP651))/STDEV(Rankings!AP2:AP651),0)</f>
        <v>0.65358112163753934</v>
      </c>
      <c r="AJ493" s="118">
        <f>(VLOOKUP($A493,Pitchers!$A1:$S251,18,FALSE)-AVERAGE(Rankings!AQ2:AQ651))/STDEV(Rankings!AQ2:AQ651)</f>
        <v>-0.69471541349839372</v>
      </c>
      <c r="AK493" s="118">
        <f>IFERROR((VLOOKUP($A493,Pitchers!$A1:$S251,19,FALSE)-AVERAGE(Rankings!AR2:AR651))/STDEV(Rankings!AR2:AR651)*-1,0)</f>
        <v>0.47686441955275594</v>
      </c>
    </row>
    <row r="494" spans="1:37" ht="18.600000000000001" customHeight="1">
      <c r="A494" s="26" t="s">
        <v>406</v>
      </c>
      <c r="B494" s="27" t="s">
        <v>123</v>
      </c>
      <c r="C494" s="127" t="s">
        <v>31</v>
      </c>
      <c r="D494" s="67">
        <f>(V494*Settings!$G$2)+(Y494*Settings!$G$5)+(Z494*Settings!$G$6)+(AA494*Settings!$G$7)+(AB494*Settings!$G$8)+(AC494*Settings!$G$9)+(AD494*Settings!$G$10)+(AE494*Settings!$G$11)+(AF494*Settings!$G$12)+(AG494*Settings!$G$13)+(AH494*Settings!$G$14)+(AI494*Settings!$G$15)+(AJ494*Settings!$G$16)+(AK494*Settings!$G$17)+(W494*Settings!$G$3)+(X494*Settings!$G$4)</f>
        <v>-0.40927174291699625</v>
      </c>
      <c r="E494" s="67"/>
      <c r="F494" s="67"/>
      <c r="G494" s="67"/>
      <c r="H494" s="67"/>
      <c r="I494" s="67"/>
      <c r="J494" s="67"/>
      <c r="K494" s="72"/>
      <c r="L494" s="72"/>
      <c r="M494" s="67"/>
      <c r="N494" s="67"/>
      <c r="O494" s="67"/>
      <c r="P494" s="67"/>
      <c r="Q494" s="67"/>
      <c r="R494" s="72"/>
      <c r="S494" s="72"/>
      <c r="T494" s="67"/>
      <c r="U494" s="67"/>
      <c r="V494" s="118">
        <f>(VLOOKUP($A494,Pitchers!$A1:$S251,4,FALSE)-AVERAGE(Rankings!AC2:AC651))/STDEV(Rankings!AC2:AC651)</f>
        <v>0.4683068262024207</v>
      </c>
      <c r="W494" s="118">
        <f>(VLOOKUP($A494,Pitchers!$A1:$S251,5,FALSE)-AVERAGE(Rankings!AD2:AD651))/STDEV(Rankings!AD2:AD651)*-1</f>
        <v>-0.48104997970008578</v>
      </c>
      <c r="X494" s="118">
        <f>(VLOOKUP($A494,Pitchers!$A1:$S251,6,FALSE)-AVERAGE(Rankings!AE2:AE651))/STDEV(Rankings!AE2:AE651)*-1</f>
        <v>-0.40170012689781565</v>
      </c>
      <c r="Y494" s="118">
        <f>(VLOOKUP($A494,Pitchers!$A1:$S251,7,FALSE)-AVERAGE(Rankings!AF2:AF651))/STDEV(Rankings!AF2:AF651)</f>
        <v>0.34224785492172932</v>
      </c>
      <c r="Z494" s="118">
        <f>(VLOOKUP($A494,Pitchers!$A1:$S251,8,FALSE)-AVERAGE(Rankings!AG2:AG651))/STDEV(Rankings!AG2:AG651)</f>
        <v>0.61394338375637603</v>
      </c>
      <c r="AA494" s="118">
        <f>(VLOOKUP($A494,Pitchers!$A1:$S251,9,FALSE)-AVERAGE(Rankings!AH2:AH651))/STDEV(Rankings!AH2:AH651)</f>
        <v>-0.48271287499720011</v>
      </c>
      <c r="AB494" s="118">
        <f>(VLOOKUP($A494,Pitchers!$A1:$S251,10,FALSE)-AVERAGE(Rankings!AI2:AI651))/STDEV(Rankings!AI2:AI651)*-1</f>
        <v>-0.56339819527736412</v>
      </c>
      <c r="AC494" s="118">
        <f>(VLOOKUP($A494,Pitchers!$A1:$S251,11,FALSE)-AVERAGE(Rankings!AJ2:AJ651))/STDEV(Rankings!AJ2:AJ651)*-1</f>
        <v>-0.41255407799410537</v>
      </c>
      <c r="AD494" s="118">
        <f>(VLOOKUP($A494,Pitchers!$A1:$S251,12,FALSE)-AVERAGE(Rankings!AK2:AK651))/STDEV(Rankings!AK2:AK651)*-1</f>
        <v>-0.94475613813885673</v>
      </c>
      <c r="AE494" s="118">
        <f>IFERROR((VLOOKUP($A494,Pitchers!$A1:$S251,13,FALSE)-AVERAGE(Rankings!AL2:AL651))/STDEV(Rankings!AL2:AL651)*-1,0)</f>
        <v>-0.63095336400789581</v>
      </c>
      <c r="AF494" s="118">
        <f>(VLOOKUP($A494,Pitchers!$A1:$S251,14,FALSE)-AVERAGE(Rankings!AM2:AM651))/STDEV(Rankings!AM2:AM651)</f>
        <v>-0.78737259971364237</v>
      </c>
      <c r="AG494" s="118">
        <f>(VLOOKUP($A494,Pitchers!$A1:$S251,15,FALSE)-AVERAGE(Rankings!AN2:AN651))/STDEV(Rankings!AN2:AN651)</f>
        <v>0.7673959515839982</v>
      </c>
      <c r="AH494" s="118">
        <f>(VLOOKUP($A494,Pitchers!$A1:$S251,16,FALSE)-AVERAGE(Rankings!AO2:AO651))/STDEV(Rankings!AO2:AO651)*-1</f>
        <v>-0.41126982288835434</v>
      </c>
      <c r="AI494" s="118">
        <f>IFERROR((VLOOKUP($A494,Pitchers!$A1:$S251,17,FALSE)-AVERAGE(Rankings!AP2:AP651))/STDEV(Rankings!AP2:AP651),0)</f>
        <v>0.38169971969281308</v>
      </c>
      <c r="AJ494" s="118">
        <f>(VLOOKUP($A494,Pitchers!$A1:$S251,18,FALSE)-AVERAGE(Rankings!AQ2:AQ651))/STDEV(Rankings!AQ2:AQ651)</f>
        <v>-0.69471541349839372</v>
      </c>
      <c r="AK494" s="118">
        <f>IFERROR((VLOOKUP($A494,Pitchers!$A1:$S251,19,FALSE)-AVERAGE(Rankings!AR2:AR651))/STDEV(Rankings!AR2:AR651)*-1,0)</f>
        <v>0.47686441955275594</v>
      </c>
    </row>
    <row r="495" spans="1:37" ht="18.600000000000001" customHeight="1">
      <c r="A495" s="26" t="s">
        <v>464</v>
      </c>
      <c r="B495" s="27" t="s">
        <v>99</v>
      </c>
      <c r="C495" s="127" t="s">
        <v>31</v>
      </c>
      <c r="D495" s="67">
        <f>(V495*Settings!$G$2)+(Y495*Settings!$G$5)+(Z495*Settings!$G$6)+(AA495*Settings!$G$7)+(AB495*Settings!$G$8)+(AC495*Settings!$G$9)+(AD495*Settings!$G$10)+(AE495*Settings!$G$11)+(AF495*Settings!$G$12)+(AG495*Settings!$G$13)+(AH495*Settings!$G$14)+(AI495*Settings!$G$15)+(AJ495*Settings!$G$16)+(AK495*Settings!$G$17)+(W495*Settings!$G$3)+(X495*Settings!$G$4)</f>
        <v>-2.2055011337551442</v>
      </c>
      <c r="E495" s="67"/>
      <c r="F495" s="67"/>
      <c r="G495" s="67"/>
      <c r="H495" s="67"/>
      <c r="I495" s="67"/>
      <c r="J495" s="67"/>
      <c r="K495" s="72"/>
      <c r="L495" s="72"/>
      <c r="M495" s="67"/>
      <c r="N495" s="67"/>
      <c r="O495" s="67"/>
      <c r="P495" s="67"/>
      <c r="Q495" s="67"/>
      <c r="R495" s="72"/>
      <c r="S495" s="72"/>
      <c r="T495" s="67"/>
      <c r="U495" s="67"/>
      <c r="V495" s="118">
        <f>(VLOOKUP($A495,Pitchers!$A1:$S251,4,FALSE)-AVERAGE(Rankings!AC2:AC651))/STDEV(Rankings!AC2:AC651)</f>
        <v>1.015285002311155</v>
      </c>
      <c r="W495" s="118">
        <f>(VLOOKUP($A495,Pitchers!$A1:$S251,5,FALSE)-AVERAGE(Rankings!AD2:AD651))/STDEV(Rankings!AD2:AD651)*-1</f>
        <v>-1.3411632095343236</v>
      </c>
      <c r="X495" s="118">
        <f>(VLOOKUP($A495,Pitchers!$A1:$S251,6,FALSE)-AVERAGE(Rankings!AE2:AE651))/STDEV(Rankings!AE2:AE651)*-1</f>
        <v>-1.4112443150894769</v>
      </c>
      <c r="Y495" s="118">
        <f>(VLOOKUP($A495,Pitchers!$A1:$S251,7,FALSE)-AVERAGE(Rankings!AF2:AF651))/STDEV(Rankings!AF2:AF651)</f>
        <v>0.40184980502243778</v>
      </c>
      <c r="Z495" s="118">
        <f>(VLOOKUP($A495,Pitchers!$A1:$S251,8,FALSE)-AVERAGE(Rankings!AG2:AG651))/STDEV(Rankings!AG2:AG651)</f>
        <v>0.62776946084341845</v>
      </c>
      <c r="AA495" s="118">
        <f>(VLOOKUP($A495,Pitchers!$A1:$S251,9,FALSE)-AVERAGE(Rankings!AH2:AH651))/STDEV(Rankings!AH2:AH651)</f>
        <v>-0.48271287499720011</v>
      </c>
      <c r="AB495" s="118">
        <f>(VLOOKUP($A495,Pitchers!$A1:$S251,10,FALSE)-AVERAGE(Rankings!AI2:AI651))/STDEV(Rankings!AI2:AI651)*-1</f>
        <v>-1.4186084739901286</v>
      </c>
      <c r="AC495" s="118">
        <f>(VLOOKUP($A495,Pitchers!$A1:$S251,11,FALSE)-AVERAGE(Rankings!AJ2:AJ651))/STDEV(Rankings!AJ2:AJ651)*-1</f>
        <v>-1.3568938721593649</v>
      </c>
      <c r="AD495" s="118">
        <f>(VLOOKUP($A495,Pitchers!$A1:$S251,12,FALSE)-AVERAGE(Rankings!AK2:AK651))/STDEV(Rankings!AK2:AK651)*-1</f>
        <v>-1.2269885830703837</v>
      </c>
      <c r="AE495" s="118">
        <f>IFERROR((VLOOKUP($A495,Pitchers!$A1:$S251,13,FALSE)-AVERAGE(Rankings!AL2:AL651))/STDEV(Rankings!AL2:AL651)*-1,0)</f>
        <v>-1.0414512651975063</v>
      </c>
      <c r="AF495" s="118">
        <f>(VLOOKUP($A495,Pitchers!$A1:$S251,14,FALSE)-AVERAGE(Rankings!AM2:AM651))/STDEV(Rankings!AM2:AM651)</f>
        <v>-0.71560505352351644</v>
      </c>
      <c r="AG495" s="118">
        <f>(VLOOKUP($A495,Pitchers!$A1:$S251,15,FALSE)-AVERAGE(Rankings!AN2:AN651))/STDEV(Rankings!AN2:AN651)</f>
        <v>1.0160172893826409</v>
      </c>
      <c r="AH495" s="118">
        <f>(VLOOKUP($A495,Pitchers!$A1:$S251,16,FALSE)-AVERAGE(Rankings!AO2:AO651))/STDEV(Rankings!AO2:AO651)*-1</f>
        <v>-1.3614049624869082</v>
      </c>
      <c r="AI495" s="118">
        <f>IFERROR((VLOOKUP($A495,Pitchers!$A1:$S251,17,FALSE)-AVERAGE(Rankings!AP2:AP651))/STDEV(Rankings!AP2:AP651),0)</f>
        <v>0.78952182260990256</v>
      </c>
      <c r="AJ495" s="118">
        <f>(VLOOKUP($A495,Pitchers!$A1:$S251,18,FALSE)-AVERAGE(Rankings!AQ2:AQ651))/STDEV(Rankings!AQ2:AQ651)</f>
        <v>-0.69471541349839372</v>
      </c>
      <c r="AK495" s="118">
        <f>IFERROR((VLOOKUP($A495,Pitchers!$A1:$S251,19,FALSE)-AVERAGE(Rankings!AR2:AR651))/STDEV(Rankings!AR2:AR651)*-1,0)</f>
        <v>0.47686441955275594</v>
      </c>
    </row>
    <row r="496" spans="1:37" ht="18.600000000000001" customHeight="1">
      <c r="A496" s="26" t="s">
        <v>393</v>
      </c>
      <c r="B496" s="27" t="s">
        <v>99</v>
      </c>
      <c r="C496" s="127" t="s">
        <v>31</v>
      </c>
      <c r="D496" s="67">
        <f>(V496*Settings!$G$2)+(Y496*Settings!$G$5)+(Z496*Settings!$G$6)+(AA496*Settings!$G$7)+(AB496*Settings!$G$8)+(AC496*Settings!$G$9)+(AD496*Settings!$G$10)+(AE496*Settings!$G$11)+(AF496*Settings!$G$12)+(AG496*Settings!$G$13)+(AH496*Settings!$G$14)+(AI496*Settings!$G$15)+(AJ496*Settings!$G$16)+(AK496*Settings!$G$17)+(W496*Settings!$G$3)+(X496*Settings!$G$4)</f>
        <v>3.9554966710038939</v>
      </c>
      <c r="E496" s="67"/>
      <c r="F496" s="67"/>
      <c r="G496" s="67"/>
      <c r="H496" s="67"/>
      <c r="I496" s="67"/>
      <c r="J496" s="67"/>
      <c r="K496" s="72"/>
      <c r="L496" s="72"/>
      <c r="M496" s="67"/>
      <c r="N496" s="67"/>
      <c r="O496" s="67"/>
      <c r="P496" s="67"/>
      <c r="Q496" s="67"/>
      <c r="R496" s="72"/>
      <c r="S496" s="72"/>
      <c r="T496" s="67"/>
      <c r="U496" s="67"/>
      <c r="V496" s="118">
        <f>(VLOOKUP($A496,Pitchers!$A1:$S251,4,FALSE)-AVERAGE(Rankings!AC2:AC651))/STDEV(Rankings!AC2:AC651)</f>
        <v>1.0424529442185573</v>
      </c>
      <c r="W496" s="118">
        <f>(VLOOKUP($A496,Pitchers!$A1:$S251,5,FALSE)-AVERAGE(Rankings!AD2:AD651))/STDEV(Rankings!AD2:AD651)*-1</f>
        <v>0.64946921612822206</v>
      </c>
      <c r="X496" s="118">
        <f>(VLOOKUP($A496,Pitchers!$A1:$S251,6,FALSE)-AVERAGE(Rankings!AE2:AE651))/STDEV(Rankings!AE2:AE651)*-1</f>
        <v>0.93175007455900749</v>
      </c>
      <c r="Y496" s="118">
        <f>(VLOOKUP($A496,Pitchers!$A1:$S251,7,FALSE)-AVERAGE(Rankings!AF2:AF651))/STDEV(Rankings!AF2:AF651)</f>
        <v>1.5575306773813189</v>
      </c>
      <c r="Z496" s="118">
        <f>(VLOOKUP($A496,Pitchers!$A1:$S251,8,FALSE)-AVERAGE(Rankings!AG2:AG651))/STDEV(Rankings!AG2:AG651)</f>
        <v>1.299459577932546</v>
      </c>
      <c r="AA496" s="118">
        <f>(VLOOKUP($A496,Pitchers!$A1:$S251,9,FALSE)-AVERAGE(Rankings!AH2:AH651))/STDEV(Rankings!AH2:AH651)</f>
        <v>-0.48271287499720011</v>
      </c>
      <c r="AB496" s="118">
        <f>(VLOOKUP($A496,Pitchers!$A1:$S251,10,FALSE)-AVERAGE(Rankings!AI2:AI651))/STDEV(Rankings!AI2:AI651)*-1</f>
        <v>-0.71198022314867671</v>
      </c>
      <c r="AC496" s="118">
        <f>(VLOOKUP($A496,Pitchers!$A1:$S251,11,FALSE)-AVERAGE(Rankings!AJ2:AJ651))/STDEV(Rankings!AJ2:AJ651)*-1</f>
        <v>-0.66744298352442832</v>
      </c>
      <c r="AD496" s="118">
        <f>(VLOOKUP($A496,Pitchers!$A1:$S251,12,FALSE)-AVERAGE(Rankings!AK2:AK651))/STDEV(Rankings!AK2:AK651)*-1</f>
        <v>-1.1618429066543363</v>
      </c>
      <c r="AE496" s="118">
        <f>IFERROR((VLOOKUP($A496,Pitchers!$A1:$S251,13,FALSE)-AVERAGE(Rankings!AL2:AL651))/STDEV(Rankings!AL2:AL651)*-1,0)</f>
        <v>-0.82412884692065358</v>
      </c>
      <c r="AF496" s="118">
        <f>(VLOOKUP($A496,Pitchers!$A1:$S251,14,FALSE)-AVERAGE(Rankings!AM2:AM651))/STDEV(Rankings!AM2:AM651)</f>
        <v>-0.3669692244992222</v>
      </c>
      <c r="AG496" s="118">
        <f>(VLOOKUP($A496,Pitchers!$A1:$S251,15,FALSE)-AVERAGE(Rankings!AN2:AN651))/STDEV(Rankings!AN2:AN651)</f>
        <v>1.4260319463606308</v>
      </c>
      <c r="AH496" s="118">
        <f>(VLOOKUP($A496,Pitchers!$A1:$S251,16,FALSE)-AVERAGE(Rankings!AO2:AO651))/STDEV(Rankings!AO2:AO651)*-1</f>
        <v>-0.99537871871255612</v>
      </c>
      <c r="AI496" s="118">
        <f>IFERROR((VLOOKUP($A496,Pitchers!$A1:$S251,17,FALSE)-AVERAGE(Rankings!AP2:AP651))/STDEV(Rankings!AP2:AP651),0)</f>
        <v>1.197343925526992</v>
      </c>
      <c r="AJ496" s="118">
        <f>(VLOOKUP($A496,Pitchers!$A1:$S251,18,FALSE)-AVERAGE(Rankings!AQ2:AQ651))/STDEV(Rankings!AQ2:AQ651)</f>
        <v>-0.69471541349839372</v>
      </c>
      <c r="AK496" s="118">
        <f>IFERROR((VLOOKUP($A496,Pitchers!$A1:$S251,19,FALSE)-AVERAGE(Rankings!AR2:AR651))/STDEV(Rankings!AR2:AR651)*-1,0)</f>
        <v>0.47686441955275594</v>
      </c>
    </row>
    <row r="497" spans="1:37" ht="18.600000000000001" customHeight="1">
      <c r="A497" s="26" t="s">
        <v>433</v>
      </c>
      <c r="B497" s="27" t="s">
        <v>137</v>
      </c>
      <c r="C497" s="127" t="s">
        <v>31</v>
      </c>
      <c r="D497" s="67">
        <f>(V497*Settings!$G$2)+(Y497*Settings!$G$5)+(Z497*Settings!$G$6)+(AA497*Settings!$G$7)+(AB497*Settings!$G$8)+(AC497*Settings!$G$9)+(AD497*Settings!$G$10)+(AE497*Settings!$G$11)+(AF497*Settings!$G$12)+(AG497*Settings!$G$13)+(AH497*Settings!$G$14)+(AI497*Settings!$G$15)+(AJ497*Settings!$G$16)+(AK497*Settings!$G$17)+(W497*Settings!$G$3)+(X497*Settings!$G$4)</f>
        <v>-1.6262996847610351</v>
      </c>
      <c r="E497" s="67"/>
      <c r="F497" s="67"/>
      <c r="G497" s="67"/>
      <c r="H497" s="67"/>
      <c r="I497" s="67"/>
      <c r="J497" s="67"/>
      <c r="K497" s="72"/>
      <c r="L497" s="72"/>
      <c r="M497" s="67"/>
      <c r="N497" s="67"/>
      <c r="O497" s="67"/>
      <c r="P497" s="67"/>
      <c r="Q497" s="67"/>
      <c r="R497" s="72"/>
      <c r="S497" s="72"/>
      <c r="T497" s="67"/>
      <c r="U497" s="67"/>
      <c r="V497" s="118">
        <f>(VLOOKUP($A497,Pitchers!$A1:$S251,4,FALSE)-AVERAGE(Rankings!AC2:AC651))/STDEV(Rankings!AC2:AC651)</f>
        <v>0.57507729604255875</v>
      </c>
      <c r="W497" s="118">
        <f>(VLOOKUP($A497,Pitchers!$A1:$S251,5,FALSE)-AVERAGE(Rankings!AD2:AD651))/STDEV(Rankings!AD2:AD651)*-1</f>
        <v>-0.83744754691390788</v>
      </c>
      <c r="X497" s="118">
        <f>(VLOOKUP($A497,Pitchers!$A1:$S251,6,FALSE)-AVERAGE(Rankings!AE2:AE651))/STDEV(Rankings!AE2:AE651)*-1</f>
        <v>-0.75809570821890637</v>
      </c>
      <c r="Y497" s="118">
        <f>(VLOOKUP($A497,Pitchers!$A1:$S251,7,FALSE)-AVERAGE(Rankings!AF2:AF651))/STDEV(Rankings!AF2:AF651)</f>
        <v>0.39684380527028812</v>
      </c>
      <c r="Z497" s="118">
        <f>(VLOOKUP($A497,Pitchers!$A1:$S251,8,FALSE)-AVERAGE(Rankings!AG2:AG651))/STDEV(Rankings!AG2:AG651)</f>
        <v>5.5112640098691039E-2</v>
      </c>
      <c r="AA497" s="118">
        <f>(VLOOKUP($A497,Pitchers!$A1:$S251,9,FALSE)-AVERAGE(Rankings!AH2:AH651))/STDEV(Rankings!AH2:AH651)</f>
        <v>-0.48271287499720011</v>
      </c>
      <c r="AB497" s="118">
        <f>(VLOOKUP($A497,Pitchers!$A1:$S251,10,FALSE)-AVERAGE(Rankings!AI2:AI651))/STDEV(Rankings!AI2:AI651)*-1</f>
        <v>-0.78236608026635268</v>
      </c>
      <c r="AC497" s="118">
        <f>(VLOOKUP($A497,Pitchers!$A1:$S251,11,FALSE)-AVERAGE(Rankings!AJ2:AJ651))/STDEV(Rankings!AJ2:AJ651)*-1</f>
        <v>-0.61646520241836367</v>
      </c>
      <c r="AD497" s="118">
        <f>(VLOOKUP($A497,Pitchers!$A1:$S251,12,FALSE)-AVERAGE(Rankings!AK2:AK651))/STDEV(Rankings!AK2:AK651)*-1</f>
        <v>-1.0533191682580003</v>
      </c>
      <c r="AE497" s="118">
        <f>IFERROR((VLOOKUP($A497,Pitchers!$A1:$S251,13,FALSE)-AVERAGE(Rankings!AL2:AL651))/STDEV(Rankings!AL2:AL651)*-1,0)</f>
        <v>-0.81929945984783437</v>
      </c>
      <c r="AF497" s="118">
        <f>(VLOOKUP($A497,Pitchers!$A1:$S251,14,FALSE)-AVERAGE(Rankings!AM2:AM651))/STDEV(Rankings!AM2:AM651)</f>
        <v>-0.75240983165359587</v>
      </c>
      <c r="AG497" s="118">
        <f>(VLOOKUP($A497,Pitchers!$A1:$S251,15,FALSE)-AVERAGE(Rankings!AN2:AN651))/STDEV(Rankings!AN2:AN651)</f>
        <v>0.94559033247770197</v>
      </c>
      <c r="AH497" s="118">
        <f>(VLOOKUP($A497,Pitchers!$A1:$S251,16,FALSE)-AVERAGE(Rankings!AO2:AO651))/STDEV(Rankings!AO2:AO651)*-1</f>
        <v>-0.87522245963060874</v>
      </c>
      <c r="AI497" s="118">
        <f>IFERROR((VLOOKUP($A497,Pitchers!$A1:$S251,17,FALSE)-AVERAGE(Rankings!AP2:AP651))/STDEV(Rankings!AP2:AP651),0)</f>
        <v>0.51764042066517624</v>
      </c>
      <c r="AJ497" s="118">
        <f>(VLOOKUP($A497,Pitchers!$A1:$S251,18,FALSE)-AVERAGE(Rankings!AQ2:AQ651))/STDEV(Rankings!AQ2:AQ651)</f>
        <v>-0.69471541349839372</v>
      </c>
      <c r="AK497" s="118">
        <f>IFERROR((VLOOKUP($A497,Pitchers!$A1:$S251,19,FALSE)-AVERAGE(Rankings!AR2:AR651))/STDEV(Rankings!AR2:AR651)*-1,0)</f>
        <v>0.47686441955275594</v>
      </c>
    </row>
    <row r="498" spans="1:37" ht="18.600000000000001" customHeight="1">
      <c r="A498" s="26" t="s">
        <v>423</v>
      </c>
      <c r="B498" s="27" t="s">
        <v>76</v>
      </c>
      <c r="C498" s="127" t="s">
        <v>31</v>
      </c>
      <c r="D498" s="67">
        <f>(V498*Settings!$G$2)+(Y498*Settings!$G$5)+(Z498*Settings!$G$6)+(AA498*Settings!$G$7)+(AB498*Settings!$G$8)+(AC498*Settings!$G$9)+(AD498*Settings!$G$10)+(AE498*Settings!$G$11)+(AF498*Settings!$G$12)+(AG498*Settings!$G$13)+(AH498*Settings!$G$14)+(AI498*Settings!$G$15)+(AJ498*Settings!$G$16)+(AK498*Settings!$G$17)+(W498*Settings!$G$3)+(X498*Settings!$G$4)</f>
        <v>-1.0071192002300964</v>
      </c>
      <c r="E498" s="67"/>
      <c r="F498" s="67"/>
      <c r="G498" s="67"/>
      <c r="H498" s="67"/>
      <c r="I498" s="67"/>
      <c r="J498" s="67"/>
      <c r="K498" s="72"/>
      <c r="L498" s="72"/>
      <c r="M498" s="67"/>
      <c r="N498" s="67"/>
      <c r="O498" s="67"/>
      <c r="P498" s="67"/>
      <c r="Q498" s="67"/>
      <c r="R498" s="72"/>
      <c r="S498" s="72"/>
      <c r="T498" s="67"/>
      <c r="U498" s="67"/>
      <c r="V498" s="118">
        <f>(VLOOKUP($A498,Pitchers!$A1:$S251,4,FALSE)-AVERAGE(Rankings!AC2:AC651))/STDEV(Rankings!AC2:AC651)</f>
        <v>1.1478375283205857</v>
      </c>
      <c r="W498" s="118">
        <f>(VLOOKUP($A498,Pitchers!$A1:$S251,5,FALSE)-AVERAGE(Rankings!AD2:AD651))/STDEV(Rankings!AD2:AD651)*-1</f>
        <v>-0.9993158412159393</v>
      </c>
      <c r="X498" s="118">
        <f>(VLOOKUP($A498,Pitchers!$A1:$S251,6,FALSE)-AVERAGE(Rankings!AE2:AE651))/STDEV(Rankings!AE2:AE651)*-1</f>
        <v>-0.6968929252293603</v>
      </c>
      <c r="Y498" s="118">
        <f>(VLOOKUP($A498,Pitchers!$A1:$S251,7,FALSE)-AVERAGE(Rankings!AF2:AF651))/STDEV(Rankings!AF2:AF651)</f>
        <v>0.22924857413142777</v>
      </c>
      <c r="Z498" s="118">
        <f>(VLOOKUP($A498,Pitchers!$A1:$S251,8,FALSE)-AVERAGE(Rankings!AG2:AG651))/STDEV(Rankings!AG2:AG651)</f>
        <v>0.94255386708097544</v>
      </c>
      <c r="AA498" s="118">
        <f>(VLOOKUP($A498,Pitchers!$A1:$S251,9,FALSE)-AVERAGE(Rankings!AH2:AH651))/STDEV(Rankings!AH2:AH651)</f>
        <v>-0.48271287499720011</v>
      </c>
      <c r="AB498" s="118">
        <f>(VLOOKUP($A498,Pitchers!$A1:$S251,10,FALSE)-AVERAGE(Rankings!AI2:AI651))/STDEV(Rankings!AI2:AI651)*-1</f>
        <v>-1.4315234780653721</v>
      </c>
      <c r="AC498" s="118">
        <f>(VLOOKUP($A498,Pitchers!$A1:$S251,11,FALSE)-AVERAGE(Rankings!AJ2:AJ651))/STDEV(Rankings!AJ2:AJ651)*-1</f>
        <v>-1.4191056457684323</v>
      </c>
      <c r="AD498" s="118">
        <f>(VLOOKUP($A498,Pitchers!$A1:$S251,12,FALSE)-AVERAGE(Rankings!AK2:AK651))/STDEV(Rankings!AK2:AK651)*-1</f>
        <v>-0.85277421504478679</v>
      </c>
      <c r="AE498" s="118">
        <f>IFERROR((VLOOKUP($A498,Pitchers!$A1:$S251,13,FALSE)-AVERAGE(Rankings!AL2:AL651))/STDEV(Rankings!AL2:AL651)*-1,0)</f>
        <v>-1.249114909328721</v>
      </c>
      <c r="AF498" s="118">
        <f>(VLOOKUP($A498,Pitchers!$A1:$S251,14,FALSE)-AVERAGE(Rankings!AM2:AM651))/STDEV(Rankings!AM2:AM651)</f>
        <v>-0.64624628973266418</v>
      </c>
      <c r="AG498" s="118">
        <f>(VLOOKUP($A498,Pitchers!$A1:$S251,15,FALSE)-AVERAGE(Rankings!AN2:AN651))/STDEV(Rankings!AN2:AN651)</f>
        <v>1.0292518853110859</v>
      </c>
      <c r="AH498" s="118">
        <f>(VLOOKUP($A498,Pitchers!$A1:$S251,16,FALSE)-AVERAGE(Rankings!AO2:AO651))/STDEV(Rankings!AO2:AO651)*-1</f>
        <v>-0.85969988070614733</v>
      </c>
      <c r="AI498" s="118">
        <f>IFERROR((VLOOKUP($A498,Pitchers!$A1:$S251,17,FALSE)-AVERAGE(Rankings!AP2:AP651))/STDEV(Rankings!AP2:AP651),0)</f>
        <v>0.65358112163753934</v>
      </c>
      <c r="AJ498" s="118">
        <f>(VLOOKUP($A498,Pitchers!$A1:$S251,18,FALSE)-AVERAGE(Rankings!AQ2:AQ651))/STDEV(Rankings!AQ2:AQ651)</f>
        <v>-0.61487903439508862</v>
      </c>
      <c r="AK498" s="118">
        <f>IFERROR((VLOOKUP($A498,Pitchers!$A1:$S251,19,FALSE)-AVERAGE(Rankings!AR2:AR651))/STDEV(Rankings!AR2:AR651)*-1,0)</f>
        <v>0.47686441955275594</v>
      </c>
    </row>
    <row r="499" spans="1:37" ht="18.600000000000001" customHeight="1">
      <c r="A499" s="26" t="s">
        <v>410</v>
      </c>
      <c r="B499" s="27" t="s">
        <v>95</v>
      </c>
      <c r="C499" s="127" t="s">
        <v>31</v>
      </c>
      <c r="D499" s="67">
        <f>(V499*Settings!$G$2)+(Y499*Settings!$G$5)+(Z499*Settings!$G$6)+(AA499*Settings!$G$7)+(AB499*Settings!$G$8)+(AC499*Settings!$G$9)+(AD499*Settings!$G$10)+(AE499*Settings!$G$11)+(AF499*Settings!$G$12)+(AG499*Settings!$G$13)+(AH499*Settings!$G$14)+(AI499*Settings!$G$15)+(AJ499*Settings!$G$16)+(AK499*Settings!$G$17)+(W499*Settings!$G$3)+(X499*Settings!$G$4)</f>
        <v>-0.49534591686564472</v>
      </c>
      <c r="E499" s="67"/>
      <c r="F499" s="67"/>
      <c r="G499" s="67"/>
      <c r="H499" s="67"/>
      <c r="I499" s="67"/>
      <c r="J499" s="67"/>
      <c r="K499" s="72"/>
      <c r="L499" s="72"/>
      <c r="M499" s="67"/>
      <c r="N499" s="67"/>
      <c r="O499" s="67"/>
      <c r="P499" s="67"/>
      <c r="Q499" s="67"/>
      <c r="R499" s="72"/>
      <c r="S499" s="72"/>
      <c r="T499" s="67"/>
      <c r="U499" s="67"/>
      <c r="V499" s="118">
        <f>(VLOOKUP($A499,Pitchers!$A1:$S251,4,FALSE)-AVERAGE(Rankings!AC2:AC651))/STDEV(Rankings!AC2:AC651)</f>
        <v>-0.3722729615649793</v>
      </c>
      <c r="W499" s="118">
        <f>(VLOOKUP($A499,Pitchers!$A1:$S251,5,FALSE)-AVERAGE(Rankings!AD2:AD651))/STDEV(Rankings!AD2:AD651)*-1</f>
        <v>0.50077182081310734</v>
      </c>
      <c r="X499" s="118">
        <f>(VLOOKUP($A499,Pitchers!$A1:$S251,6,FALSE)-AVERAGE(Rankings!AE2:AE651))/STDEV(Rankings!AE2:AE651)*-1</f>
        <v>-8.0961288470566661E-2</v>
      </c>
      <c r="Y499" s="118">
        <f>(VLOOKUP($A499,Pitchers!$A1:$S251,7,FALSE)-AVERAGE(Rankings!AF2:AF651))/STDEV(Rankings!AF2:AF651)</f>
        <v>-0.19045632527647699</v>
      </c>
      <c r="Z499" s="118">
        <f>(VLOOKUP($A499,Pitchers!$A1:$S251,8,FALSE)-AVERAGE(Rankings!AG2:AG651))/STDEV(Rankings!AG2:AG651)</f>
        <v>-0.24198724893450838</v>
      </c>
      <c r="AA499" s="118">
        <f>(VLOOKUP($A499,Pitchers!$A1:$S251,9,FALSE)-AVERAGE(Rankings!AH2:AH651))/STDEV(Rankings!AH2:AH651)</f>
        <v>-0.48271287499720011</v>
      </c>
      <c r="AB499" s="118">
        <f>(VLOOKUP($A499,Pitchers!$A1:$S251,10,FALSE)-AVERAGE(Rankings!AI2:AI651))/STDEV(Rankings!AI2:AI651)*-1</f>
        <v>0.47763989715006661</v>
      </c>
      <c r="AC499" s="118">
        <f>(VLOOKUP($A499,Pitchers!$A1:$S251,11,FALSE)-AVERAGE(Rankings!AJ2:AJ651))/STDEV(Rankings!AJ2:AJ651)*-1</f>
        <v>0.47672499241168703</v>
      </c>
      <c r="AD499" s="118">
        <f>(VLOOKUP($A499,Pitchers!$A1:$S251,12,FALSE)-AVERAGE(Rankings!AK2:AK651))/STDEV(Rankings!AK2:AK651)*-1</f>
        <v>-7.4955270333035881E-2</v>
      </c>
      <c r="AE499" s="118">
        <f>IFERROR((VLOOKUP($A499,Pitchers!$A1:$S251,13,FALSE)-AVERAGE(Rankings!AL2:AL651))/STDEV(Rankings!AL2:AL651)*-1,0)</f>
        <v>0.78888643540087533</v>
      </c>
      <c r="AF499" s="118">
        <f>(VLOOKUP($A499,Pitchers!$A1:$S251,14,FALSE)-AVERAGE(Rankings!AM2:AM651))/STDEV(Rankings!AM2:AM651)</f>
        <v>-0.20033815970240421</v>
      </c>
      <c r="AG499" s="118">
        <f>(VLOOKUP($A499,Pitchers!$A1:$S251,15,FALSE)-AVERAGE(Rankings!AN2:AN651))/STDEV(Rankings!AN2:AN651)</f>
        <v>-0.26945729436851662</v>
      </c>
      <c r="AH499" s="118">
        <f>(VLOOKUP($A499,Pitchers!$A1:$S251,16,FALSE)-AVERAGE(Rankings!AO2:AO651))/STDEV(Rankings!AO2:AO651)*-1</f>
        <v>0.44592147994027176</v>
      </c>
      <c r="AI499" s="118">
        <f>IFERROR((VLOOKUP($A499,Pitchers!$A1:$S251,17,FALSE)-AVERAGE(Rankings!AP2:AP651))/STDEV(Rankings!AP2:AP651),0)</f>
        <v>-0.84176658905845514</v>
      </c>
      <c r="AJ499" s="118">
        <f>(VLOOKUP($A499,Pitchers!$A1:$S251,18,FALSE)-AVERAGE(Rankings!AQ2:AQ651))/STDEV(Rankings!AQ2:AQ651)</f>
        <v>-0.37536989708517349</v>
      </c>
      <c r="AK499" s="118">
        <f>IFERROR((VLOOKUP($A499,Pitchers!$A1:$S251,19,FALSE)-AVERAGE(Rankings!AR2:AR651))/STDEV(Rankings!AR2:AR651)*-1,0)</f>
        <v>0.47686441955275594</v>
      </c>
    </row>
    <row r="500" spans="1:37" ht="18.600000000000001" customHeight="1">
      <c r="A500" s="26" t="s">
        <v>400</v>
      </c>
      <c r="B500" s="27" t="s">
        <v>156</v>
      </c>
      <c r="C500" s="127" t="s">
        <v>31</v>
      </c>
      <c r="D500" s="67">
        <f>(V500*Settings!$G$2)+(Y500*Settings!$G$5)+(Z500*Settings!$G$6)+(AA500*Settings!$G$7)+(AB500*Settings!$G$8)+(AC500*Settings!$G$9)+(AD500*Settings!$G$10)+(AE500*Settings!$G$11)+(AF500*Settings!$G$12)+(AG500*Settings!$G$13)+(AH500*Settings!$G$14)+(AI500*Settings!$G$15)+(AJ500*Settings!$G$16)+(AK500*Settings!$G$17)+(W500*Settings!$G$3)+(X500*Settings!$G$4)</f>
        <v>-1.5449471644307731</v>
      </c>
      <c r="E500" s="67"/>
      <c r="F500" s="67"/>
      <c r="G500" s="67"/>
      <c r="H500" s="67"/>
      <c r="I500" s="67"/>
      <c r="J500" s="67"/>
      <c r="K500" s="72"/>
      <c r="L500" s="72"/>
      <c r="M500" s="67"/>
      <c r="N500" s="67"/>
      <c r="O500" s="67"/>
      <c r="P500" s="67"/>
      <c r="Q500" s="67"/>
      <c r="R500" s="72"/>
      <c r="S500" s="72"/>
      <c r="T500" s="67"/>
      <c r="U500" s="67"/>
      <c r="V500" s="118">
        <f>(VLOOKUP($A500,Pitchers!$A1:$S251,4,FALSE)-AVERAGE(Rankings!AC2:AC651))/STDEV(Rankings!AC2:AC651)</f>
        <v>-0.48890498198786325</v>
      </c>
      <c r="W500" s="118">
        <f>(VLOOKUP($A500,Pitchers!$A1:$S251,5,FALSE)-AVERAGE(Rankings!AD2:AD651))/STDEV(Rankings!AD2:AD651)*-1</f>
        <v>-0.35557595603731385</v>
      </c>
      <c r="X500" s="118">
        <f>(VLOOKUP($A500,Pitchers!$A1:$S251,6,FALSE)-AVERAGE(Rankings!AE2:AE651))/STDEV(Rankings!AE2:AE651)*-1</f>
        <v>0.42995152724146773</v>
      </c>
      <c r="Y500" s="118">
        <f>(VLOOKUP($A500,Pitchers!$A1:$S251,7,FALSE)-AVERAGE(Rankings!AF2:AF651))/STDEV(Rankings!AF2:AF651)</f>
        <v>-0.61440339818326883</v>
      </c>
      <c r="Z500" s="118">
        <f>(VLOOKUP($A500,Pitchers!$A1:$S251,8,FALSE)-AVERAGE(Rankings!AG2:AG651))/STDEV(Rankings!AG2:AG651)</f>
        <v>-0.52220646245445801</v>
      </c>
      <c r="AA500" s="118">
        <f>(VLOOKUP($A500,Pitchers!$A1:$S251,9,FALSE)-AVERAGE(Rankings!AH2:AH651))/STDEV(Rankings!AH2:AH651)</f>
        <v>-0.48271287499720011</v>
      </c>
      <c r="AB500" s="118">
        <f>(VLOOKUP($A500,Pitchers!$A1:$S251,10,FALSE)-AVERAGE(Rankings!AI2:AI651))/STDEV(Rankings!AI2:AI651)*-1</f>
        <v>0.4066114418135629</v>
      </c>
      <c r="AC500" s="118">
        <f>(VLOOKUP($A500,Pitchers!$A1:$S251,11,FALSE)-AVERAGE(Rankings!AJ2:AJ651))/STDEV(Rankings!AJ2:AJ651)*-1</f>
        <v>0.3617653758525945</v>
      </c>
      <c r="AD500" s="118">
        <f>(VLOOKUP($A500,Pitchers!$A1:$S251,12,FALSE)-AVERAGE(Rankings!AK2:AK651))/STDEV(Rankings!AK2:AK651)*-1</f>
        <v>1.0975097382645937</v>
      </c>
      <c r="AE500" s="118">
        <f>IFERROR((VLOOKUP($A500,Pitchers!$A1:$S251,13,FALSE)-AVERAGE(Rankings!AL2:AL651))/STDEV(Rankings!AL2:AL651)*-1,0)</f>
        <v>0.12243101935186028</v>
      </c>
      <c r="AF500" s="118">
        <f>(VLOOKUP($A500,Pitchers!$A1:$S251,14,FALSE)-AVERAGE(Rankings!AM2:AM651))/STDEV(Rankings!AM2:AM651)</f>
        <v>-0.65163062686045248</v>
      </c>
      <c r="AG500" s="118">
        <f>(VLOOKUP($A500,Pitchers!$A1:$S251,15,FALSE)-AVERAGE(Rankings!AN2:AN651))/STDEV(Rankings!AN2:AN651)</f>
        <v>-4.8035629370865911E-2</v>
      </c>
      <c r="AH500" s="118">
        <f>(VLOOKUP($A500,Pitchers!$A1:$S251,16,FALSE)-AVERAGE(Rankings!AO2:AO651))/STDEV(Rankings!AO2:AO651)*-1</f>
        <v>0.36830858531796135</v>
      </c>
      <c r="AI500" s="118">
        <f>IFERROR((VLOOKUP($A500,Pitchers!$A1:$S251,17,FALSE)-AVERAGE(Rankings!AP2:AP651))/STDEV(Rankings!AP2:AP651),0)</f>
        <v>-0.29800378516900261</v>
      </c>
      <c r="AJ500" s="118">
        <f>(VLOOKUP($A500,Pitchers!$A1:$S251,18,FALSE)-AVERAGE(Rankings!AQ2:AQ651))/STDEV(Rankings!AQ2:AQ651)</f>
        <v>-0.69471541349839372</v>
      </c>
      <c r="AK500" s="118">
        <f>IFERROR((VLOOKUP($A500,Pitchers!$A1:$S251,19,FALSE)-AVERAGE(Rankings!AR2:AR651))/STDEV(Rankings!AR2:AR651)*-1,0)</f>
        <v>0.47686441955275594</v>
      </c>
    </row>
    <row r="501" spans="1:37" ht="18.600000000000001" customHeight="1">
      <c r="A501" s="26" t="s">
        <v>408</v>
      </c>
      <c r="B501" s="27" t="s">
        <v>101</v>
      </c>
      <c r="C501" s="127" t="s">
        <v>31</v>
      </c>
      <c r="D501" s="67">
        <f>(V501*Settings!$G$2)+(Y501*Settings!$G$5)+(Z501*Settings!$G$6)+(AA501*Settings!$G$7)+(AB501*Settings!$G$8)+(AC501*Settings!$G$9)+(AD501*Settings!$G$10)+(AE501*Settings!$G$11)+(AF501*Settings!$G$12)+(AG501*Settings!$G$13)+(AH501*Settings!$G$14)+(AI501*Settings!$G$15)+(AJ501*Settings!$G$16)+(AK501*Settings!$G$17)+(W501*Settings!$G$3)+(X501*Settings!$G$4)</f>
        <v>0.11779020274879462</v>
      </c>
      <c r="E501" s="67"/>
      <c r="F501" s="67"/>
      <c r="G501" s="67"/>
      <c r="H501" s="67"/>
      <c r="I501" s="67"/>
      <c r="J501" s="67"/>
      <c r="K501" s="72"/>
      <c r="L501" s="72"/>
      <c r="M501" s="67"/>
      <c r="N501" s="67"/>
      <c r="O501" s="67"/>
      <c r="P501" s="67"/>
      <c r="Q501" s="67"/>
      <c r="R501" s="72"/>
      <c r="S501" s="72"/>
      <c r="T501" s="67"/>
      <c r="U501" s="67"/>
      <c r="V501" s="118">
        <f>(VLOOKUP($A501,Pitchers!$A1:$S251,4,FALSE)-AVERAGE(Rankings!AC2:AC651))/STDEV(Rankings!AC2:AC651)</f>
        <v>0.53350072389927383</v>
      </c>
      <c r="W501" s="118">
        <f>(VLOOKUP($A501,Pitchers!$A1:$S251,5,FALSE)-AVERAGE(Rankings!AD2:AD651))/STDEV(Rankings!AD2:AD651)*-1</f>
        <v>-0.23503815624313276</v>
      </c>
      <c r="X501" s="118">
        <f>(VLOOKUP($A501,Pitchers!$A1:$S251,6,FALSE)-AVERAGE(Rankings!AE2:AE651))/STDEV(Rankings!AE2:AE651)*-1</f>
        <v>0.27008305570873087</v>
      </c>
      <c r="Y501" s="118">
        <f>(VLOOKUP($A501,Pitchers!$A1:$S251,7,FALSE)-AVERAGE(Rankings!AF2:AF651))/STDEV(Rankings!AF2:AF651)</f>
        <v>0.10534420467916678</v>
      </c>
      <c r="Z501" s="118">
        <f>(VLOOKUP($A501,Pitchers!$A1:$S251,8,FALSE)-AVERAGE(Rankings!AG2:AG651))/STDEV(Rankings!AG2:AG651)</f>
        <v>0.45864116903447616</v>
      </c>
      <c r="AA501" s="118">
        <f>(VLOOKUP($A501,Pitchers!$A1:$S251,9,FALSE)-AVERAGE(Rankings!AH2:AH651))/STDEV(Rankings!AH2:AH651)</f>
        <v>-0.48124007043044637</v>
      </c>
      <c r="AB501" s="118">
        <f>(VLOOKUP($A501,Pitchers!$A1:$S251,10,FALSE)-AVERAGE(Rankings!AI2:AI651))/STDEV(Rankings!AI2:AI651)*-1</f>
        <v>-0.55042574373477293</v>
      </c>
      <c r="AC501" s="118">
        <f>(VLOOKUP($A501,Pitchers!$A1:$S251,11,FALSE)-AVERAGE(Rankings!AJ2:AJ651))/STDEV(Rankings!AJ2:AJ651)*-1</f>
        <v>-0.7139838096082981</v>
      </c>
      <c r="AD501" s="118">
        <f>(VLOOKUP($A501,Pitchers!$A1:$S251,12,FALSE)-AVERAGE(Rankings!AK2:AK651))/STDEV(Rankings!AK2:AK651)*-1</f>
        <v>0.38318621761094429</v>
      </c>
      <c r="AE501" s="118">
        <f>IFERROR((VLOOKUP($A501,Pitchers!$A1:$S251,13,FALSE)-AVERAGE(Rankings!AL2:AL651))/STDEV(Rankings!AL2:AL651)*-1,0)</f>
        <v>-0.51987746133305968</v>
      </c>
      <c r="AF501" s="118">
        <f>(VLOOKUP($A501,Pitchers!$A1:$S251,14,FALSE)-AVERAGE(Rankings!AM2:AM651))/STDEV(Rankings!AM2:AM651)</f>
        <v>-0.93374155374009904</v>
      </c>
      <c r="AG501" s="118">
        <f>(VLOOKUP($A501,Pitchers!$A1:$S251,15,FALSE)-AVERAGE(Rankings!AN2:AN651))/STDEV(Rankings!AN2:AN651)</f>
        <v>0.74797375236433239</v>
      </c>
      <c r="AH501" s="118">
        <f>(VLOOKUP($A501,Pitchers!$A1:$S251,16,FALSE)-AVERAGE(Rankings!AO2:AO651))/STDEV(Rankings!AO2:AO651)*-1</f>
        <v>-0.60558951460939814</v>
      </c>
      <c r="AI501" s="118">
        <f>IFERROR((VLOOKUP($A501,Pitchers!$A1:$S251,17,FALSE)-AVERAGE(Rankings!AP2:AP651))/STDEV(Rankings!AP2:AP651),0)</f>
        <v>0.51764042066517624</v>
      </c>
      <c r="AJ501" s="118">
        <f>(VLOOKUP($A501,Pitchers!$A1:$S251,18,FALSE)-AVERAGE(Rankings!AQ2:AQ651))/STDEV(Rankings!AQ2:AQ651)</f>
        <v>-0.61487903439508862</v>
      </c>
      <c r="AK501" s="118">
        <f>IFERROR((VLOOKUP($A501,Pitchers!$A1:$S251,19,FALSE)-AVERAGE(Rankings!AR2:AR651))/STDEV(Rankings!AR2:AR651)*-1,0)</f>
        <v>0.47686441955275594</v>
      </c>
    </row>
    <row r="502" spans="1:37" ht="18.600000000000001" customHeight="1">
      <c r="A502" s="26" t="s">
        <v>426</v>
      </c>
      <c r="B502" s="27" t="s">
        <v>217</v>
      </c>
      <c r="C502" s="127" t="s">
        <v>31</v>
      </c>
      <c r="D502" s="67">
        <f>(V502*Settings!$G$2)+(Y502*Settings!$G$5)+(Z502*Settings!$G$6)+(AA502*Settings!$G$7)+(AB502*Settings!$G$8)+(AC502*Settings!$G$9)+(AD502*Settings!$G$10)+(AE502*Settings!$G$11)+(AF502*Settings!$G$12)+(AG502*Settings!$G$13)+(AH502*Settings!$G$14)+(AI502*Settings!$G$15)+(AJ502*Settings!$G$16)+(AK502*Settings!$G$17)+(W502*Settings!$G$3)+(X502*Settings!$G$4)</f>
        <v>-0.22839005965954889</v>
      </c>
      <c r="E502" s="67"/>
      <c r="F502" s="67"/>
      <c r="G502" s="67"/>
      <c r="H502" s="67"/>
      <c r="I502" s="67"/>
      <c r="J502" s="67"/>
      <c r="K502" s="72"/>
      <c r="L502" s="72"/>
      <c r="M502" s="67"/>
      <c r="N502" s="67"/>
      <c r="O502" s="67"/>
      <c r="P502" s="67"/>
      <c r="Q502" s="67"/>
      <c r="R502" s="72"/>
      <c r="S502" s="72"/>
      <c r="T502" s="67"/>
      <c r="U502" s="67"/>
      <c r="V502" s="118">
        <f>(VLOOKUP($A502,Pitchers!$A1:$S251,4,FALSE)-AVERAGE(Rankings!AC2:AC651))/STDEV(Rankings!AC2:AC651)</f>
        <v>0.19548204701425528</v>
      </c>
      <c r="W502" s="118">
        <f>(VLOOKUP($A502,Pitchers!$A1:$S251,5,FALSE)-AVERAGE(Rankings!AD2:AD651))/STDEV(Rankings!AD2:AD651)*-1</f>
        <v>-0.15687147598101955</v>
      </c>
      <c r="X502" s="118">
        <f>(VLOOKUP($A502,Pitchers!$A1:$S251,6,FALSE)-AVERAGE(Rankings!AE2:AE651))/STDEV(Rankings!AE2:AE651)*-1</f>
        <v>-4.0325949053014759E-2</v>
      </c>
      <c r="Y502" s="118">
        <f>(VLOOKUP($A502,Pitchers!$A1:$S251,7,FALSE)-AVERAGE(Rankings!AF2:AF651))/STDEV(Rankings!AF2:AF651)</f>
        <v>0.14432284594179456</v>
      </c>
      <c r="Z502" s="118">
        <f>(VLOOKUP($A502,Pitchers!$A1:$S251,8,FALSE)-AVERAGE(Rankings!AG2:AG651))/STDEV(Rankings!AG2:AG651)</f>
        <v>0.30719739442989097</v>
      </c>
      <c r="AA502" s="118">
        <f>(VLOOKUP($A502,Pitchers!$A1:$S251,9,FALSE)-AVERAGE(Rankings!AH2:AH651))/STDEV(Rankings!AH2:AH651)</f>
        <v>-0.48271287499720011</v>
      </c>
      <c r="AB502" s="118">
        <f>(VLOOKUP($A502,Pitchers!$A1:$S251,10,FALSE)-AVERAGE(Rankings!AI2:AI651))/STDEV(Rankings!AI2:AI651)*-1</f>
        <v>-0.20425645642117468</v>
      </c>
      <c r="AC502" s="118">
        <f>(VLOOKUP($A502,Pitchers!$A1:$S251,11,FALSE)-AVERAGE(Rankings!AJ2:AJ651))/STDEV(Rankings!AJ2:AJ651)*-1</f>
        <v>-0.33141444306695278</v>
      </c>
      <c r="AD502" s="118">
        <f>(VLOOKUP($A502,Pitchers!$A1:$S251,12,FALSE)-AVERAGE(Rankings!AK2:AK651))/STDEV(Rankings!AK2:AK651)*-1</f>
        <v>0.25179469654021835</v>
      </c>
      <c r="AE502" s="118">
        <f>IFERROR((VLOOKUP($A502,Pitchers!$A1:$S251,13,FALSE)-AVERAGE(Rankings!AL2:AL651))/STDEV(Rankings!AL2:AL651)*-1,0)</f>
        <v>6.5257296042056752E-3</v>
      </c>
      <c r="AF502" s="118">
        <f>(VLOOKUP($A502,Pitchers!$A1:$S251,14,FALSE)-AVERAGE(Rankings!AM2:AM651))/STDEV(Rankings!AM2:AM651)</f>
        <v>-0.36541060059381003</v>
      </c>
      <c r="AG502" s="118">
        <f>(VLOOKUP($A502,Pitchers!$A1:$S251,15,FALSE)-AVERAGE(Rankings!AN2:AN651))/STDEV(Rankings!AN2:AN651)</f>
        <v>0.36962759278654994</v>
      </c>
      <c r="AH502" s="118">
        <f>(VLOOKUP($A502,Pitchers!$A1:$S251,16,FALSE)-AVERAGE(Rankings!AO2:AO651))/STDEV(Rankings!AO2:AO651)*-1</f>
        <v>-0.38903995677431014</v>
      </c>
      <c r="AI502" s="118">
        <f>IFERROR((VLOOKUP($A502,Pitchers!$A1:$S251,17,FALSE)-AVERAGE(Rankings!AP2:AP651))/STDEV(Rankings!AP2:AP651),0)</f>
        <v>-2.6122383224276315E-2</v>
      </c>
      <c r="AJ502" s="118">
        <f>(VLOOKUP($A502,Pitchers!$A1:$S251,18,FALSE)-AVERAGE(Rankings!AQ2:AQ651))/STDEV(Rankings!AQ2:AQ651)</f>
        <v>-0.69471541349839372</v>
      </c>
      <c r="AK502" s="118">
        <f>IFERROR((VLOOKUP($A502,Pitchers!$A1:$S251,19,FALSE)-AVERAGE(Rankings!AR2:AR651))/STDEV(Rankings!AR2:AR651)*-1,0)</f>
        <v>0.47686441955275594</v>
      </c>
    </row>
    <row r="503" spans="1:37" ht="18.600000000000001" customHeight="1">
      <c r="A503" s="26" t="s">
        <v>579</v>
      </c>
      <c r="B503" s="27" t="s">
        <v>306</v>
      </c>
      <c r="C503" s="127" t="s">
        <v>31</v>
      </c>
      <c r="D503" s="67">
        <f>(V503*Settings!$G$2)+(Y503*Settings!$G$5)+(Z503*Settings!$G$6)+(AA503*Settings!$G$7)+(AB503*Settings!$G$8)+(AC503*Settings!$G$9)+(AD503*Settings!$G$10)+(AE503*Settings!$G$11)+(AF503*Settings!$G$12)+(AG503*Settings!$G$13)+(AH503*Settings!$G$14)+(AI503*Settings!$G$15)+(AJ503*Settings!$G$16)+(AK503*Settings!$G$17)+(W503*Settings!$G$3)+(X503*Settings!$G$4)</f>
        <v>-2.5103329834629786</v>
      </c>
      <c r="E503" s="67"/>
      <c r="F503" s="67"/>
      <c r="G503" s="67"/>
      <c r="H503" s="67"/>
      <c r="I503" s="67"/>
      <c r="J503" s="67"/>
      <c r="K503" s="72"/>
      <c r="L503" s="72"/>
      <c r="M503" s="67"/>
      <c r="N503" s="67"/>
      <c r="O503" s="67"/>
      <c r="P503" s="67"/>
      <c r="Q503" s="67"/>
      <c r="R503" s="72"/>
      <c r="S503" s="72"/>
      <c r="T503" s="67"/>
      <c r="U503" s="67"/>
      <c r="V503" s="118">
        <f>(VLOOKUP($A503,Pitchers!$A1:$S251,4,FALSE)-AVERAGE(Rankings!AC2:AC651))/STDEV(Rankings!AC2:AC651)</f>
        <v>0.89582394240634511</v>
      </c>
      <c r="W503" s="118">
        <f>(VLOOKUP($A503,Pitchers!$A1:$S251,5,FALSE)-AVERAGE(Rankings!AD2:AD651))/STDEV(Rankings!AD2:AD651)*-1</f>
        <v>-2.0433204993330589</v>
      </c>
      <c r="X503" s="118">
        <f>(VLOOKUP($A503,Pitchers!$A1:$S251,6,FALSE)-AVERAGE(Rankings!AE2:AE651))/STDEV(Rankings!AE2:AE651)*-1</f>
        <v>-1.0698615837116985</v>
      </c>
      <c r="Y503" s="118">
        <f>(VLOOKUP($A503,Pitchers!$A1:$S251,7,FALSE)-AVERAGE(Rankings!AF2:AF651))/STDEV(Rankings!AF2:AF651)</f>
        <v>0.90569310402045888</v>
      </c>
      <c r="Z503" s="118">
        <f>(VLOOKUP($A503,Pitchers!$A1:$S251,8,FALSE)-AVERAGE(Rankings!AG2:AG651))/STDEV(Rankings!AG2:AG651)</f>
        <v>0.17986887055851963</v>
      </c>
      <c r="AA503" s="118">
        <f>(VLOOKUP($A503,Pitchers!$A1:$S251,9,FALSE)-AVERAGE(Rankings!AH2:AH651))/STDEV(Rankings!AH2:AH651)</f>
        <v>-0.48271287499720011</v>
      </c>
      <c r="AB503" s="118">
        <f>(VLOOKUP($A503,Pitchers!$A1:$S251,10,FALSE)-AVERAGE(Rankings!AI2:AI651))/STDEV(Rankings!AI2:AI651)*-1</f>
        <v>-1.5379019528227529</v>
      </c>
      <c r="AC503" s="118">
        <f>(VLOOKUP($A503,Pitchers!$A1:$S251,11,FALSE)-AVERAGE(Rankings!AJ2:AJ651))/STDEV(Rankings!AJ2:AJ651)*-1</f>
        <v>-0.88379174250558246</v>
      </c>
      <c r="AD503" s="118">
        <f>(VLOOKUP($A503,Pitchers!$A1:$S251,12,FALSE)-AVERAGE(Rankings!AK2:AK651))/STDEV(Rankings!AK2:AK651)*-1</f>
        <v>-1.9016274636877193</v>
      </c>
      <c r="AE503" s="118">
        <f>IFERROR((VLOOKUP($A503,Pitchers!$A1:$S251,13,FALSE)-AVERAGE(Rankings!AL2:AL651))/STDEV(Rankings!AL2:AL651)*-1,0)</f>
        <v>-2.3115800653488896</v>
      </c>
      <c r="AF503" s="118">
        <f>(VLOOKUP($A503,Pitchers!$A1:$S251,14,FALSE)-AVERAGE(Rankings!AM2:AM651))/STDEV(Rankings!AM2:AM651)</f>
        <v>-0.74110980833935602</v>
      </c>
      <c r="AG503" s="118">
        <f>(VLOOKUP($A503,Pitchers!$A1:$S251,15,FALSE)-AVERAGE(Rankings!AN2:AN651))/STDEV(Rankings!AN2:AN651)</f>
        <v>0.98336049423453031</v>
      </c>
      <c r="AH503" s="118">
        <f>(VLOOKUP($A503,Pitchers!$A1:$S251,16,FALSE)-AVERAGE(Rankings!AO2:AO651))/STDEV(Rankings!AO2:AO651)*-1</f>
        <v>-1.6661074376707927</v>
      </c>
      <c r="AI503" s="118">
        <f>IFERROR((VLOOKUP($A503,Pitchers!$A1:$S251,17,FALSE)-AVERAGE(Rankings!AP2:AP651))/STDEV(Rankings!AP2:AP651),0)</f>
        <v>0.51764042066517624</v>
      </c>
      <c r="AJ503" s="118">
        <f>(VLOOKUP($A503,Pitchers!$A1:$S251,18,FALSE)-AVERAGE(Rankings!AQ2:AQ651))/STDEV(Rankings!AQ2:AQ651)</f>
        <v>-0.69471541349839372</v>
      </c>
      <c r="AK503" s="118">
        <f>IFERROR((VLOOKUP($A503,Pitchers!$A1:$S251,19,FALSE)-AVERAGE(Rankings!AR2:AR651))/STDEV(Rankings!AR2:AR651)*-1,0)</f>
        <v>0.47686441955275594</v>
      </c>
    </row>
    <row r="504" spans="1:37" ht="18.600000000000001" customHeight="1">
      <c r="A504" s="26" t="s">
        <v>431</v>
      </c>
      <c r="B504" s="27" t="s">
        <v>81</v>
      </c>
      <c r="C504" s="127" t="s">
        <v>31</v>
      </c>
      <c r="D504" s="67">
        <f>(V504*Settings!$G$2)+(Y504*Settings!$G$5)+(Z504*Settings!$G$6)+(AA504*Settings!$G$7)+(AB504*Settings!$G$8)+(AC504*Settings!$G$9)+(AD504*Settings!$G$10)+(AE504*Settings!$G$11)+(AF504*Settings!$G$12)+(AG504*Settings!$G$13)+(AH504*Settings!$G$14)+(AI504*Settings!$G$15)+(AJ504*Settings!$G$16)+(AK504*Settings!$G$17)+(W504*Settings!$G$3)+(X504*Settings!$G$4)</f>
        <v>-1.5580114771397193</v>
      </c>
      <c r="E504" s="67"/>
      <c r="F504" s="67"/>
      <c r="G504" s="67"/>
      <c r="H504" s="67"/>
      <c r="I504" s="67"/>
      <c r="J504" s="67"/>
      <c r="K504" s="72"/>
      <c r="L504" s="72"/>
      <c r="M504" s="67"/>
      <c r="N504" s="67"/>
      <c r="O504" s="67"/>
      <c r="P504" s="67"/>
      <c r="Q504" s="67"/>
      <c r="R504" s="72"/>
      <c r="S504" s="72"/>
      <c r="T504" s="67"/>
      <c r="U504" s="67"/>
      <c r="V504" s="118">
        <f>(VLOOKUP($A504,Pitchers!$A1:$S251,4,FALSE)-AVERAGE(Rankings!AC2:AC651))/STDEV(Rankings!AC2:AC651)</f>
        <v>0.59796159112307723</v>
      </c>
      <c r="W504" s="118">
        <f>(VLOOKUP($A504,Pitchers!$A1:$S251,5,FALSE)-AVERAGE(Rankings!AD2:AD651))/STDEV(Rankings!AD2:AD651)*-1</f>
        <v>-1.2027489281700807</v>
      </c>
      <c r="X504" s="118">
        <f>(VLOOKUP($A504,Pitchers!$A1:$S251,6,FALSE)-AVERAGE(Rankings!AE2:AE651))/STDEV(Rankings!AE2:AE651)*-1</f>
        <v>-0.63787534976530036</v>
      </c>
      <c r="Y504" s="118">
        <f>(VLOOKUP($A504,Pitchers!$A1:$S251,7,FALSE)-AVERAGE(Rankings!AF2:AF651))/STDEV(Rankings!AF2:AF651)</f>
        <v>-0.12899768982168533</v>
      </c>
      <c r="Z504" s="118">
        <f>(VLOOKUP($A504,Pitchers!$A1:$S251,8,FALSE)-AVERAGE(Rankings!AG2:AG651))/STDEV(Rankings!AG2:AG651)</f>
        <v>0.89432336561454706</v>
      </c>
      <c r="AA504" s="118">
        <f>(VLOOKUP($A504,Pitchers!$A1:$S251,9,FALSE)-AVERAGE(Rankings!AH2:AH651))/STDEV(Rankings!AH2:AH651)</f>
        <v>-0.48271287499720011</v>
      </c>
      <c r="AB504" s="118">
        <f>(VLOOKUP($A504,Pitchers!$A1:$S251,10,FALSE)-AVERAGE(Rankings!AI2:AI651))/STDEV(Rankings!AI2:AI651)*-1</f>
        <v>-0.92319473358438409</v>
      </c>
      <c r="AC504" s="118">
        <f>(VLOOKUP($A504,Pitchers!$A1:$S251,11,FALSE)-AVERAGE(Rankings!AJ2:AJ651))/STDEV(Rankings!AJ2:AJ651)*-1</f>
        <v>-0.95400419564935224</v>
      </c>
      <c r="AD504" s="118">
        <f>(VLOOKUP($A504,Pitchers!$A1:$S251,12,FALSE)-AVERAGE(Rankings!AK2:AK651))/STDEV(Rankings!AK2:AK651)*-1</f>
        <v>8.0011284422629891E-2</v>
      </c>
      <c r="AE504" s="118">
        <f>IFERROR((VLOOKUP($A504,Pitchers!$A1:$S251,13,FALSE)-AVERAGE(Rankings!AL2:AL651))/STDEV(Rankings!AL2:AL651)*-1,0)</f>
        <v>-0.77100558911964512</v>
      </c>
      <c r="AF504" s="118">
        <f>(VLOOKUP($A504,Pitchers!$A1:$S251,14,FALSE)-AVERAGE(Rankings!AM2:AM651))/STDEV(Rankings!AM2:AM651)</f>
        <v>-0.90582801652498579</v>
      </c>
      <c r="AG504" s="118">
        <f>(VLOOKUP($A504,Pitchers!$A1:$S251,15,FALSE)-AVERAGE(Rankings!AN2:AN651))/STDEV(Rankings!AN2:AN651)</f>
        <v>0.7844118606348558</v>
      </c>
      <c r="AH504" s="118">
        <f>(VLOOKUP($A504,Pitchers!$A1:$S251,16,FALSE)-AVERAGE(Rankings!AO2:AO651))/STDEV(Rankings!AO2:AO651)*-1</f>
        <v>-0.65043252039117727</v>
      </c>
      <c r="AI504" s="118">
        <f>IFERROR((VLOOKUP($A504,Pitchers!$A1:$S251,17,FALSE)-AVERAGE(Rankings!AP2:AP651))/STDEV(Rankings!AP2:AP651),0)</f>
        <v>0.24575901872044997</v>
      </c>
      <c r="AJ504" s="118">
        <f>(VLOOKUP($A504,Pitchers!$A1:$S251,18,FALSE)-AVERAGE(Rankings!AQ2:AQ651))/STDEV(Rankings!AQ2:AQ651)</f>
        <v>-0.69471541349839372</v>
      </c>
      <c r="AK504" s="118">
        <f>IFERROR((VLOOKUP($A504,Pitchers!$A1:$S251,19,FALSE)-AVERAGE(Rankings!AR2:AR651))/STDEV(Rankings!AR2:AR651)*-1,0)</f>
        <v>0.47686441955275594</v>
      </c>
    </row>
    <row r="505" spans="1:37" ht="18.600000000000001" customHeight="1">
      <c r="A505" s="26" t="s">
        <v>430</v>
      </c>
      <c r="B505" s="27" t="s">
        <v>71</v>
      </c>
      <c r="C505" s="127" t="s">
        <v>31</v>
      </c>
      <c r="D505" s="67">
        <f>(V505*Settings!$G$2)+(Y505*Settings!$G$5)+(Z505*Settings!$G$6)+(AA505*Settings!$G$7)+(AB505*Settings!$G$8)+(AC505*Settings!$G$9)+(AD505*Settings!$G$10)+(AE505*Settings!$G$11)+(AF505*Settings!$G$12)+(AG505*Settings!$G$13)+(AH505*Settings!$G$14)+(AI505*Settings!$G$15)+(AJ505*Settings!$G$16)+(AK505*Settings!$G$17)+(W505*Settings!$G$3)+(X505*Settings!$G$4)</f>
        <v>-2.2769543259552512</v>
      </c>
      <c r="E505" s="67"/>
      <c r="F505" s="67"/>
      <c r="G505" s="67"/>
      <c r="H505" s="67"/>
      <c r="I505" s="67"/>
      <c r="J505" s="67"/>
      <c r="K505" s="72"/>
      <c r="L505" s="72"/>
      <c r="M505" s="67"/>
      <c r="N505" s="67"/>
      <c r="O505" s="67"/>
      <c r="P505" s="67"/>
      <c r="Q505" s="67"/>
      <c r="R505" s="72"/>
      <c r="S505" s="72"/>
      <c r="T505" s="67"/>
      <c r="U505" s="67"/>
      <c r="V505" s="118">
        <f>(VLOOKUP($A505,Pitchers!$A1:$S251,4,FALSE)-AVERAGE(Rankings!AC2:AC651))/STDEV(Rankings!AC2:AC651)</f>
        <v>1.1880740291303262</v>
      </c>
      <c r="W505" s="118">
        <f>(VLOOKUP($A505,Pitchers!$A1:$S251,5,FALSE)-AVERAGE(Rankings!AD2:AD651))/STDEV(Rankings!AD2:AD651)*-1</f>
        <v>-1.533004016154758</v>
      </c>
      <c r="X505" s="118">
        <f>(VLOOKUP($A505,Pitchers!$A1:$S251,6,FALSE)-AVERAGE(Rankings!AE2:AE651))/STDEV(Rankings!AE2:AE651)*-1</f>
        <v>-1.0916076818501372</v>
      </c>
      <c r="Y505" s="118">
        <f>(VLOOKUP($A505,Pitchers!$A1:$S251,7,FALSE)-AVERAGE(Rankings!AF2:AF651))/STDEV(Rankings!AF2:AF651)</f>
        <v>-6.9419242067231157E-2</v>
      </c>
      <c r="Z505" s="118">
        <f>(VLOOKUP($A505,Pitchers!$A1:$S251,8,FALSE)-AVERAGE(Rankings!AG2:AG651))/STDEV(Rankings!AG2:AG651)</f>
        <v>0.89978948911407552</v>
      </c>
      <c r="AA505" s="118">
        <f>(VLOOKUP($A505,Pitchers!$A1:$S251,9,FALSE)-AVERAGE(Rankings!AH2:AH651))/STDEV(Rankings!AH2:AH651)</f>
        <v>-0.48271287499720011</v>
      </c>
      <c r="AB505" s="118">
        <f>(VLOOKUP($A505,Pitchers!$A1:$S251,10,FALSE)-AVERAGE(Rankings!AI2:AI651))/STDEV(Rankings!AI2:AI651)*-1</f>
        <v>-1.6792928795822595</v>
      </c>
      <c r="AC505" s="118">
        <f>(VLOOKUP($A505,Pitchers!$A1:$S251,11,FALSE)-AVERAGE(Rankings!AJ2:AJ651))/STDEV(Rankings!AJ2:AJ651)*-1</f>
        <v>-1.6241260089482394</v>
      </c>
      <c r="AD505" s="118">
        <f>(VLOOKUP($A505,Pitchers!$A1:$S251,12,FALSE)-AVERAGE(Rankings!AK2:AK651))/STDEV(Rankings!AK2:AK651)*-1</f>
        <v>-0.78464236769531348</v>
      </c>
      <c r="AE505" s="118">
        <f>IFERROR((VLOOKUP($A505,Pitchers!$A1:$S251,13,FALSE)-AVERAGE(Rankings!AL2:AL651))/STDEV(Rankings!AL2:AL651)*-1,0)</f>
        <v>-1.8769352287951842</v>
      </c>
      <c r="AF505" s="118">
        <f>(VLOOKUP($A505,Pitchers!$A1:$S251,14,FALSE)-AVERAGE(Rankings!AM2:AM651))/STDEV(Rankings!AM2:AM651)</f>
        <v>-0.68301564459216613</v>
      </c>
      <c r="AG505" s="118">
        <f>(VLOOKUP($A505,Pitchers!$A1:$S251,15,FALSE)-AVERAGE(Rankings!AN2:AN651))/STDEV(Rankings!AN2:AN651)</f>
        <v>1.0400801910707227</v>
      </c>
      <c r="AH505" s="118">
        <f>(VLOOKUP($A505,Pitchers!$A1:$S251,16,FALSE)-AVERAGE(Rankings!AO2:AO651))/STDEV(Rankings!AO2:AO651)*-1</f>
        <v>-1.680288559157338</v>
      </c>
      <c r="AI505" s="118">
        <f>IFERROR((VLOOKUP($A505,Pitchers!$A1:$S251,17,FALSE)-AVERAGE(Rankings!AP2:AP651))/STDEV(Rankings!AP2:AP651),0)</f>
        <v>0.51764042066517624</v>
      </c>
      <c r="AJ505" s="118">
        <f>(VLOOKUP($A505,Pitchers!$A1:$S251,18,FALSE)-AVERAGE(Rankings!AQ2:AQ651))/STDEV(Rankings!AQ2:AQ651)</f>
        <v>-0.69471541349839372</v>
      </c>
      <c r="AK505" s="118">
        <f>IFERROR((VLOOKUP($A505,Pitchers!$A1:$S251,19,FALSE)-AVERAGE(Rankings!AR2:AR651))/STDEV(Rankings!AR2:AR651)*-1,0)</f>
        <v>0.47686441955275594</v>
      </c>
    </row>
    <row r="506" spans="1:37" ht="18.600000000000001" customHeight="1">
      <c r="A506" s="26" t="s">
        <v>449</v>
      </c>
      <c r="B506" s="27" t="s">
        <v>99</v>
      </c>
      <c r="C506" s="127" t="s">
        <v>31</v>
      </c>
      <c r="D506" s="67">
        <f>(V506*Settings!$G$2)+(Y506*Settings!$G$5)+(Z506*Settings!$G$6)+(AA506*Settings!$G$7)+(AB506*Settings!$G$8)+(AC506*Settings!$G$9)+(AD506*Settings!$G$10)+(AE506*Settings!$G$11)+(AF506*Settings!$G$12)+(AG506*Settings!$G$13)+(AH506*Settings!$G$14)+(AI506*Settings!$G$15)+(AJ506*Settings!$G$16)+(AK506*Settings!$G$17)+(W506*Settings!$G$3)+(X506*Settings!$G$4)</f>
        <v>-2.0535980670000709</v>
      </c>
      <c r="E506" s="67"/>
      <c r="F506" s="67"/>
      <c r="G506" s="67"/>
      <c r="H506" s="67"/>
      <c r="I506" s="67"/>
      <c r="J506" s="67"/>
      <c r="K506" s="72"/>
      <c r="L506" s="72"/>
      <c r="M506" s="67"/>
      <c r="N506" s="67"/>
      <c r="O506" s="67"/>
      <c r="P506" s="67"/>
      <c r="Q506" s="67"/>
      <c r="R506" s="72"/>
      <c r="S506" s="72"/>
      <c r="T506" s="67"/>
      <c r="U506" s="67"/>
      <c r="V506" s="118">
        <f>(VLOOKUP($A506,Pitchers!$A1:$S251,4,FALSE)-AVERAGE(Rankings!AC2:AC651))/STDEV(Rankings!AC2:AC651)</f>
        <v>1.1546066065951532</v>
      </c>
      <c r="W506" s="118">
        <f>(VLOOKUP($A506,Pitchers!$A1:$S251,5,FALSE)-AVERAGE(Rankings!AD2:AD651))/STDEV(Rankings!AD2:AD651)*-1</f>
        <v>-1.5568847520400442</v>
      </c>
      <c r="X506" s="118">
        <f>(VLOOKUP($A506,Pitchers!$A1:$S251,6,FALSE)-AVERAGE(Rankings!AE2:AE651))/STDEV(Rankings!AE2:AE651)*-1</f>
        <v>-0.7924140637279099</v>
      </c>
      <c r="Y506" s="118">
        <f>(VLOOKUP($A506,Pitchers!$A1:$S251,7,FALSE)-AVERAGE(Rankings!AF2:AF651))/STDEV(Rankings!AF2:AF651)</f>
        <v>0.15514567639186438</v>
      </c>
      <c r="Z506" s="118">
        <f>(VLOOKUP($A506,Pitchers!$A1:$S251,8,FALSE)-AVERAGE(Rankings!AG2:AG651))/STDEV(Rankings!AG2:AG651)</f>
        <v>0.62326794737321878</v>
      </c>
      <c r="AA506" s="118">
        <f>(VLOOKUP($A506,Pitchers!$A1:$S251,9,FALSE)-AVERAGE(Rankings!AH2:AH651))/STDEV(Rankings!AH2:AH651)</f>
        <v>-0.48271287499720011</v>
      </c>
      <c r="AB506" s="118">
        <f>(VLOOKUP($A506,Pitchers!$A1:$S251,10,FALSE)-AVERAGE(Rankings!AI2:AI651))/STDEV(Rankings!AI2:AI651)*-1</f>
        <v>-1.651550328315293</v>
      </c>
      <c r="AC506" s="118">
        <f>(VLOOKUP($A506,Pitchers!$A1:$S251,11,FALSE)-AVERAGE(Rankings!AJ2:AJ651))/STDEV(Rankings!AJ2:AJ651)*-1</f>
        <v>-1.6692979872061131</v>
      </c>
      <c r="AD506" s="118">
        <f>(VLOOKUP($A506,Pitchers!$A1:$S251,12,FALSE)-AVERAGE(Rankings!AK2:AK651))/STDEV(Rankings!AK2:AK651)*-1</f>
        <v>-0.15432455040566292</v>
      </c>
      <c r="AE506" s="118">
        <f>IFERROR((VLOOKUP($A506,Pitchers!$A1:$S251,13,FALSE)-AVERAGE(Rankings!AL2:AL651))/STDEV(Rankings!AL2:AL651)*-1,0)</f>
        <v>-1.7079066812465209</v>
      </c>
      <c r="AF506" s="118">
        <f>(VLOOKUP($A506,Pitchers!$A1:$S251,14,FALSE)-AVERAGE(Rankings!AM2:AM651))/STDEV(Rankings!AM2:AM651)</f>
        <v>-0.59445746814827893</v>
      </c>
      <c r="AG506" s="118">
        <f>(VLOOKUP($A506,Pitchers!$A1:$S251,15,FALSE)-AVERAGE(Rankings!AN2:AN651))/STDEV(Rankings!AN2:AN651)</f>
        <v>1.0117203426526264</v>
      </c>
      <c r="AH506" s="118">
        <f>(VLOOKUP($A506,Pitchers!$A1:$S251,16,FALSE)-AVERAGE(Rankings!AO2:AO651))/STDEV(Rankings!AO2:AO651)*-1</f>
        <v>-1.6894871244459084</v>
      </c>
      <c r="AI506" s="118">
        <f>IFERROR((VLOOKUP($A506,Pitchers!$A1:$S251,17,FALSE)-AVERAGE(Rankings!AP2:AP651))/STDEV(Rankings!AP2:AP651),0)</f>
        <v>0.65358112163753934</v>
      </c>
      <c r="AJ506" s="118">
        <f>(VLOOKUP($A506,Pitchers!$A1:$S251,18,FALSE)-AVERAGE(Rankings!AQ2:AQ651))/STDEV(Rankings!AQ2:AQ651)</f>
        <v>-0.69471541349839372</v>
      </c>
      <c r="AK506" s="118">
        <f>IFERROR((VLOOKUP($A506,Pitchers!$A1:$S251,19,FALSE)-AVERAGE(Rankings!AR2:AR651))/STDEV(Rankings!AR2:AR651)*-1,0)</f>
        <v>0.47686441955275594</v>
      </c>
    </row>
    <row r="507" spans="1:37" ht="18.600000000000001" customHeight="1">
      <c r="A507" s="26" t="s">
        <v>442</v>
      </c>
      <c r="B507" s="27" t="s">
        <v>140</v>
      </c>
      <c r="C507" s="127" t="s">
        <v>31</v>
      </c>
      <c r="D507" s="67">
        <f>(V507*Settings!$G$2)+(Y507*Settings!$G$5)+(Z507*Settings!$G$6)+(AA507*Settings!$G$7)+(AB507*Settings!$G$8)+(AC507*Settings!$G$9)+(AD507*Settings!$G$10)+(AE507*Settings!$G$11)+(AF507*Settings!$G$12)+(AG507*Settings!$G$13)+(AH507*Settings!$G$14)+(AI507*Settings!$G$15)+(AJ507*Settings!$G$16)+(AK507*Settings!$G$17)+(W507*Settings!$G$3)+(X507*Settings!$G$4)</f>
        <v>-1.316366095138886</v>
      </c>
      <c r="E507" s="67"/>
      <c r="F507" s="67"/>
      <c r="G507" s="67"/>
      <c r="H507" s="67"/>
      <c r="I507" s="67"/>
      <c r="J507" s="67"/>
      <c r="K507" s="72"/>
      <c r="L507" s="72"/>
      <c r="M507" s="67"/>
      <c r="N507" s="67"/>
      <c r="O507" s="67"/>
      <c r="P507" s="67"/>
      <c r="Q507" s="67"/>
      <c r="R507" s="72"/>
      <c r="S507" s="72"/>
      <c r="T507" s="67"/>
      <c r="U507" s="67"/>
      <c r="V507" s="118">
        <f>(VLOOKUP($A507,Pitchers!$A1:$S251,4,FALSE)-AVERAGE(Rankings!AC2:AC651))/STDEV(Rankings!AC2:AC651)</f>
        <v>0.30275418458438641</v>
      </c>
      <c r="W507" s="118">
        <f>(VLOOKUP($A507,Pitchers!$A1:$S251,5,FALSE)-AVERAGE(Rankings!AD2:AD651))/STDEV(Rankings!AD2:AD651)*-1</f>
        <v>-0.47720467518379595</v>
      </c>
      <c r="X507" s="118">
        <f>(VLOOKUP($A507,Pitchers!$A1:$S251,6,FALSE)-AVERAGE(Rankings!AE2:AE651))/STDEV(Rankings!AE2:AE651)*-1</f>
        <v>-0.59854349845827814</v>
      </c>
      <c r="Y507" s="118">
        <f>(VLOOKUP($A507,Pitchers!$A1:$S251,7,FALSE)-AVERAGE(Rankings!AF2:AF651))/STDEV(Rankings!AF2:AF651)</f>
        <v>0.29173896258677967</v>
      </c>
      <c r="Z507" s="118">
        <f>(VLOOKUP($A507,Pitchers!$A1:$S251,8,FALSE)-AVERAGE(Rankings!AG2:AG651))/STDEV(Rankings!AG2:AG651)</f>
        <v>-4.9644009086391667E-2</v>
      </c>
      <c r="AA507" s="118">
        <f>(VLOOKUP($A507,Pitchers!$A1:$S251,9,FALSE)-AVERAGE(Rankings!AH2:AH651))/STDEV(Rankings!AH2:AH651)</f>
        <v>-0.48271287499720011</v>
      </c>
      <c r="AB507" s="118">
        <f>(VLOOKUP($A507,Pitchers!$A1:$S251,10,FALSE)-AVERAGE(Rankings!AI2:AI651))/STDEV(Rankings!AI2:AI651)*-1</f>
        <v>-0.39892070738325958</v>
      </c>
      <c r="AC507" s="118">
        <f>(VLOOKUP($A507,Pitchers!$A1:$S251,11,FALSE)-AVERAGE(Rankings!AJ2:AJ651))/STDEV(Rankings!AJ2:AJ651)*-1</f>
        <v>-0.24280514715828613</v>
      </c>
      <c r="AD507" s="118">
        <f>(VLOOKUP($A507,Pitchers!$A1:$S251,12,FALSE)-AVERAGE(Rankings!AK2:AK651))/STDEV(Rankings!AK2:AK651)*-1</f>
        <v>-0.9579110069350526</v>
      </c>
      <c r="AE507" s="118">
        <f>IFERROR((VLOOKUP($A507,Pitchers!$A1:$S251,13,FALSE)-AVERAGE(Rankings!AL2:AL651))/STDEV(Rankings!AL2:AL651)*-1,0)</f>
        <v>-0.36726882983198067</v>
      </c>
      <c r="AF507" s="118">
        <f>(VLOOKUP($A507,Pitchers!$A1:$S251,14,FALSE)-AVERAGE(Rankings!AM2:AM651))/STDEV(Rankings!AM2:AM651)</f>
        <v>-0.68686261177688857</v>
      </c>
      <c r="AG507" s="118">
        <f>(VLOOKUP($A507,Pitchers!$A1:$S251,15,FALSE)-AVERAGE(Rankings!AN2:AN651))/STDEV(Rankings!AN2:AN651)</f>
        <v>0.66029025739165492</v>
      </c>
      <c r="AH507" s="118">
        <f>(VLOOKUP($A507,Pitchers!$A1:$S251,16,FALSE)-AVERAGE(Rankings!AO2:AO651))/STDEV(Rankings!AO2:AO651)*-1</f>
        <v>-0.87004826665578849</v>
      </c>
      <c r="AI507" s="118">
        <f>IFERROR((VLOOKUP($A507,Pitchers!$A1:$S251,17,FALSE)-AVERAGE(Rankings!AP2:AP651))/STDEV(Rankings!AP2:AP651),0)</f>
        <v>0.78952182260990256</v>
      </c>
      <c r="AJ507" s="118">
        <f>(VLOOKUP($A507,Pitchers!$A1:$S251,18,FALSE)-AVERAGE(Rankings!AQ2:AQ651))/STDEV(Rankings!AQ2:AQ651)</f>
        <v>-0.69471541349839372</v>
      </c>
      <c r="AK507" s="118">
        <f>IFERROR((VLOOKUP($A507,Pitchers!$A1:$S251,19,FALSE)-AVERAGE(Rankings!AR2:AR651))/STDEV(Rankings!AR2:AR651)*-1,0)</f>
        <v>0.47686441955275594</v>
      </c>
    </row>
    <row r="508" spans="1:37" ht="18.600000000000001" customHeight="1">
      <c r="A508" s="26" t="s">
        <v>440</v>
      </c>
      <c r="B508" s="27" t="s">
        <v>258</v>
      </c>
      <c r="C508" s="127" t="s">
        <v>31</v>
      </c>
      <c r="D508" s="67">
        <f>(V508*Settings!$G$2)+(Y508*Settings!$G$5)+(Z508*Settings!$G$6)+(AA508*Settings!$G$7)+(AB508*Settings!$G$8)+(AC508*Settings!$G$9)+(AD508*Settings!$G$10)+(AE508*Settings!$G$11)+(AF508*Settings!$G$12)+(AG508*Settings!$G$13)+(AH508*Settings!$G$14)+(AI508*Settings!$G$15)+(AJ508*Settings!$G$16)+(AK508*Settings!$G$17)+(W508*Settings!$G$3)+(X508*Settings!$G$4)</f>
        <v>-1.9061748831931529</v>
      </c>
      <c r="E508" s="67"/>
      <c r="F508" s="67"/>
      <c r="G508" s="67"/>
      <c r="H508" s="67"/>
      <c r="I508" s="67"/>
      <c r="J508" s="67"/>
      <c r="K508" s="72"/>
      <c r="L508" s="72"/>
      <c r="M508" s="67"/>
      <c r="N508" s="67"/>
      <c r="O508" s="67"/>
      <c r="P508" s="67"/>
      <c r="Q508" s="67"/>
      <c r="R508" s="72"/>
      <c r="S508" s="72"/>
      <c r="T508" s="67"/>
      <c r="U508" s="67"/>
      <c r="V508" s="118">
        <f>(VLOOKUP($A508,Pitchers!$A1:$S251,4,FALSE)-AVERAGE(Rankings!AC2:AC651))/STDEV(Rankings!AC2:AC651)</f>
        <v>0.33114995253414697</v>
      </c>
      <c r="W508" s="118">
        <f>(VLOOKUP($A508,Pitchers!$A1:$S251,5,FALSE)-AVERAGE(Rankings!AD2:AD651))/STDEV(Rankings!AD2:AD651)*-1</f>
        <v>-1.0363391402379332</v>
      </c>
      <c r="X508" s="118">
        <f>(VLOOKUP($A508,Pitchers!$A1:$S251,6,FALSE)-AVERAGE(Rankings!AE2:AE651))/STDEV(Rankings!AE2:AE651)*-1</f>
        <v>-0.42337151693005259</v>
      </c>
      <c r="Y508" s="118">
        <f>(VLOOKUP($A508,Pitchers!$A1:$S251,7,FALSE)-AVERAGE(Rankings!AF2:AF651))/STDEV(Rankings!AF2:AF651)</f>
        <v>0.12486290324329861</v>
      </c>
      <c r="Z508" s="118">
        <f>(VLOOKUP($A508,Pitchers!$A1:$S251,8,FALSE)-AVERAGE(Rankings!AG2:AG651))/STDEV(Rankings!AG2:AG651)</f>
        <v>-8.8614254271265708E-2</v>
      </c>
      <c r="AA508" s="118">
        <f>(VLOOKUP($A508,Pitchers!$A1:$S251,9,FALSE)-AVERAGE(Rankings!AH2:AH651))/STDEV(Rankings!AH2:AH651)</f>
        <v>-0.48271287499720011</v>
      </c>
      <c r="AB508" s="118">
        <f>(VLOOKUP($A508,Pitchers!$A1:$S251,10,FALSE)-AVERAGE(Rankings!AI2:AI651))/STDEV(Rankings!AI2:AI651)*-1</f>
        <v>-0.59029276092011773</v>
      </c>
      <c r="AC508" s="118">
        <f>(VLOOKUP($A508,Pitchers!$A1:$S251,11,FALSE)-AVERAGE(Rankings!AJ2:AJ651))/STDEV(Rankings!AJ2:AJ651)*-1</f>
        <v>-0.4401316415230111</v>
      </c>
      <c r="AD508" s="118">
        <f>(VLOOKUP($A508,Pitchers!$A1:$S251,12,FALSE)-AVERAGE(Rankings!AK2:AK651))/STDEV(Rankings!AK2:AK651)*-1</f>
        <v>-0.27840781103405815</v>
      </c>
      <c r="AE508" s="118">
        <f>IFERROR((VLOOKUP($A508,Pitchers!$A1:$S251,13,FALSE)-AVERAGE(Rankings!AL2:AL651))/STDEV(Rankings!AL2:AL651)*-1,0)</f>
        <v>-0.6695884605904473</v>
      </c>
      <c r="AF508" s="118">
        <f>(VLOOKUP($A508,Pitchers!$A1:$S251,14,FALSE)-AVERAGE(Rankings!AM2:AM651))/STDEV(Rankings!AM2:AM651)</f>
        <v>-0.9953426212744666</v>
      </c>
      <c r="AG508" s="118">
        <f>(VLOOKUP($A508,Pitchers!$A1:$S251,15,FALSE)-AVERAGE(Rankings!AN2:AN651))/STDEV(Rankings!AN2:AN651)</f>
        <v>0.60063144899213283</v>
      </c>
      <c r="AH508" s="118">
        <f>(VLOOKUP($A508,Pitchers!$A1:$S251,16,FALSE)-AVERAGE(Rankings!AO2:AO651))/STDEV(Rankings!AO2:AO651)*-1</f>
        <v>-1.270185856708588</v>
      </c>
      <c r="AI508" s="118">
        <f>IFERROR((VLOOKUP($A508,Pitchers!$A1:$S251,17,FALSE)-AVERAGE(Rankings!AP2:AP651))/STDEV(Rankings!AP2:AP651),0)</f>
        <v>0.65358112163753934</v>
      </c>
      <c r="AJ508" s="118">
        <f>(VLOOKUP($A508,Pitchers!$A1:$S251,18,FALSE)-AVERAGE(Rankings!AQ2:AQ651))/STDEV(Rankings!AQ2:AQ651)</f>
        <v>-0.69471541349839372</v>
      </c>
      <c r="AK508" s="118">
        <f>IFERROR((VLOOKUP($A508,Pitchers!$A1:$S251,19,FALSE)-AVERAGE(Rankings!AR2:AR651))/STDEV(Rankings!AR2:AR651)*-1,0)</f>
        <v>0.47686441955275594</v>
      </c>
    </row>
    <row r="509" spans="1:37" ht="18.600000000000001" customHeight="1">
      <c r="A509" s="26" t="s">
        <v>472</v>
      </c>
      <c r="B509" s="27" t="s">
        <v>63</v>
      </c>
      <c r="C509" s="127" t="s">
        <v>31</v>
      </c>
      <c r="D509" s="67">
        <f>(V509*Settings!$G$2)+(Y509*Settings!$G$5)+(Z509*Settings!$G$6)+(AA509*Settings!$G$7)+(AB509*Settings!$G$8)+(AC509*Settings!$G$9)+(AD509*Settings!$G$10)+(AE509*Settings!$G$11)+(AF509*Settings!$G$12)+(AG509*Settings!$G$13)+(AH509*Settings!$G$14)+(AI509*Settings!$G$15)+(AJ509*Settings!$G$16)+(AK509*Settings!$G$17)+(W509*Settings!$G$3)+(X509*Settings!$G$4)</f>
        <v>-2.0548400834071101</v>
      </c>
      <c r="E509" s="67"/>
      <c r="F509" s="67"/>
      <c r="G509" s="67"/>
      <c r="H509" s="67"/>
      <c r="I509" s="67"/>
      <c r="J509" s="67"/>
      <c r="K509" s="72"/>
      <c r="L509" s="72"/>
      <c r="M509" s="67"/>
      <c r="N509" s="67"/>
      <c r="O509" s="67"/>
      <c r="P509" s="67"/>
      <c r="Q509" s="67"/>
      <c r="R509" s="72"/>
      <c r="S509" s="72"/>
      <c r="T509" s="67"/>
      <c r="U509" s="67"/>
      <c r="V509" s="118">
        <f>(VLOOKUP($A509,Pitchers!$A1:$S251,4,FALSE)-AVERAGE(Rankings!AC2:AC651))/STDEV(Rankings!AC2:AC651)</f>
        <v>0.42622629560891478</v>
      </c>
      <c r="W509" s="118">
        <f>(VLOOKUP($A509,Pitchers!$A1:$S251,5,FALSE)-AVERAGE(Rankings!AD2:AD651))/STDEV(Rankings!AD2:AD651)*-1</f>
        <v>-1.2334908920262666</v>
      </c>
      <c r="X509" s="118">
        <f>(VLOOKUP($A509,Pitchers!$A1:$S251,6,FALSE)-AVERAGE(Rankings!AE2:AE651))/STDEV(Rankings!AE2:AE651)*-1</f>
        <v>-0.69825653053619519</v>
      </c>
      <c r="Y509" s="118">
        <f>(VLOOKUP($A509,Pitchers!$A1:$S251,7,FALSE)-AVERAGE(Rankings!AF2:AF651))/STDEV(Rankings!AF2:AF651)</f>
        <v>2.4449128872132873E-2</v>
      </c>
      <c r="Z509" s="118">
        <f>(VLOOKUP($A509,Pitchers!$A1:$S251,8,FALSE)-AVERAGE(Rankings!AG2:AG651))/STDEV(Rankings!AG2:AG651)</f>
        <v>0.33517108528041922</v>
      </c>
      <c r="AA509" s="118">
        <f>(VLOOKUP($A509,Pitchers!$A1:$S251,9,FALSE)-AVERAGE(Rankings!AH2:AH651))/STDEV(Rankings!AH2:AH651)</f>
        <v>-0.48271287499720011</v>
      </c>
      <c r="AB509" s="118">
        <f>(VLOOKUP($A509,Pitchers!$A1:$S251,10,FALSE)-AVERAGE(Rankings!AI2:AI651))/STDEV(Rankings!AI2:AI651)*-1</f>
        <v>-0.74951527986743638</v>
      </c>
      <c r="AC509" s="118">
        <f>(VLOOKUP($A509,Pitchers!$A1:$S251,11,FALSE)-AVERAGE(Rankings!AJ2:AJ651))/STDEV(Rankings!AJ2:AJ651)*-1</f>
        <v>-0.68186308734656031</v>
      </c>
      <c r="AD509" s="118">
        <f>(VLOOKUP($A509,Pitchers!$A1:$S251,12,FALSE)-AVERAGE(Rankings!AK2:AK651))/STDEV(Rankings!AK2:AK651)*-1</f>
        <v>-0.12375559006085879</v>
      </c>
      <c r="AE509" s="118">
        <f>IFERROR((VLOOKUP($A509,Pitchers!$A1:$S251,13,FALSE)-AVERAGE(Rankings!AL2:AL651))/STDEV(Rankings!AL2:AL651)*-1,0)</f>
        <v>-1.0607688134887814</v>
      </c>
      <c r="AF509" s="118">
        <f>(VLOOKUP($A509,Pitchers!$A1:$S251,14,FALSE)-AVERAGE(Rankings!AM2:AM651))/STDEV(Rankings!AM2:AM651)</f>
        <v>-0.83328115838215333</v>
      </c>
      <c r="AG509" s="118">
        <f>(VLOOKUP($A509,Pitchers!$A1:$S251,15,FALSE)-AVERAGE(Rankings!AN2:AN651))/STDEV(Rankings!AN2:AN651)</f>
        <v>0.72631714084505883</v>
      </c>
      <c r="AH509" s="118">
        <f>(VLOOKUP($A509,Pitchers!$A1:$S251,16,FALSE)-AVERAGE(Rankings!AO2:AO651))/STDEV(Rankings!AO2:AO651)*-1</f>
        <v>-0.30165358653289459</v>
      </c>
      <c r="AI509" s="118">
        <f>IFERROR((VLOOKUP($A509,Pitchers!$A1:$S251,17,FALSE)-AVERAGE(Rankings!AP2:AP651))/STDEV(Rankings!AP2:AP651),0)</f>
        <v>0.38169971969281308</v>
      </c>
      <c r="AJ509" s="118">
        <f>(VLOOKUP($A509,Pitchers!$A1:$S251,18,FALSE)-AVERAGE(Rankings!AQ2:AQ651))/STDEV(Rankings!AQ2:AQ651)</f>
        <v>-0.61487903439508862</v>
      </c>
      <c r="AK509" s="118">
        <f>IFERROR((VLOOKUP($A509,Pitchers!$A1:$S251,19,FALSE)-AVERAGE(Rankings!AR2:AR651))/STDEV(Rankings!AR2:AR651)*-1,0)</f>
        <v>0.47686441955275594</v>
      </c>
    </row>
    <row r="510" spans="1:37" ht="18.600000000000001" customHeight="1">
      <c r="A510" s="26" t="s">
        <v>748</v>
      </c>
      <c r="B510" s="27" t="s">
        <v>120</v>
      </c>
      <c r="C510" s="127" t="s">
        <v>31</v>
      </c>
      <c r="D510" s="67">
        <f>(V510*Settings!$G$2)+(Y510*Settings!$G$5)+(Z510*Settings!$G$6)+(AA510*Settings!$G$7)+(AB510*Settings!$G$8)+(AC510*Settings!$G$9)+(AD510*Settings!$G$10)+(AE510*Settings!$G$11)+(AF510*Settings!$G$12)+(AG510*Settings!$G$13)+(AH510*Settings!$G$14)+(AI510*Settings!$G$15)+(AJ510*Settings!$G$16)+(AK510*Settings!$G$17)+(W510*Settings!$G$3)+(X510*Settings!$G$4)</f>
        <v>2.8678310194247305</v>
      </c>
      <c r="E510" s="67"/>
      <c r="F510" s="67"/>
      <c r="G510" s="67"/>
      <c r="H510" s="67"/>
      <c r="I510" s="67"/>
      <c r="J510" s="67"/>
      <c r="K510" s="72"/>
      <c r="L510" s="72"/>
      <c r="M510" s="67"/>
      <c r="N510" s="67"/>
      <c r="O510" s="67"/>
      <c r="P510" s="67"/>
      <c r="Q510" s="67"/>
      <c r="R510" s="72"/>
      <c r="S510" s="72"/>
      <c r="T510" s="67"/>
      <c r="U510" s="67"/>
      <c r="V510" s="118">
        <f>(VLOOKUP($A510,Pitchers!$A1:$S251,4,FALSE)-AVERAGE(Rankings!AC2:AC651))/STDEV(Rankings!AC2:AC651)</f>
        <v>0.42802513479704701</v>
      </c>
      <c r="W510" s="118">
        <f>(VLOOKUP($A510,Pitchers!$A1:$S251,5,FALSE)-AVERAGE(Rankings!AD2:AD651))/STDEV(Rankings!AD2:AD651)*-1</f>
        <v>0.59112863961872886</v>
      </c>
      <c r="X510" s="118">
        <f>(VLOOKUP($A510,Pitchers!$A1:$S251,6,FALSE)-AVERAGE(Rankings!AE2:AE651))/STDEV(Rankings!AE2:AE651)*-1</f>
        <v>1.8086721561708861</v>
      </c>
      <c r="Y510" s="118">
        <f>(VLOOKUP($A510,Pitchers!$A1:$S251,7,FALSE)-AVERAGE(Rankings!AF2:AF651))/STDEV(Rankings!AF2:AF651)</f>
        <v>0.7978173347135773</v>
      </c>
      <c r="Z510" s="118">
        <f>(VLOOKUP($A510,Pitchers!$A1:$S251,8,FALSE)-AVERAGE(Rankings!AG2:AG651))/STDEV(Rankings!AG2:AG651)</f>
        <v>0.15292576391873836</v>
      </c>
      <c r="AA510" s="118">
        <f>(VLOOKUP($A510,Pitchers!$A1:$S251,9,FALSE)-AVERAGE(Rankings!AH2:AH651))/STDEV(Rankings!AH2:AH651)</f>
        <v>-0.48271287499720011</v>
      </c>
      <c r="AB510" s="118">
        <f>(VLOOKUP($A510,Pitchers!$A1:$S251,10,FALSE)-AVERAGE(Rankings!AI2:AI651))/STDEV(Rankings!AI2:AI651)*-1</f>
        <v>-0.19906377801742509</v>
      </c>
      <c r="AC510" s="118">
        <f>(VLOOKUP($A510,Pitchers!$A1:$S251,11,FALSE)-AVERAGE(Rankings!AJ2:AJ651))/STDEV(Rankings!AJ2:AJ651)*-1</f>
        <v>-0.20274823640869041</v>
      </c>
      <c r="AD510" s="118">
        <f>(VLOOKUP($A510,Pitchers!$A1:$S251,12,FALSE)-AVERAGE(Rankings!AK2:AK651))/STDEV(Rankings!AK2:AK651)*-1</f>
        <v>0.45167729063636031</v>
      </c>
      <c r="AE510" s="118">
        <f>IFERROR((VLOOKUP($A510,Pitchers!$A1:$S251,13,FALSE)-AVERAGE(Rankings!AL2:AL651))/STDEV(Rankings!AL2:AL651)*-1,0)</f>
        <v>-0.47169733232920869</v>
      </c>
      <c r="AF510" s="118">
        <f>(VLOOKUP($A510,Pitchers!$A1:$S251,14,FALSE)-AVERAGE(Rankings!AM2:AM651))/STDEV(Rankings!AM2:AM651)</f>
        <v>-0.90129181111320933</v>
      </c>
      <c r="AG510" s="118">
        <f>(VLOOKUP($A510,Pitchers!$A1:$S251,15,FALSE)-AVERAGE(Rankings!AN2:AN651))/STDEV(Rankings!AN2:AN651)</f>
        <v>2.5648413155423648E-2</v>
      </c>
      <c r="AH510" s="118">
        <f>(VLOOKUP($A510,Pitchers!$A1:$S251,16,FALSE)-AVERAGE(Rankings!AO2:AO651))/STDEV(Rankings!AO2:AO651)*-1</f>
        <v>-0.25102919661397249</v>
      </c>
      <c r="AI510" s="118">
        <f>IFERROR((VLOOKUP($A510,Pitchers!$A1:$S251,17,FALSE)-AVERAGE(Rankings!AP2:AP651))/STDEV(Rankings!AP2:AP651),0)</f>
        <v>0.69436333192924837</v>
      </c>
      <c r="AJ510" s="118">
        <f>(VLOOKUP($A510,Pitchers!$A1:$S251,18,FALSE)-AVERAGE(Rankings!AQ2:AQ651))/STDEV(Rankings!AQ2:AQ651)</f>
        <v>-0.69471541349839372</v>
      </c>
      <c r="AK510" s="118">
        <f>IFERROR((VLOOKUP($A510,Pitchers!$A1:$S251,19,FALSE)-AVERAGE(Rankings!AR2:AR651))/STDEV(Rankings!AR2:AR651)*-1,0)</f>
        <v>0.47686441955275594</v>
      </c>
    </row>
    <row r="511" spans="1:37" ht="18.600000000000001" customHeight="1">
      <c r="A511" s="26" t="s">
        <v>494</v>
      </c>
      <c r="B511" s="27" t="s">
        <v>103</v>
      </c>
      <c r="C511" s="127" t="s">
        <v>31</v>
      </c>
      <c r="D511" s="67">
        <f>(V511*Settings!$G$2)+(Y511*Settings!$G$5)+(Z511*Settings!$G$6)+(AA511*Settings!$G$7)+(AB511*Settings!$G$8)+(AC511*Settings!$G$9)+(AD511*Settings!$G$10)+(AE511*Settings!$G$11)+(AF511*Settings!$G$12)+(AG511*Settings!$G$13)+(AH511*Settings!$G$14)+(AI511*Settings!$G$15)+(AJ511*Settings!$G$16)+(AK511*Settings!$G$17)+(W511*Settings!$G$3)+(X511*Settings!$G$4)</f>
        <v>-2.0215956098440904</v>
      </c>
      <c r="E511" s="67"/>
      <c r="F511" s="67"/>
      <c r="G511" s="67"/>
      <c r="H511" s="67"/>
      <c r="I511" s="67"/>
      <c r="J511" s="67"/>
      <c r="K511" s="72"/>
      <c r="L511" s="72"/>
      <c r="M511" s="67"/>
      <c r="N511" s="67"/>
      <c r="O511" s="67"/>
      <c r="P511" s="67"/>
      <c r="Q511" s="67"/>
      <c r="R511" s="72"/>
      <c r="S511" s="72"/>
      <c r="T511" s="67"/>
      <c r="U511" s="67"/>
      <c r="V511" s="118">
        <f>(VLOOKUP($A511,Pitchers!$A1:$S251,4,FALSE)-AVERAGE(Rankings!AC2:AC651))/STDEV(Rankings!AC2:AC651)</f>
        <v>0.7539252778655311</v>
      </c>
      <c r="W511" s="118">
        <f>(VLOOKUP($A511,Pitchers!$A1:$S251,5,FALSE)-AVERAGE(Rankings!AD2:AD651))/STDEV(Rankings!AD2:AD651)*-1</f>
        <v>-1.5559360643511428</v>
      </c>
      <c r="X511" s="118">
        <f>(VLOOKUP($A511,Pitchers!$A1:$S251,6,FALSE)-AVERAGE(Rankings!AE2:AE651))/STDEV(Rankings!AE2:AE651)*-1</f>
        <v>-0.82633273015101794</v>
      </c>
      <c r="Y511" s="118">
        <f>(VLOOKUP($A511,Pitchers!$A1:$S251,7,FALSE)-AVERAGE(Rankings!AF2:AF651))/STDEV(Rankings!AF2:AF651)</f>
        <v>0.22365501572292298</v>
      </c>
      <c r="Z511" s="118">
        <f>(VLOOKUP($A511,Pitchers!$A1:$S251,8,FALSE)-AVERAGE(Rankings!AG2:AG651))/STDEV(Rankings!AG2:AG651)</f>
        <v>0.61973104393234735</v>
      </c>
      <c r="AA511" s="118">
        <f>(VLOOKUP($A511,Pitchers!$A1:$S251,9,FALSE)-AVERAGE(Rankings!AH2:AH651))/STDEV(Rankings!AH2:AH651)</f>
        <v>-0.48271287499720011</v>
      </c>
      <c r="AB511" s="118">
        <f>(VLOOKUP($A511,Pitchers!$A1:$S251,10,FALSE)-AVERAGE(Rankings!AI2:AI651))/STDEV(Rankings!AI2:AI651)*-1</f>
        <v>-1.2088418430854511</v>
      </c>
      <c r="AC511" s="118">
        <f>(VLOOKUP($A511,Pitchers!$A1:$S251,11,FALSE)-AVERAGE(Rankings!AJ2:AJ651))/STDEV(Rankings!AJ2:AJ651)*-1</f>
        <v>-1.1913340876875858</v>
      </c>
      <c r="AD511" s="118">
        <f>(VLOOKUP($A511,Pitchers!$A1:$S251,12,FALSE)-AVERAGE(Rankings!AK2:AK651))/STDEV(Rankings!AK2:AK651)*-1</f>
        <v>1.7421725886325027E-3</v>
      </c>
      <c r="AE511" s="118">
        <f>IFERROR((VLOOKUP($A511,Pitchers!$A1:$S251,13,FALSE)-AVERAGE(Rankings!AL2:AL651))/STDEV(Rankings!AL2:AL651)*-1,0)</f>
        <v>-1.046280652270325</v>
      </c>
      <c r="AF511" s="118">
        <f>(VLOOKUP($A511,Pitchers!$A1:$S251,14,FALSE)-AVERAGE(Rankings!AM2:AM651))/STDEV(Rankings!AM2:AM651)</f>
        <v>-0.77759577703423755</v>
      </c>
      <c r="AG511" s="118">
        <f>(VLOOKUP($A511,Pitchers!$A1:$S251,15,FALSE)-AVERAGE(Rankings!AN2:AN651))/STDEV(Rankings!AN2:AN651)</f>
        <v>0.93953163758838143</v>
      </c>
      <c r="AH511" s="118">
        <f>(VLOOKUP($A511,Pitchers!$A1:$S251,16,FALSE)-AVERAGE(Rankings!AO2:AO651))/STDEV(Rankings!AO2:AO651)*-1</f>
        <v>-0.97813140879648686</v>
      </c>
      <c r="AI511" s="118">
        <f>IFERROR((VLOOKUP($A511,Pitchers!$A1:$S251,17,FALSE)-AVERAGE(Rankings!AP2:AP651))/STDEV(Rankings!AP2:AP651),0)</f>
        <v>0.51764042066517624</v>
      </c>
      <c r="AJ511" s="118">
        <f>(VLOOKUP($A511,Pitchers!$A1:$S251,18,FALSE)-AVERAGE(Rankings!AQ2:AQ651))/STDEV(Rankings!AQ2:AQ651)</f>
        <v>-0.69471541349839372</v>
      </c>
      <c r="AK511" s="118">
        <f>IFERROR((VLOOKUP($A511,Pitchers!$A1:$S251,19,FALSE)-AVERAGE(Rankings!AR2:AR651))/STDEV(Rankings!AR2:AR651)*-1,0)</f>
        <v>0.47686441955275594</v>
      </c>
    </row>
    <row r="512" spans="1:37" ht="18.600000000000001" customHeight="1">
      <c r="A512" s="26" t="s">
        <v>496</v>
      </c>
      <c r="B512" s="27" t="s">
        <v>99</v>
      </c>
      <c r="C512" s="127" t="s">
        <v>31</v>
      </c>
      <c r="D512" s="67">
        <f>(V512*Settings!$G$2)+(Y512*Settings!$G$5)+(Z512*Settings!$G$6)+(AA512*Settings!$G$7)+(AB512*Settings!$G$8)+(AC512*Settings!$G$9)+(AD512*Settings!$G$10)+(AE512*Settings!$G$11)+(AF512*Settings!$G$12)+(AG512*Settings!$G$13)+(AH512*Settings!$G$14)+(AI512*Settings!$G$15)+(AJ512*Settings!$G$16)+(AK512*Settings!$G$17)+(W512*Settings!$G$3)+(X512*Settings!$G$4)</f>
        <v>-2.2604642084253701</v>
      </c>
      <c r="E512" s="67"/>
      <c r="F512" s="67"/>
      <c r="G512" s="67"/>
      <c r="H512" s="67"/>
      <c r="I512" s="67"/>
      <c r="J512" s="67"/>
      <c r="K512" s="72"/>
      <c r="L512" s="72"/>
      <c r="M512" s="67"/>
      <c r="N512" s="67"/>
      <c r="O512" s="67"/>
      <c r="P512" s="67"/>
      <c r="Q512" s="67"/>
      <c r="R512" s="72"/>
      <c r="S512" s="72"/>
      <c r="T512" s="67"/>
      <c r="U512" s="67"/>
      <c r="V512" s="118">
        <f>(VLOOKUP($A512,Pitchers!$A1:$S251,4,FALSE)-AVERAGE(Rankings!AC2:AC651))/STDEV(Rankings!AC2:AC651)</f>
        <v>0.53621522736978566</v>
      </c>
      <c r="W512" s="118">
        <f>(VLOOKUP($A512,Pitchers!$A1:$S251,5,FALSE)-AVERAGE(Rankings!AD2:AD651))/STDEV(Rankings!AD2:AD651)*-1</f>
        <v>-1.0596058634178833</v>
      </c>
      <c r="X512" s="118">
        <f>(VLOOKUP($A512,Pitchers!$A1:$S251,6,FALSE)-AVERAGE(Rankings!AE2:AE651))/STDEV(Rankings!AE2:AE651)*-1</f>
        <v>-0.91794782462942714</v>
      </c>
      <c r="Y512" s="118">
        <f>(VLOOKUP($A512,Pitchers!$A1:$S251,7,FALSE)-AVERAGE(Rankings!AF2:AF651))/STDEV(Rankings!AF2:AF651)</f>
        <v>-9.8150860363018441E-2</v>
      </c>
      <c r="Z512" s="118">
        <f>(VLOOKUP($A512,Pitchers!$A1:$S251,8,FALSE)-AVERAGE(Rankings!AG2:AG651))/STDEV(Rankings!AG2:AG651)</f>
        <v>0.29795321498215893</v>
      </c>
      <c r="AA512" s="118">
        <f>(VLOOKUP($A512,Pitchers!$A1:$S251,9,FALSE)-AVERAGE(Rankings!AH2:AH651))/STDEV(Rankings!AH2:AH651)</f>
        <v>-0.48271287499720011</v>
      </c>
      <c r="AB512" s="118">
        <f>(VLOOKUP($A512,Pitchers!$A1:$S251,10,FALSE)-AVERAGE(Rankings!AI2:AI651))/STDEV(Rankings!AI2:AI651)*-1</f>
        <v>-0.81238263614789019</v>
      </c>
      <c r="AC512" s="118">
        <f>(VLOOKUP($A512,Pitchers!$A1:$S251,11,FALSE)-AVERAGE(Rankings!AJ2:AJ651))/STDEV(Rankings!AJ2:AJ651)*-1</f>
        <v>-0.78745317654495484</v>
      </c>
      <c r="AD512" s="118">
        <f>(VLOOKUP($A512,Pitchers!$A1:$S251,12,FALSE)-AVERAGE(Rankings!AK2:AK651))/STDEV(Rankings!AK2:AK651)*-1</f>
        <v>-0.45604568985007315</v>
      </c>
      <c r="AE512" s="118">
        <f>IFERROR((VLOOKUP($A512,Pitchers!$A1:$S251,13,FALSE)-AVERAGE(Rankings!AL2:AL651))/STDEV(Rankings!AL2:AL651)*-1,0)</f>
        <v>-0.6212945898622575</v>
      </c>
      <c r="AF512" s="118">
        <f>(VLOOKUP($A512,Pitchers!$A1:$S251,14,FALSE)-AVERAGE(Rankings!AM2:AM651))/STDEV(Rankings!AM2:AM651)</f>
        <v>-0.94837136448862913</v>
      </c>
      <c r="AG512" s="118">
        <f>(VLOOKUP($A512,Pitchers!$A1:$S251,15,FALSE)-AVERAGE(Rankings!AN2:AN651))/STDEV(Rankings!AN2:AN651)</f>
        <v>0.71013913640655413</v>
      </c>
      <c r="AH512" s="118">
        <f>(VLOOKUP($A512,Pitchers!$A1:$S251,16,FALSE)-AVERAGE(Rankings!AO2:AO651))/STDEV(Rankings!AO2:AO651)*-1</f>
        <v>-0.78266189641437234</v>
      </c>
      <c r="AI512" s="118">
        <f>IFERROR((VLOOKUP($A512,Pitchers!$A1:$S251,17,FALSE)-AVERAGE(Rankings!AP2:AP651))/STDEV(Rankings!AP2:AP651),0)</f>
        <v>0.24575901872044997</v>
      </c>
      <c r="AJ512" s="118">
        <f>(VLOOKUP($A512,Pitchers!$A1:$S251,18,FALSE)-AVERAGE(Rankings!AQ2:AQ651))/STDEV(Rankings!AQ2:AQ651)</f>
        <v>-0.69471541349839372</v>
      </c>
      <c r="AK512" s="118">
        <f>IFERROR((VLOOKUP($A512,Pitchers!$A1:$S251,19,FALSE)-AVERAGE(Rankings!AR2:AR651))/STDEV(Rankings!AR2:AR651)*-1,0)</f>
        <v>0.47686441955275594</v>
      </c>
    </row>
    <row r="513" spans="1:37" ht="18.600000000000001" customHeight="1">
      <c r="A513" s="26" t="s">
        <v>458</v>
      </c>
      <c r="B513" s="27" t="s">
        <v>123</v>
      </c>
      <c r="C513" s="127" t="s">
        <v>31</v>
      </c>
      <c r="D513" s="67">
        <f>(V513*Settings!$G$2)+(Y513*Settings!$G$5)+(Z513*Settings!$G$6)+(AA513*Settings!$G$7)+(AB513*Settings!$G$8)+(AC513*Settings!$G$9)+(AD513*Settings!$G$10)+(AE513*Settings!$G$11)+(AF513*Settings!$G$12)+(AG513*Settings!$G$13)+(AH513*Settings!$G$14)+(AI513*Settings!$G$15)+(AJ513*Settings!$G$16)+(AK513*Settings!$G$17)+(W513*Settings!$G$3)+(X513*Settings!$G$4)</f>
        <v>-0.88962364866253985</v>
      </c>
      <c r="E513" s="67"/>
      <c r="F513" s="67"/>
      <c r="G513" s="67"/>
      <c r="H513" s="67"/>
      <c r="I513" s="67"/>
      <c r="J513" s="67"/>
      <c r="K513" s="72"/>
      <c r="L513" s="72"/>
      <c r="M513" s="67"/>
      <c r="N513" s="67"/>
      <c r="O513" s="67"/>
      <c r="P513" s="67"/>
      <c r="Q513" s="67"/>
      <c r="R513" s="72"/>
      <c r="S513" s="72"/>
      <c r="T513" s="67"/>
      <c r="U513" s="67"/>
      <c r="V513" s="118">
        <f>(VLOOKUP($A513,Pitchers!$A1:$S251,4,FALSE)-AVERAGE(Rankings!AC2:AC651))/STDEV(Rankings!AC2:AC651)</f>
        <v>5.2770176792402132E-2</v>
      </c>
      <c r="W513" s="118">
        <f>(VLOOKUP($A513,Pitchers!$A1:$S251,5,FALSE)-AVERAGE(Rankings!AD2:AD651))/STDEV(Rankings!AD2:AD651)*-1</f>
        <v>-0.2716910093150301</v>
      </c>
      <c r="X513" s="118">
        <f>(VLOOKUP($A513,Pitchers!$A1:$S251,6,FALSE)-AVERAGE(Rankings!AE2:AE651))/STDEV(Rankings!AE2:AE651)*-1</f>
        <v>-0.3979367633979865</v>
      </c>
      <c r="Y513" s="118">
        <f>(VLOOKUP($A513,Pitchers!$A1:$S251,7,FALSE)-AVERAGE(Rankings!AF2:AF651))/STDEV(Rankings!AF2:AF651)</f>
        <v>-6.9560256144756666E-2</v>
      </c>
      <c r="Z513" s="118">
        <f>(VLOOKUP($A513,Pitchers!$A1:$S251,8,FALSE)-AVERAGE(Rankings!AG2:AG651))/STDEV(Rankings!AG2:AG651)</f>
        <v>0.33227725519243356</v>
      </c>
      <c r="AA513" s="118">
        <f>(VLOOKUP($A513,Pitchers!$A1:$S251,9,FALSE)-AVERAGE(Rankings!AH2:AH651))/STDEV(Rankings!AH2:AH651)</f>
        <v>-0.48271287499720011</v>
      </c>
      <c r="AB513" s="118">
        <f>(VLOOKUP($A513,Pitchers!$A1:$S251,10,FALSE)-AVERAGE(Rankings!AI2:AI651))/STDEV(Rankings!AI2:AI651)*-1</f>
        <v>-9.8535831422625564E-2</v>
      </c>
      <c r="AC513" s="118">
        <f>(VLOOKUP($A513,Pitchers!$A1:$S251,11,FALSE)-AVERAGE(Rankings!AJ2:AJ651))/STDEV(Rankings!AJ2:AJ651)*-1</f>
        <v>-0.21416554652300443</v>
      </c>
      <c r="AD513" s="118">
        <f>(VLOOKUP($A513,Pitchers!$A1:$S251,12,FALSE)-AVERAGE(Rankings!AK2:AK651))/STDEV(Rankings!AK2:AK651)*-1</f>
        <v>0.19317144611033682</v>
      </c>
      <c r="AE513" s="118">
        <f>IFERROR((VLOOKUP($A513,Pitchers!$A1:$S251,13,FALSE)-AVERAGE(Rankings!AL2:AL651))/STDEV(Rankings!AL2:AL651)*-1,0)</f>
        <v>-0.25426117232801737</v>
      </c>
      <c r="AF513" s="118">
        <f>(VLOOKUP($A513,Pitchers!$A1:$S251,14,FALSE)-AVERAGE(Rankings!AM2:AM651))/STDEV(Rankings!AM2:AM651)</f>
        <v>-0.6954137892943103</v>
      </c>
      <c r="AG513" s="118">
        <f>(VLOOKUP($A513,Pitchers!$A1:$S251,15,FALSE)-AVERAGE(Rankings!AN2:AN651))/STDEV(Rankings!AN2:AN651)</f>
        <v>0.41401505250760001</v>
      </c>
      <c r="AH513" s="118">
        <f>(VLOOKUP($A513,Pitchers!$A1:$S251,16,FALSE)-AVERAGE(Rankings!AO2:AO651))/STDEV(Rankings!AO2:AO651)*-1</f>
        <v>-0.27559098488194589</v>
      </c>
      <c r="AI513" s="118">
        <f>IFERROR((VLOOKUP($A513,Pitchers!$A1:$S251,17,FALSE)-AVERAGE(Rankings!AP2:AP651))/STDEV(Rankings!AP2:AP651),0)</f>
        <v>0.10981831774808683</v>
      </c>
      <c r="AJ513" s="118">
        <f>(VLOOKUP($A513,Pitchers!$A1:$S251,18,FALSE)-AVERAGE(Rankings!AQ2:AQ651))/STDEV(Rankings!AQ2:AQ651)</f>
        <v>-0.61487903439508862</v>
      </c>
      <c r="AK513" s="118">
        <f>IFERROR((VLOOKUP($A513,Pitchers!$A1:$S251,19,FALSE)-AVERAGE(Rankings!AR2:AR651))/STDEV(Rankings!AR2:AR651)*-1,0)</f>
        <v>0.47686441955275594</v>
      </c>
    </row>
    <row r="514" spans="1:37" ht="18.600000000000001" customHeight="1">
      <c r="A514" s="26" t="s">
        <v>437</v>
      </c>
      <c r="B514" s="27" t="s">
        <v>114</v>
      </c>
      <c r="C514" s="127" t="s">
        <v>31</v>
      </c>
      <c r="D514" s="67">
        <f>(V514*Settings!$G$2)+(Y514*Settings!$G$5)+(Z514*Settings!$G$6)+(AA514*Settings!$G$7)+(AB514*Settings!$G$8)+(AC514*Settings!$G$9)+(AD514*Settings!$G$10)+(AE514*Settings!$G$11)+(AF514*Settings!$G$12)+(AG514*Settings!$G$13)+(AH514*Settings!$G$14)+(AI514*Settings!$G$15)+(AJ514*Settings!$G$16)+(AK514*Settings!$G$17)+(W514*Settings!$G$3)+(X514*Settings!$G$4)</f>
        <v>-3.4431361276699457</v>
      </c>
      <c r="E514" s="67"/>
      <c r="F514" s="67"/>
      <c r="G514" s="67"/>
      <c r="H514" s="67"/>
      <c r="I514" s="67"/>
      <c r="J514" s="67"/>
      <c r="K514" s="72"/>
      <c r="L514" s="72"/>
      <c r="M514" s="67"/>
      <c r="N514" s="67"/>
      <c r="O514" s="67"/>
      <c r="P514" s="67"/>
      <c r="Q514" s="67"/>
      <c r="R514" s="72"/>
      <c r="S514" s="72"/>
      <c r="T514" s="67"/>
      <c r="U514" s="67"/>
      <c r="V514" s="118">
        <f>(VLOOKUP($A514,Pitchers!$A1:$S251,4,FALSE)-AVERAGE(Rankings!AC2:AC651))/STDEV(Rankings!AC2:AC651)</f>
        <v>-4.5455906596250761E-2</v>
      </c>
      <c r="W514" s="118">
        <f>(VLOOKUP($A514,Pitchers!$A1:$S251,5,FALSE)-AVERAGE(Rankings!AD2:AD651))/STDEV(Rankings!AD2:AD651)*-1</f>
        <v>-1.6904257000721326</v>
      </c>
      <c r="X514" s="118">
        <f>(VLOOKUP($A514,Pitchers!$A1:$S251,6,FALSE)-AVERAGE(Rankings!AE2:AE651))/STDEV(Rankings!AE2:AE651)*-1</f>
        <v>-0.64735861465035416</v>
      </c>
      <c r="Y514" s="118">
        <f>(VLOOKUP($A514,Pitchers!$A1:$S251,7,FALSE)-AVERAGE(Rankings!AF2:AF651))/STDEV(Rankings!AF2:AF651)</f>
        <v>-0.38933317927970751</v>
      </c>
      <c r="Z514" s="118">
        <f>(VLOOKUP($A514,Pitchers!$A1:$S251,8,FALSE)-AVERAGE(Rankings!AG2:AG651))/STDEV(Rankings!AG2:AG651)</f>
        <v>-0.23330575867055117</v>
      </c>
      <c r="AA514" s="118">
        <f>(VLOOKUP($A514,Pitchers!$A1:$S251,9,FALSE)-AVERAGE(Rankings!AH2:AH651))/STDEV(Rankings!AH2:AH651)</f>
        <v>-0.48271287499720011</v>
      </c>
      <c r="AB514" s="118">
        <f>(VLOOKUP($A514,Pitchers!$A1:$S251,10,FALSE)-AVERAGE(Rankings!AI2:AI651))/STDEV(Rankings!AI2:AI651)*-1</f>
        <v>-0.36010889341231284</v>
      </c>
      <c r="AC514" s="118">
        <f>(VLOOKUP($A514,Pitchers!$A1:$S251,11,FALSE)-AVERAGE(Rankings!AJ2:AJ651))/STDEV(Rankings!AJ2:AJ651)*-1</f>
        <v>-0.10274605365183281</v>
      </c>
      <c r="AD514" s="118">
        <f>(VLOOKUP($A514,Pitchers!$A1:$S251,12,FALSE)-AVERAGE(Rankings!AK2:AK651))/STDEV(Rankings!AK2:AK651)*-1</f>
        <v>6.673068211344782E-2</v>
      </c>
      <c r="AE514" s="118">
        <f>IFERROR((VLOOKUP($A514,Pitchers!$A1:$S251,13,FALSE)-AVERAGE(Rankings!AL2:AL651))/STDEV(Rankings!AL2:AL651)*-1,0)</f>
        <v>-0.70339417010018002</v>
      </c>
      <c r="AF514" s="118">
        <f>(VLOOKUP($A514,Pitchers!$A1:$S251,14,FALSE)-AVERAGE(Rankings!AM2:AM651))/STDEV(Rankings!AM2:AM651)</f>
        <v>-1.1809251358302764</v>
      </c>
      <c r="AG514" s="118">
        <f>(VLOOKUP($A514,Pitchers!$A1:$S251,15,FALSE)-AVERAGE(Rankings!AN2:AN651))/STDEV(Rankings!AN2:AN651)</f>
        <v>0.42492929720183736</v>
      </c>
      <c r="AH514" s="118">
        <f>(VLOOKUP($A514,Pitchers!$A1:$S251,16,FALSE)-AVERAGE(Rankings!AO2:AO651))/STDEV(Rankings!AO2:AO651)*-1</f>
        <v>-0.4082036344588314</v>
      </c>
      <c r="AI514" s="118">
        <f>IFERROR((VLOOKUP($A514,Pitchers!$A1:$S251,17,FALSE)-AVERAGE(Rankings!AP2:AP651))/STDEV(Rankings!AP2:AP651),0)</f>
        <v>0.24575901872044997</v>
      </c>
      <c r="AJ514" s="118">
        <f>(VLOOKUP($A514,Pitchers!$A1:$S251,18,FALSE)-AVERAGE(Rankings!AQ2:AQ651))/STDEV(Rankings!AQ2:AQ651)</f>
        <v>-0.69471541349839372</v>
      </c>
      <c r="AK514" s="118">
        <f>IFERROR((VLOOKUP($A514,Pitchers!$A1:$S251,19,FALSE)-AVERAGE(Rankings!AR2:AR651))/STDEV(Rankings!AR2:AR651)*-1,0)</f>
        <v>0.47686441955275594</v>
      </c>
    </row>
    <row r="515" spans="1:37" ht="18.600000000000001" customHeight="1">
      <c r="A515" s="26" t="s">
        <v>572</v>
      </c>
      <c r="B515" s="27" t="s">
        <v>99</v>
      </c>
      <c r="C515" s="127" t="s">
        <v>31</v>
      </c>
      <c r="D515" s="67">
        <f>(V515*Settings!$G$2)+(Y515*Settings!$G$5)+(Z515*Settings!$G$6)+(AA515*Settings!$G$7)+(AB515*Settings!$G$8)+(AC515*Settings!$G$9)+(AD515*Settings!$G$10)+(AE515*Settings!$G$11)+(AF515*Settings!$G$12)+(AG515*Settings!$G$13)+(AH515*Settings!$G$14)+(AI515*Settings!$G$15)+(AJ515*Settings!$G$16)+(AK515*Settings!$G$17)+(W515*Settings!$G$3)+(X515*Settings!$G$4)</f>
        <v>-2.4253444735603122</v>
      </c>
      <c r="E515" s="67"/>
      <c r="F515" s="67"/>
      <c r="G515" s="67"/>
      <c r="H515" s="67"/>
      <c r="I515" s="67"/>
      <c r="J515" s="67"/>
      <c r="K515" s="72"/>
      <c r="L515" s="72"/>
      <c r="M515" s="67"/>
      <c r="N515" s="67"/>
      <c r="O515" s="67"/>
      <c r="P515" s="67"/>
      <c r="Q515" s="67"/>
      <c r="R515" s="72"/>
      <c r="S515" s="72"/>
      <c r="T515" s="67"/>
      <c r="U515" s="67"/>
      <c r="V515" s="118">
        <f>(VLOOKUP($A515,Pitchers!$A1:$S251,4,FALSE)-AVERAGE(Rankings!AC2:AC651))/STDEV(Rankings!AC2:AC651)</f>
        <v>0.42787561417327613</v>
      </c>
      <c r="W515" s="118">
        <f>(VLOOKUP($A515,Pitchers!$A1:$S251,5,FALSE)-AVERAGE(Rankings!AD2:AD651))/STDEV(Rankings!AD2:AD651)*-1</f>
        <v>-1.1258789247881555</v>
      </c>
      <c r="X515" s="118">
        <f>(VLOOKUP($A515,Pitchers!$A1:$S251,6,FALSE)-AVERAGE(Rankings!AE2:AE651))/STDEV(Rankings!AE2:AE651)*-1</f>
        <v>-1.2240377341386306</v>
      </c>
      <c r="Y515" s="118">
        <f>(VLOOKUP($A515,Pitchers!$A1:$S251,7,FALSE)-AVERAGE(Rankings!AF2:AF651))/STDEV(Rankings!AF2:AF651)</f>
        <v>0.24156380356864016</v>
      </c>
      <c r="Z515" s="118">
        <f>(VLOOKUP($A515,Pitchers!$A1:$S251,8,FALSE)-AVERAGE(Rankings!AG2:AG651))/STDEV(Rankings!AG2:AG651)</f>
        <v>0.16572125679503377</v>
      </c>
      <c r="AA515" s="118">
        <f>(VLOOKUP($A515,Pitchers!$A1:$S251,9,FALSE)-AVERAGE(Rankings!AH2:AH651))/STDEV(Rankings!AH2:AH651)</f>
        <v>-0.48271287499720011</v>
      </c>
      <c r="AB515" s="118">
        <f>(VLOOKUP($A515,Pitchers!$A1:$S251,10,FALSE)-AVERAGE(Rankings!AI2:AI651))/STDEV(Rankings!AI2:AI651)*-1</f>
        <v>-0.71870208521303125</v>
      </c>
      <c r="AC515" s="118">
        <f>(VLOOKUP($A515,Pitchers!$A1:$S251,11,FALSE)-AVERAGE(Rankings!AJ2:AJ651))/STDEV(Rankings!AJ2:AJ651)*-1</f>
        <v>-0.56541661883854066</v>
      </c>
      <c r="AD515" s="118">
        <f>(VLOOKUP($A515,Pitchers!$A1:$S251,12,FALSE)-AVERAGE(Rankings!AK2:AK651))/STDEV(Rankings!AK2:AK651)*-1</f>
        <v>-0.97567872398893518</v>
      </c>
      <c r="AE515" s="118">
        <f>IFERROR((VLOOKUP($A515,Pitchers!$A1:$S251,13,FALSE)-AVERAGE(Rankings!AL2:AL651))/STDEV(Rankings!AL2:AL651)*-1,0)</f>
        <v>-0.59714765449816309</v>
      </c>
      <c r="AF515" s="118">
        <f>(VLOOKUP($A515,Pitchers!$A1:$S251,14,FALSE)-AVERAGE(Rankings!AM2:AM651))/STDEV(Rankings!AM2:AM651)</f>
        <v>-0.91362113605204776</v>
      </c>
      <c r="AG515" s="118">
        <f>(VLOOKUP($A515,Pitchers!$A1:$S251,15,FALSE)-AVERAGE(Rankings!AN2:AN651))/STDEV(Rankings!AN2:AN651)</f>
        <v>0.74917689744873639</v>
      </c>
      <c r="AH515" s="118">
        <f>(VLOOKUP($A515,Pitchers!$A1:$S251,16,FALSE)-AVERAGE(Rankings!AO2:AO651))/STDEV(Rankings!AO2:AO651)*-1</f>
        <v>-0.83900310880686446</v>
      </c>
      <c r="AI515" s="118">
        <f>IFERROR((VLOOKUP($A515,Pitchers!$A1:$S251,17,FALSE)-AVERAGE(Rankings!AP2:AP651))/STDEV(Rankings!AP2:AP651),0)</f>
        <v>0.51764042066517624</v>
      </c>
      <c r="AJ515" s="118">
        <f>(VLOOKUP($A515,Pitchers!$A1:$S251,18,FALSE)-AVERAGE(Rankings!AQ2:AQ651))/STDEV(Rankings!AQ2:AQ651)</f>
        <v>-0.69471541349839372</v>
      </c>
      <c r="AK515" s="118">
        <f>IFERROR((VLOOKUP($A515,Pitchers!$A1:$S251,19,FALSE)-AVERAGE(Rankings!AR2:AR651))/STDEV(Rankings!AR2:AR651)*-1,0)</f>
        <v>0.47686441955275594</v>
      </c>
    </row>
    <row r="516" spans="1:37" ht="18.600000000000001" customHeight="1">
      <c r="A516" s="26" t="s">
        <v>484</v>
      </c>
      <c r="B516" s="27" t="s">
        <v>103</v>
      </c>
      <c r="C516" s="127" t="s">
        <v>31</v>
      </c>
      <c r="D516" s="67">
        <f>(V516*Settings!$G$2)+(Y516*Settings!$G$5)+(Z516*Settings!$G$6)+(AA516*Settings!$G$7)+(AB516*Settings!$G$8)+(AC516*Settings!$G$9)+(AD516*Settings!$G$10)+(AE516*Settings!$G$11)+(AF516*Settings!$G$12)+(AG516*Settings!$G$13)+(AH516*Settings!$G$14)+(AI516*Settings!$G$15)+(AJ516*Settings!$G$16)+(AK516*Settings!$G$17)+(W516*Settings!$G$3)+(X516*Settings!$G$4)</f>
        <v>-2.4425590478345347</v>
      </c>
      <c r="E516" s="67"/>
      <c r="F516" s="67"/>
      <c r="G516" s="67"/>
      <c r="H516" s="67"/>
      <c r="I516" s="67"/>
      <c r="J516" s="67"/>
      <c r="K516" s="72"/>
      <c r="L516" s="72"/>
      <c r="M516" s="67"/>
      <c r="N516" s="67"/>
      <c r="O516" s="67"/>
      <c r="P516" s="67"/>
      <c r="Q516" s="67"/>
      <c r="R516" s="72"/>
      <c r="S516" s="72"/>
      <c r="T516" s="67"/>
      <c r="U516" s="67"/>
      <c r="V516" s="118">
        <f>(VLOOKUP($A516,Pitchers!$A1:$S251,4,FALSE)-AVERAGE(Rankings!AC2:AC651))/STDEV(Rankings!AC2:AC651)</f>
        <v>-0.21821057261199758</v>
      </c>
      <c r="W516" s="118">
        <f>(VLOOKUP($A516,Pitchers!$A1:$S251,5,FALSE)-AVERAGE(Rankings!AD2:AD651))/STDEV(Rankings!AD2:AD651)*-1</f>
        <v>-0.37671344436868764</v>
      </c>
      <c r="X516" s="118">
        <f>(VLOOKUP($A516,Pitchers!$A1:$S251,6,FALSE)-AVERAGE(Rankings!AE2:AE651))/STDEV(Rankings!AE2:AE651)*-1</f>
        <v>-1.1419687707554855</v>
      </c>
      <c r="Y516" s="118">
        <f>(VLOOKUP($A516,Pitchers!$A1:$S251,7,FALSE)-AVERAGE(Rankings!AF2:AF651))/STDEV(Rankings!AF2:AF651)</f>
        <v>-0.32119987748871681</v>
      </c>
      <c r="Z516" s="118">
        <f>(VLOOKUP($A516,Pitchers!$A1:$S251,8,FALSE)-AVERAGE(Rankings!AG2:AG651))/STDEV(Rankings!AG2:AG651)</f>
        <v>-0.11996408022444424</v>
      </c>
      <c r="AA516" s="118">
        <f>(VLOOKUP($A516,Pitchers!$A1:$S251,9,FALSE)-AVERAGE(Rankings!AH2:AH651))/STDEV(Rankings!AH2:AH651)</f>
        <v>-0.48271287499720011</v>
      </c>
      <c r="AB516" s="118">
        <f>(VLOOKUP($A516,Pitchers!$A1:$S251,10,FALSE)-AVERAGE(Rankings!AI2:AI651))/STDEV(Rankings!AI2:AI651)*-1</f>
        <v>0.13828601467951271</v>
      </c>
      <c r="AC516" s="118">
        <f>(VLOOKUP($A516,Pitchers!$A1:$S251,11,FALSE)-AVERAGE(Rankings!AJ2:AJ651))/STDEV(Rankings!AJ2:AJ651)*-1</f>
        <v>6.9539965826996786E-2</v>
      </c>
      <c r="AD516" s="118">
        <f>(VLOOKUP($A516,Pitchers!$A1:$S251,12,FALSE)-AVERAGE(Rankings!AK2:AK651))/STDEV(Rankings!AK2:AK651)*-1</f>
        <v>-7.6919856473447012E-2</v>
      </c>
      <c r="AE516" s="118">
        <f>IFERROR((VLOOKUP($A516,Pitchers!$A1:$S251,13,FALSE)-AVERAGE(Rankings!AL2:AL651))/STDEV(Rankings!AL2:AL651)*-1,0)</f>
        <v>0.67781053272603942</v>
      </c>
      <c r="AF516" s="118">
        <f>(VLOOKUP($A516,Pitchers!$A1:$S251,14,FALSE)-AVERAGE(Rankings!AM2:AM651))/STDEV(Rankings!AM2:AM651)</f>
        <v>-1.0706879177929258</v>
      </c>
      <c r="AG516" s="118">
        <f>(VLOOKUP($A516,Pitchers!$A1:$S251,15,FALSE)-AVERAGE(Rankings!AN2:AN651))/STDEV(Rankings!AN2:AN651)</f>
        <v>0.27204393254791887</v>
      </c>
      <c r="AH516" s="118">
        <f>(VLOOKUP($A516,Pitchers!$A1:$S251,16,FALSE)-AVERAGE(Rankings!AO2:AO651))/STDEV(Rankings!AO2:AO651)*-1</f>
        <v>-0.19395371794588606</v>
      </c>
      <c r="AI516" s="118">
        <f>IFERROR((VLOOKUP($A516,Pitchers!$A1:$S251,17,FALSE)-AVERAGE(Rankings!AP2:AP651))/STDEV(Rankings!AP2:AP651),0)</f>
        <v>0.10981831774808683</v>
      </c>
      <c r="AJ516" s="118">
        <f>(VLOOKUP($A516,Pitchers!$A1:$S251,18,FALSE)-AVERAGE(Rankings!AQ2:AQ651))/STDEV(Rankings!AQ2:AQ651)</f>
        <v>-0.69471541349839372</v>
      </c>
      <c r="AK516" s="118">
        <f>IFERROR((VLOOKUP($A516,Pitchers!$A1:$S251,19,FALSE)-AVERAGE(Rankings!AR2:AR651))/STDEV(Rankings!AR2:AR651)*-1,0)</f>
        <v>0.47686441955275594</v>
      </c>
    </row>
    <row r="517" spans="1:37" ht="18.600000000000001" customHeight="1">
      <c r="A517" s="26" t="s">
        <v>427</v>
      </c>
      <c r="B517" s="27" t="s">
        <v>156</v>
      </c>
      <c r="C517" s="127" t="s">
        <v>31</v>
      </c>
      <c r="D517" s="67">
        <f>(V517*Settings!$G$2)+(Y517*Settings!$G$5)+(Z517*Settings!$G$6)+(AA517*Settings!$G$7)+(AB517*Settings!$G$8)+(AC517*Settings!$G$9)+(AD517*Settings!$G$10)+(AE517*Settings!$G$11)+(AF517*Settings!$G$12)+(AG517*Settings!$G$13)+(AH517*Settings!$G$14)+(AI517*Settings!$G$15)+(AJ517*Settings!$G$16)+(AK517*Settings!$G$17)+(W517*Settings!$G$3)+(X517*Settings!$G$4)</f>
        <v>-0.81050116728825305</v>
      </c>
      <c r="E517" s="67"/>
      <c r="F517" s="67"/>
      <c r="G517" s="67"/>
      <c r="H517" s="67"/>
      <c r="I517" s="67"/>
      <c r="J517" s="67"/>
      <c r="K517" s="72"/>
      <c r="L517" s="72"/>
      <c r="M517" s="67"/>
      <c r="N517" s="67"/>
      <c r="O517" s="67"/>
      <c r="P517" s="67"/>
      <c r="Q517" s="67"/>
      <c r="R517" s="72"/>
      <c r="S517" s="72"/>
      <c r="T517" s="67"/>
      <c r="U517" s="67"/>
      <c r="V517" s="118">
        <f>(VLOOKUP($A517,Pitchers!$A1:$S251,4,FALSE)-AVERAGE(Rankings!AC2:AC651))/STDEV(Rankings!AC2:AC651)</f>
        <v>0.18030602550189895</v>
      </c>
      <c r="W517" s="118">
        <f>(VLOOKUP($A517,Pitchers!$A1:$S251,5,FALSE)-AVERAGE(Rankings!AD2:AD651))/STDEV(Rankings!AD2:AD651)*-1</f>
        <v>-0.66498457018607349</v>
      </c>
      <c r="X517" s="118">
        <f>(VLOOKUP($A517,Pitchers!$A1:$S251,6,FALSE)-AVERAGE(Rankings!AE2:AE651))/STDEV(Rankings!AE2:AE651)*-1</f>
        <v>-6.3526989792943467E-2</v>
      </c>
      <c r="Y517" s="118">
        <f>(VLOOKUP($A517,Pitchers!$A1:$S251,7,FALSE)-AVERAGE(Rankings!AF2:AF651))/STDEV(Rankings!AF2:AF651)</f>
        <v>8.6612834714551779E-2</v>
      </c>
      <c r="Z517" s="118">
        <f>(VLOOKUP($A517,Pitchers!$A1:$S251,8,FALSE)-AVERAGE(Rankings!AG2:AG651))/STDEV(Rankings!AG2:AG651)</f>
        <v>0.31411043297341218</v>
      </c>
      <c r="AA517" s="118">
        <f>(VLOOKUP($A517,Pitchers!$A1:$S251,9,FALSE)-AVERAGE(Rankings!AH2:AH651))/STDEV(Rankings!AH2:AH651)</f>
        <v>-0.48271287499720011</v>
      </c>
      <c r="AB517" s="118">
        <f>(VLOOKUP($A517,Pitchers!$A1:$S251,10,FALSE)-AVERAGE(Rankings!AI2:AI651))/STDEV(Rankings!AI2:AI651)*-1</f>
        <v>-0.32991694482073092</v>
      </c>
      <c r="AC517" s="118">
        <f>(VLOOKUP($A517,Pitchers!$A1:$S251,11,FALSE)-AVERAGE(Rankings!AJ2:AJ651))/STDEV(Rankings!AJ2:AJ651)*-1</f>
        <v>-0.24478761642352229</v>
      </c>
      <c r="AD517" s="118">
        <f>(VLOOKUP($A517,Pitchers!$A1:$S251,12,FALSE)-AVERAGE(Rankings!AK2:AK651))/STDEV(Rankings!AK2:AK651)*-1</f>
        <v>8.8539744169226428E-3</v>
      </c>
      <c r="AE517" s="118">
        <f>IFERROR((VLOOKUP($A517,Pitchers!$A1:$S251,13,FALSE)-AVERAGE(Rankings!AL2:AL651))/STDEV(Rankings!AL2:AL651)*-1,0)</f>
        <v>-0.50055991304178393</v>
      </c>
      <c r="AF517" s="118">
        <f>(VLOOKUP($A517,Pitchers!$A1:$S251,14,FALSE)-AVERAGE(Rankings!AM2:AM651))/STDEV(Rankings!AM2:AM651)</f>
        <v>-0.76144276565087232</v>
      </c>
      <c r="AG517" s="118">
        <f>(VLOOKUP($A517,Pitchers!$A1:$S251,15,FALSE)-AVERAGE(Rankings!AN2:AN651))/STDEV(Rankings!AN2:AN651)</f>
        <v>0.47159413868979516</v>
      </c>
      <c r="AH517" s="118">
        <f>(VLOOKUP($A517,Pitchers!$A1:$S251,16,FALSE)-AVERAGE(Rankings!AO2:AO651))/STDEV(Rankings!AO2:AO651)*-1</f>
        <v>-0.11749064398464738</v>
      </c>
      <c r="AI517" s="118">
        <f>IFERROR((VLOOKUP($A517,Pitchers!$A1:$S251,17,FALSE)-AVERAGE(Rankings!AP2:AP651))/STDEV(Rankings!AP2:AP651),0)</f>
        <v>0.38169971969281308</v>
      </c>
      <c r="AJ517" s="118">
        <f>(VLOOKUP($A517,Pitchers!$A1:$S251,18,FALSE)-AVERAGE(Rankings!AQ2:AQ651))/STDEV(Rankings!AQ2:AQ651)</f>
        <v>-0.37536989708517349</v>
      </c>
      <c r="AK517" s="118">
        <f>IFERROR((VLOOKUP($A517,Pitchers!$A1:$S251,19,FALSE)-AVERAGE(Rankings!AR2:AR651))/STDEV(Rankings!AR2:AR651)*-1,0)</f>
        <v>0.47686441955275594</v>
      </c>
    </row>
    <row r="518" spans="1:37" ht="18.600000000000001" customHeight="1">
      <c r="A518" s="26" t="s">
        <v>549</v>
      </c>
      <c r="B518" s="27" t="s">
        <v>223</v>
      </c>
      <c r="C518" s="127" t="s">
        <v>31</v>
      </c>
      <c r="D518" s="67">
        <f>(V518*Settings!$G$2)+(Y518*Settings!$G$5)+(Z518*Settings!$G$6)+(AA518*Settings!$G$7)+(AB518*Settings!$G$8)+(AC518*Settings!$G$9)+(AD518*Settings!$G$10)+(AE518*Settings!$G$11)+(AF518*Settings!$G$12)+(AG518*Settings!$G$13)+(AH518*Settings!$G$14)+(AI518*Settings!$G$15)+(AJ518*Settings!$G$16)+(AK518*Settings!$G$17)+(W518*Settings!$G$3)+(X518*Settings!$G$4)</f>
        <v>-0.61450216229058452</v>
      </c>
      <c r="E518" s="67"/>
      <c r="F518" s="67"/>
      <c r="G518" s="67"/>
      <c r="H518" s="67"/>
      <c r="I518" s="67"/>
      <c r="J518" s="67"/>
      <c r="K518" s="72"/>
      <c r="L518" s="72"/>
      <c r="M518" s="67"/>
      <c r="N518" s="67"/>
      <c r="O518" s="67"/>
      <c r="P518" s="67"/>
      <c r="Q518" s="67"/>
      <c r="R518" s="72"/>
      <c r="S518" s="72"/>
      <c r="T518" s="67"/>
      <c r="U518" s="67"/>
      <c r="V518" s="118">
        <f>(VLOOKUP($A518,Pitchers!$A1:$S251,4,FALSE)-AVERAGE(Rankings!AC2:AC651))/STDEV(Rankings!AC2:AC651)</f>
        <v>1.0318010951570549</v>
      </c>
      <c r="W518" s="118">
        <f>(VLOOKUP($A518,Pitchers!$A1:$S251,5,FALSE)-AVERAGE(Rankings!AD2:AD651))/STDEV(Rankings!AD2:AD651)*-1</f>
        <v>-1.0307320085522915</v>
      </c>
      <c r="X518" s="118">
        <f>(VLOOKUP($A518,Pitchers!$A1:$S251,6,FALSE)-AVERAGE(Rankings!AE2:AE651))/STDEV(Rankings!AE2:AE651)*-1</f>
        <v>-0.98221252834689177</v>
      </c>
      <c r="Y518" s="118">
        <f>(VLOOKUP($A518,Pitchers!$A1:$S251,7,FALSE)-AVERAGE(Rankings!AF2:AF651))/STDEV(Rankings!AF2:AF651)</f>
        <v>1.1954770333350218</v>
      </c>
      <c r="Z518" s="118">
        <f>(VLOOKUP($A518,Pitchers!$A1:$S251,8,FALSE)-AVERAGE(Rankings!AG2:AG651))/STDEV(Rankings!AG2:AG651)</f>
        <v>0.68567821627077696</v>
      </c>
      <c r="AA518" s="118">
        <f>(VLOOKUP($A518,Pitchers!$A1:$S251,9,FALSE)-AVERAGE(Rankings!AH2:AH651))/STDEV(Rankings!AH2:AH651)</f>
        <v>-0.48271287499720011</v>
      </c>
      <c r="AB518" s="118">
        <f>(VLOOKUP($A518,Pitchers!$A1:$S251,10,FALSE)-AVERAGE(Rankings!AI2:AI651))/STDEV(Rankings!AI2:AI651)*-1</f>
        <v>-1.322041823301878</v>
      </c>
      <c r="AC518" s="118">
        <f>(VLOOKUP($A518,Pitchers!$A1:$S251,11,FALSE)-AVERAGE(Rankings!AJ2:AJ651))/STDEV(Rankings!AJ2:AJ651)*-1</f>
        <v>-1.1772207945850737</v>
      </c>
      <c r="AD518" s="118">
        <f>(VLOOKUP($A518,Pitchers!$A1:$S251,12,FALSE)-AVERAGE(Rankings!AK2:AK651))/STDEV(Rankings!AK2:AK651)*-1</f>
        <v>-1.4479023653873846</v>
      </c>
      <c r="AE518" s="118">
        <f>IFERROR((VLOOKUP($A518,Pitchers!$A1:$S251,13,FALSE)-AVERAGE(Rankings!AL2:AL651))/STDEV(Rankings!AL2:AL651)*-1,0)</f>
        <v>-0.62612397693507615</v>
      </c>
      <c r="AF518" s="118">
        <f>(VLOOKUP($A518,Pitchers!$A1:$S251,14,FALSE)-AVERAGE(Rankings!AM2:AM651))/STDEV(Rankings!AM2:AM651)</f>
        <v>-0.37198515961300377</v>
      </c>
      <c r="AG518" s="118">
        <f>(VLOOKUP($A518,Pitchers!$A1:$S251,15,FALSE)-AVERAGE(Rankings!AN2:AN651))/STDEV(Rankings!AN2:AN651)</f>
        <v>1.2508196464975569</v>
      </c>
      <c r="AH518" s="118">
        <f>(VLOOKUP($A518,Pitchers!$A1:$S251,16,FALSE)-AVERAGE(Rankings!AO2:AO651))/STDEV(Rankings!AO2:AO651)*-1</f>
        <v>-1.5200035590040042</v>
      </c>
      <c r="AI518" s="118">
        <f>IFERROR((VLOOKUP($A518,Pitchers!$A1:$S251,17,FALSE)-AVERAGE(Rankings!AP2:AP651))/STDEV(Rankings!AP2:AP651),0)</f>
        <v>1.1701557853325188</v>
      </c>
      <c r="AJ518" s="118">
        <f>(VLOOKUP($A518,Pitchers!$A1:$S251,18,FALSE)-AVERAGE(Rankings!AQ2:AQ651))/STDEV(Rankings!AQ2:AQ651)</f>
        <v>-0.69471541349839372</v>
      </c>
      <c r="AK518" s="118">
        <f>IFERROR((VLOOKUP($A518,Pitchers!$A1:$S251,19,FALSE)-AVERAGE(Rankings!AR2:AR651))/STDEV(Rankings!AR2:AR651)*-1,0)</f>
        <v>0.47686441955275594</v>
      </c>
    </row>
    <row r="519" spans="1:37" ht="18.600000000000001" customHeight="1">
      <c r="A519" s="26" t="s">
        <v>441</v>
      </c>
      <c r="B519" s="27" t="s">
        <v>68</v>
      </c>
      <c r="C519" s="127" t="s">
        <v>31</v>
      </c>
      <c r="D519" s="67">
        <f>(V519*Settings!$G$2)+(Y519*Settings!$G$5)+(Z519*Settings!$G$6)+(AA519*Settings!$G$7)+(AB519*Settings!$G$8)+(AC519*Settings!$G$9)+(AD519*Settings!$G$10)+(AE519*Settings!$G$11)+(AF519*Settings!$G$12)+(AG519*Settings!$G$13)+(AH519*Settings!$G$14)+(AI519*Settings!$G$15)+(AJ519*Settings!$G$16)+(AK519*Settings!$G$17)+(W519*Settings!$G$3)+(X519*Settings!$G$4)</f>
        <v>-0.41412434909752632</v>
      </c>
      <c r="E519" s="67"/>
      <c r="F519" s="67"/>
      <c r="G519" s="67"/>
      <c r="H519" s="67"/>
      <c r="I519" s="67"/>
      <c r="J519" s="67"/>
      <c r="K519" s="72"/>
      <c r="L519" s="72"/>
      <c r="M519" s="67"/>
      <c r="N519" s="67"/>
      <c r="O519" s="67"/>
      <c r="P519" s="67"/>
      <c r="Q519" s="67"/>
      <c r="R519" s="72"/>
      <c r="S519" s="72"/>
      <c r="T519" s="67"/>
      <c r="U519" s="67"/>
      <c r="V519" s="118">
        <f>(VLOOKUP($A519,Pitchers!$A1:$S251,4,FALSE)-AVERAGE(Rankings!AC2:AC651))/STDEV(Rankings!AC2:AC651)</f>
        <v>0.3938584187833164</v>
      </c>
      <c r="W519" s="118">
        <f>(VLOOKUP($A519,Pitchers!$A1:$S251,5,FALSE)-AVERAGE(Rankings!AD2:AD651))/STDEV(Rankings!AD2:AD651)*-1</f>
        <v>-0.64218076793919532</v>
      </c>
      <c r="X519" s="118">
        <f>(VLOOKUP($A519,Pitchers!$A1:$S251,6,FALSE)-AVERAGE(Rankings!AE2:AE651))/STDEV(Rankings!AE2:AE651)*-1</f>
        <v>0.47839586754544922</v>
      </c>
      <c r="Y519" s="118">
        <f>(VLOOKUP($A519,Pitchers!$A1:$S251,7,FALSE)-AVERAGE(Rankings!AF2:AF651))/STDEV(Rankings!AF2:AF651)</f>
        <v>1.2915352447873667E-2</v>
      </c>
      <c r="Z519" s="118">
        <f>(VLOOKUP($A519,Pitchers!$A1:$S251,8,FALSE)-AVERAGE(Rankings!AG2:AG651))/STDEV(Rankings!AG2:AG651)</f>
        <v>0.21945807384554622</v>
      </c>
      <c r="AA519" s="118">
        <f>(VLOOKUP($A519,Pitchers!$A1:$S251,9,FALSE)-AVERAGE(Rankings!AH2:AH651))/STDEV(Rankings!AH2:AH651)</f>
        <v>-0.48271287499720011</v>
      </c>
      <c r="AB519" s="118">
        <f>(VLOOKUP($A519,Pitchers!$A1:$S251,10,FALSE)-AVERAGE(Rankings!AI2:AI651))/STDEV(Rankings!AI2:AI651)*-1</f>
        <v>-0.53811266710501404</v>
      </c>
      <c r="AC519" s="118">
        <f>(VLOOKUP($A519,Pitchers!$A1:$S251,11,FALSE)-AVERAGE(Rankings!AJ2:AJ651))/STDEV(Rankings!AJ2:AJ651)*-1</f>
        <v>-0.41397012746927375</v>
      </c>
      <c r="AD519" s="118">
        <f>(VLOOKUP($A519,Pitchers!$A1:$S251,12,FALSE)-AVERAGE(Rankings!AK2:AK651))/STDEV(Rankings!AK2:AK651)*-1</f>
        <v>0.13712180352439424</v>
      </c>
      <c r="AE519" s="118">
        <f>IFERROR((VLOOKUP($A519,Pitchers!$A1:$S251,13,FALSE)-AVERAGE(Rankings!AL2:AL651))/STDEV(Rankings!AL2:AL651)*-1,0)</f>
        <v>-0.88691087886729991</v>
      </c>
      <c r="AF519" s="118">
        <f>(VLOOKUP($A519,Pitchers!$A1:$S251,14,FALSE)-AVERAGE(Rankings!AM2:AM651))/STDEV(Rankings!AM2:AM651)</f>
        <v>-0.40570457087577849</v>
      </c>
      <c r="AG519" s="118">
        <f>(VLOOKUP($A519,Pitchers!$A1:$S251,15,FALSE)-AVERAGE(Rankings!AN2:AN651))/STDEV(Rankings!AN2:AN651)</f>
        <v>0.54861690882530656</v>
      </c>
      <c r="AH519" s="118">
        <f>(VLOOKUP($A519,Pitchers!$A1:$S251,16,FALSE)-AVERAGE(Rankings!AO2:AO651))/STDEV(Rankings!AO2:AO651)*-1</f>
        <v>-0.45170518280269423</v>
      </c>
      <c r="AI519" s="118">
        <f>IFERROR((VLOOKUP($A519,Pitchers!$A1:$S251,17,FALSE)-AVERAGE(Rankings!AP2:AP651))/STDEV(Rankings!AP2:AP651),0)</f>
        <v>1.0274180493115379</v>
      </c>
      <c r="AJ519" s="118">
        <f>(VLOOKUP($A519,Pitchers!$A1:$S251,18,FALSE)-AVERAGE(Rankings!AQ2:AQ651))/STDEV(Rankings!AQ2:AQ651)</f>
        <v>-0.1358607597752583</v>
      </c>
      <c r="AK519" s="118">
        <f>IFERROR((VLOOKUP($A519,Pitchers!$A1:$S251,19,FALSE)-AVERAGE(Rankings!AR2:AR651))/STDEV(Rankings!AR2:AR651)*-1,0)</f>
        <v>0.47686441955275594</v>
      </c>
    </row>
    <row r="520" spans="1:37" ht="18.600000000000001" customHeight="1">
      <c r="A520" s="26" t="s">
        <v>538</v>
      </c>
      <c r="B520" s="27" t="s">
        <v>114</v>
      </c>
      <c r="C520" s="127" t="s">
        <v>31</v>
      </c>
      <c r="D520" s="67">
        <f>(V520*Settings!$G$2)+(Y520*Settings!$G$5)+(Z520*Settings!$G$6)+(AA520*Settings!$G$7)+(AB520*Settings!$G$8)+(AC520*Settings!$G$9)+(AD520*Settings!$G$10)+(AE520*Settings!$G$11)+(AF520*Settings!$G$12)+(AG520*Settings!$G$13)+(AH520*Settings!$G$14)+(AI520*Settings!$G$15)+(AJ520*Settings!$G$16)+(AK520*Settings!$G$17)+(W520*Settings!$G$3)+(X520*Settings!$G$4)</f>
        <v>-1.7187716458497151</v>
      </c>
      <c r="E520" s="67"/>
      <c r="F520" s="67"/>
      <c r="G520" s="67"/>
      <c r="H520" s="67"/>
      <c r="I520" s="67"/>
      <c r="J520" s="67"/>
      <c r="K520" s="72"/>
      <c r="L520" s="72"/>
      <c r="M520" s="67"/>
      <c r="N520" s="67"/>
      <c r="O520" s="67"/>
      <c r="P520" s="67"/>
      <c r="Q520" s="67"/>
      <c r="R520" s="72"/>
      <c r="S520" s="72"/>
      <c r="T520" s="67"/>
      <c r="U520" s="67"/>
      <c r="V520" s="118">
        <f>(VLOOKUP($A520,Pitchers!$A1:$S251,4,FALSE)-AVERAGE(Rankings!AC2:AC651))/STDEV(Rankings!AC2:AC651)</f>
        <v>0.45192817657021811</v>
      </c>
      <c r="W520" s="118">
        <f>(VLOOKUP($A520,Pitchers!$A1:$S251,5,FALSE)-AVERAGE(Rankings!AD2:AD651))/STDEV(Rankings!AD2:AD651)*-1</f>
        <v>-1.0006141342334578</v>
      </c>
      <c r="X520" s="118">
        <f>(VLOOKUP($A520,Pitchers!$A1:$S251,6,FALSE)-AVERAGE(Rankings!AE2:AE651))/STDEV(Rankings!AE2:AE651)*-1</f>
        <v>-0.68295182656430065</v>
      </c>
      <c r="Y520" s="118">
        <f>(VLOOKUP($A520,Pitchers!$A1:$S251,7,FALSE)-AVERAGE(Rankings!AF2:AF651))/STDEV(Rankings!AF2:AF651)</f>
        <v>0.41425904384466677</v>
      </c>
      <c r="Z520" s="118">
        <f>(VLOOKUP($A520,Pitchers!$A1:$S251,8,FALSE)-AVERAGE(Rankings!AG2:AG651))/STDEV(Rankings!AG2:AG651)</f>
        <v>3.3248146100576713E-2</v>
      </c>
      <c r="AA520" s="118">
        <f>(VLOOKUP($A520,Pitchers!$A1:$S251,9,FALSE)-AVERAGE(Rankings!AH2:AH651))/STDEV(Rankings!AH2:AH651)</f>
        <v>-0.48271287499720011</v>
      </c>
      <c r="AB520" s="118">
        <f>(VLOOKUP($A520,Pitchers!$A1:$S251,10,FALSE)-AVERAGE(Rankings!AI2:AI651))/STDEV(Rankings!AI2:AI651)*-1</f>
        <v>-0.70587960714714471</v>
      </c>
      <c r="AC520" s="118">
        <f>(VLOOKUP($A520,Pitchers!$A1:$S251,11,FALSE)-AVERAGE(Rankings!AJ2:AJ651))/STDEV(Rankings!AJ2:AJ651)*-1</f>
        <v>-0.33608740633500866</v>
      </c>
      <c r="AD520" s="118">
        <f>(VLOOKUP($A520,Pitchers!$A1:$S251,12,FALSE)-AVERAGE(Rankings!AK2:AK651))/STDEV(Rankings!AK2:AK651)*-1</f>
        <v>-1.3751183780574168</v>
      </c>
      <c r="AE520" s="118">
        <f>IFERROR((VLOOKUP($A520,Pitchers!$A1:$S251,13,FALSE)-AVERAGE(Rankings!AL2:AL651))/STDEV(Rankings!AL2:AL651)*-1,0)</f>
        <v>-0.95935168495958423</v>
      </c>
      <c r="AF520" s="118">
        <f>(VLOOKUP($A520,Pitchers!$A1:$S251,14,FALSE)-AVERAGE(Rankings!AM2:AM651))/STDEV(Rankings!AM2:AM651)</f>
        <v>-0.58425556622194308</v>
      </c>
      <c r="AG520" s="118">
        <f>(VLOOKUP($A520,Pitchers!$A1:$S251,15,FALSE)-AVERAGE(Rankings!AN2:AN651))/STDEV(Rankings!AN2:AN651)</f>
        <v>0.74479401178412163</v>
      </c>
      <c r="AH520" s="118">
        <f>(VLOOKUP($A520,Pitchers!$A1:$S251,16,FALSE)-AVERAGE(Rankings!AO2:AO651))/STDEV(Rankings!AO2:AO651)*-1</f>
        <v>-0.92868912037042284</v>
      </c>
      <c r="AI520" s="118">
        <f>IFERROR((VLOOKUP($A520,Pitchers!$A1:$S251,17,FALSE)-AVERAGE(Rankings!AP2:AP651))/STDEV(Rankings!AP2:AP651),0)</f>
        <v>0.10981831774808683</v>
      </c>
      <c r="AJ520" s="118">
        <f>(VLOOKUP($A520,Pitchers!$A1:$S251,18,FALSE)-AVERAGE(Rankings!AQ2:AQ651))/STDEV(Rankings!AQ2:AQ651)</f>
        <v>-0.29553351798186839</v>
      </c>
      <c r="AK520" s="118">
        <f>IFERROR((VLOOKUP($A520,Pitchers!$A1:$S251,19,FALSE)-AVERAGE(Rankings!AR2:AR651))/STDEV(Rankings!AR2:AR651)*-1,0)</f>
        <v>0.47686441955275594</v>
      </c>
    </row>
    <row r="521" spans="1:37" ht="18.600000000000001" customHeight="1">
      <c r="A521" s="26" t="s">
        <v>562</v>
      </c>
      <c r="B521" s="27" t="s">
        <v>94</v>
      </c>
      <c r="C521" s="127" t="s">
        <v>31</v>
      </c>
      <c r="D521" s="67">
        <f>(V521*Settings!$G$2)+(Y521*Settings!$G$5)+(Z521*Settings!$G$6)+(AA521*Settings!$G$7)+(AB521*Settings!$G$8)+(AC521*Settings!$G$9)+(AD521*Settings!$G$10)+(AE521*Settings!$G$11)+(AF521*Settings!$G$12)+(AG521*Settings!$G$13)+(AH521*Settings!$G$14)+(AI521*Settings!$G$15)+(AJ521*Settings!$G$16)+(AK521*Settings!$G$17)+(W521*Settings!$G$3)+(X521*Settings!$G$4)</f>
        <v>-3.2289617946290048</v>
      </c>
      <c r="E521" s="67"/>
      <c r="F521" s="67"/>
      <c r="G521" s="67"/>
      <c r="H521" s="67"/>
      <c r="I521" s="67"/>
      <c r="J521" s="67"/>
      <c r="K521" s="72"/>
      <c r="L521" s="72"/>
      <c r="M521" s="67"/>
      <c r="N521" s="67"/>
      <c r="O521" s="67"/>
      <c r="P521" s="67"/>
      <c r="Q521" s="67"/>
      <c r="R521" s="72"/>
      <c r="S521" s="72"/>
      <c r="T521" s="67"/>
      <c r="U521" s="67"/>
      <c r="V521" s="118">
        <f>(VLOOKUP($A521,Pitchers!$A1:$S251,4,FALSE)-AVERAGE(Rankings!AC2:AC651))/STDEV(Rankings!AC2:AC651)</f>
        <v>-8.4650129702124294E-2</v>
      </c>
      <c r="W521" s="118">
        <f>(VLOOKUP($A521,Pitchers!$A1:$S251,5,FALSE)-AVERAGE(Rankings!AD2:AD651))/STDEV(Rankings!AD2:AD651)*-1</f>
        <v>-1.1482973595944987</v>
      </c>
      <c r="X521" s="118">
        <f>(VLOOKUP($A521,Pitchers!$A1:$S251,6,FALSE)-AVERAGE(Rankings!AE2:AE651))/STDEV(Rankings!AE2:AE651)*-1</f>
        <v>-1.4904898807866513</v>
      </c>
      <c r="Y521" s="118">
        <f>(VLOOKUP($A521,Pitchers!$A1:$S251,7,FALSE)-AVERAGE(Rankings!AF2:AF651))/STDEV(Rankings!AF2:AF651)</f>
        <v>7.0103879515002318E-3</v>
      </c>
      <c r="Z521" s="118">
        <f>(VLOOKUP($A521,Pitchers!$A1:$S251,8,FALSE)-AVERAGE(Rankings!AG2:AG651))/STDEV(Rankings!AG2:AG651)</f>
        <v>-0.11594487176890868</v>
      </c>
      <c r="AA521" s="118">
        <f>(VLOOKUP($A521,Pitchers!$A1:$S251,9,FALSE)-AVERAGE(Rankings!AH2:AH651))/STDEV(Rankings!AH2:AH651)</f>
        <v>-0.48124007043044637</v>
      </c>
      <c r="AB521" s="118">
        <f>(VLOOKUP($A521,Pitchers!$A1:$S251,10,FALSE)-AVERAGE(Rankings!AI2:AI651))/STDEV(Rankings!AI2:AI651)*-1</f>
        <v>-0.18244675421569773</v>
      </c>
      <c r="AC521" s="118">
        <f>(VLOOKUP($A521,Pitchers!$A1:$S251,11,FALSE)-AVERAGE(Rankings!AJ2:AJ651))/STDEV(Rankings!AJ2:AJ651)*-1</f>
        <v>5.6997353214850053E-3</v>
      </c>
      <c r="AD521" s="118">
        <f>(VLOOKUP($A521,Pitchers!$A1:$S251,12,FALSE)-AVERAGE(Rankings!AK2:AK651))/STDEV(Rankings!AK2:AK651)*-1</f>
        <v>-0.71941810783364901</v>
      </c>
      <c r="AE521" s="118">
        <f>IFERROR((VLOOKUP($A521,Pitchers!$A1:$S251,13,FALSE)-AVERAGE(Rankings!AL2:AL651))/STDEV(Rankings!AL2:AL651)*-1,0)</f>
        <v>-0.38465462329412903</v>
      </c>
      <c r="AF521" s="118">
        <f>(VLOOKUP($A521,Pitchers!$A1:$S251,14,FALSE)-AVERAGE(Rankings!AM2:AM651))/STDEV(Rankings!AM2:AM651)</f>
        <v>-0.45375623741423121</v>
      </c>
      <c r="AG521" s="118">
        <f>(VLOOKUP($A521,Pitchers!$A1:$S251,15,FALSE)-AVERAGE(Rankings!AN2:AN651))/STDEV(Rankings!AN2:AN651)</f>
        <v>0.25752025260046957</v>
      </c>
      <c r="AH521" s="118">
        <f>(VLOOKUP($A521,Pitchers!$A1:$S251,16,FALSE)-AVERAGE(Rankings!AO2:AO651))/STDEV(Rankings!AO2:AO651)*-1</f>
        <v>-7.8205104731378927E-2</v>
      </c>
      <c r="AI521" s="118">
        <f>IFERROR((VLOOKUP($A521,Pitchers!$A1:$S251,17,FALSE)-AVERAGE(Rankings!AP2:AP651))/STDEV(Rankings!AP2:AP651),0)</f>
        <v>-0.16206308419663945</v>
      </c>
      <c r="AJ521" s="118">
        <f>(VLOOKUP($A521,Pitchers!$A1:$S251,18,FALSE)-AVERAGE(Rankings!AQ2:AQ651))/STDEV(Rankings!AQ2:AQ651)</f>
        <v>-0.53504265529178363</v>
      </c>
      <c r="AK521" s="118">
        <f>IFERROR((VLOOKUP($A521,Pitchers!$A1:$S251,19,FALSE)-AVERAGE(Rankings!AR2:AR651))/STDEV(Rankings!AR2:AR651)*-1,0)</f>
        <v>0.47686441955275594</v>
      </c>
    </row>
    <row r="522" spans="1:37" ht="18.600000000000001" customHeight="1">
      <c r="A522" s="26" t="s">
        <v>518</v>
      </c>
      <c r="B522" s="27" t="s">
        <v>140</v>
      </c>
      <c r="C522" s="127" t="s">
        <v>31</v>
      </c>
      <c r="D522" s="67">
        <f>(V522*Settings!$G$2)+(Y522*Settings!$G$5)+(Z522*Settings!$G$6)+(AA522*Settings!$G$7)+(AB522*Settings!$G$8)+(AC522*Settings!$G$9)+(AD522*Settings!$G$10)+(AE522*Settings!$G$11)+(AF522*Settings!$G$12)+(AG522*Settings!$G$13)+(AH522*Settings!$G$14)+(AI522*Settings!$G$15)+(AJ522*Settings!$G$16)+(AK522*Settings!$G$17)+(W522*Settings!$G$3)+(X522*Settings!$G$4)</f>
        <v>-3.1225844691879612</v>
      </c>
      <c r="E522" s="67"/>
      <c r="F522" s="67"/>
      <c r="G522" s="67"/>
      <c r="H522" s="67"/>
      <c r="I522" s="67"/>
      <c r="J522" s="67"/>
      <c r="K522" s="72"/>
      <c r="L522" s="72"/>
      <c r="M522" s="67"/>
      <c r="N522" s="67"/>
      <c r="O522" s="67"/>
      <c r="P522" s="67"/>
      <c r="Q522" s="67"/>
      <c r="R522" s="72"/>
      <c r="S522" s="72"/>
      <c r="T522" s="67"/>
      <c r="U522" s="67"/>
      <c r="V522" s="118">
        <f>(VLOOKUP($A522,Pitchers!$A1:$S251,4,FALSE)-AVERAGE(Rankings!AC2:AC651))/STDEV(Rankings!AC2:AC651)</f>
        <v>0.65091158919977332</v>
      </c>
      <c r="W522" s="118">
        <f>(VLOOKUP($A522,Pitchers!$A1:$S251,5,FALSE)-AVERAGE(Rankings!AD2:AD651))/STDEV(Rankings!AD2:AD651)*-1</f>
        <v>-1.219200337793046</v>
      </c>
      <c r="X522" s="118">
        <f>(VLOOKUP($A522,Pitchers!$A1:$S251,6,FALSE)-AVERAGE(Rankings!AE2:AE651))/STDEV(Rankings!AE2:AE651)*-1</f>
        <v>-1.3089275673690521</v>
      </c>
      <c r="Y522" s="118">
        <f>(VLOOKUP($A522,Pitchers!$A1:$S251,7,FALSE)-AVERAGE(Rankings!AF2:AF651))/STDEV(Rankings!AF2:AF651)</f>
        <v>-0.15913944889272558</v>
      </c>
      <c r="Z522" s="118">
        <f>(VLOOKUP($A522,Pitchers!$A1:$S251,8,FALSE)-AVERAGE(Rankings!AG2:AG651))/STDEV(Rankings!AG2:AG651)</f>
        <v>4.739575986406256E-2</v>
      </c>
      <c r="AA522" s="118">
        <f>(VLOOKUP($A522,Pitchers!$A1:$S251,9,FALSE)-AVERAGE(Rankings!AH2:AH651))/STDEV(Rankings!AH2:AH651)</f>
        <v>-0.48271287499720011</v>
      </c>
      <c r="AB522" s="118">
        <f>(VLOOKUP($A522,Pitchers!$A1:$S251,10,FALSE)-AVERAGE(Rankings!AI2:AI651))/STDEV(Rankings!AI2:AI651)*-1</f>
        <v>-0.98499194014123648</v>
      </c>
      <c r="AC522" s="118">
        <f>(VLOOKUP($A522,Pitchers!$A1:$S251,11,FALSE)-AVERAGE(Rankings!AJ2:AJ651))/STDEV(Rankings!AJ2:AJ651)*-1</f>
        <v>-1.0633350155446502</v>
      </c>
      <c r="AD522" s="118">
        <f>(VLOOKUP($A522,Pitchers!$A1:$S251,12,FALSE)-AVERAGE(Rankings!AK2:AK651))/STDEV(Rankings!AK2:AK651)*-1</f>
        <v>-0.41867926145944478</v>
      </c>
      <c r="AE522" s="118">
        <f>IFERROR((VLOOKUP($A522,Pitchers!$A1:$S251,13,FALSE)-AVERAGE(Rankings!AL2:AL651))/STDEV(Rankings!AL2:AL651)*-1,0)</f>
        <v>-0.56334194498843027</v>
      </c>
      <c r="AF522" s="118">
        <f>(VLOOKUP($A522,Pitchers!$A1:$S251,14,FALSE)-AVERAGE(Rankings!AM2:AM651))/STDEV(Rankings!AM2:AM651)</f>
        <v>-0.83104949233576764</v>
      </c>
      <c r="AG522" s="118">
        <f>(VLOOKUP($A522,Pitchers!$A1:$S251,15,FALSE)-AVERAGE(Rankings!AN2:AN651))/STDEV(Rankings!AN2:AN651)</f>
        <v>0.85019811507137855</v>
      </c>
      <c r="AH522" s="118">
        <f>(VLOOKUP($A522,Pitchers!$A1:$S251,16,FALSE)-AVERAGE(Rankings!AO2:AO651))/STDEV(Rankings!AO2:AO651)*-1</f>
        <v>-1.409314156698211</v>
      </c>
      <c r="AI522" s="118">
        <f>IFERROR((VLOOKUP($A522,Pitchers!$A1:$S251,17,FALSE)-AVERAGE(Rankings!AP2:AP651))/STDEV(Rankings!AP2:AP651),0)</f>
        <v>0.65358112163753934</v>
      </c>
      <c r="AJ522" s="118">
        <f>(VLOOKUP($A522,Pitchers!$A1:$S251,18,FALSE)-AVERAGE(Rankings!AQ2:AQ651))/STDEV(Rankings!AQ2:AQ651)</f>
        <v>-0.69471541349839372</v>
      </c>
      <c r="AK522" s="118">
        <f>IFERROR((VLOOKUP($A522,Pitchers!$A1:$S251,19,FALSE)-AVERAGE(Rankings!AR2:AR651))/STDEV(Rankings!AR2:AR651)*-1,0)</f>
        <v>0.47686441955275594</v>
      </c>
    </row>
    <row r="523" spans="1:37" ht="18.600000000000001" customHeight="1">
      <c r="A523" s="26" t="s">
        <v>511</v>
      </c>
      <c r="B523" s="27" t="s">
        <v>134</v>
      </c>
      <c r="C523" s="127" t="s">
        <v>31</v>
      </c>
      <c r="D523" s="67">
        <f>(V523*Settings!$G$2)+(Y523*Settings!$G$5)+(Z523*Settings!$G$6)+(AA523*Settings!$G$7)+(AB523*Settings!$G$8)+(AC523*Settings!$G$9)+(AD523*Settings!$G$10)+(AE523*Settings!$G$11)+(AF523*Settings!$G$12)+(AG523*Settings!$G$13)+(AH523*Settings!$G$14)+(AI523*Settings!$G$15)+(AJ523*Settings!$G$16)+(AK523*Settings!$G$17)+(W523*Settings!$G$3)+(X523*Settings!$G$4)</f>
        <v>-3.0703328454153587</v>
      </c>
      <c r="E523" s="67"/>
      <c r="F523" s="67"/>
      <c r="G523" s="67"/>
      <c r="H523" s="67"/>
      <c r="I523" s="67"/>
      <c r="J523" s="67"/>
      <c r="K523" s="72"/>
      <c r="L523" s="72"/>
      <c r="M523" s="67"/>
      <c r="N523" s="67"/>
      <c r="O523" s="67"/>
      <c r="P523" s="67"/>
      <c r="Q523" s="67"/>
      <c r="R523" s="72"/>
      <c r="S523" s="72"/>
      <c r="T523" s="67"/>
      <c r="U523" s="67"/>
      <c r="V523" s="118">
        <f>(VLOOKUP($A523,Pitchers!$A1:$S251,4,FALSE)-AVERAGE(Rankings!AC2:AC651))/STDEV(Rankings!AC2:AC651)</f>
        <v>0.75091298076534263</v>
      </c>
      <c r="W523" s="118">
        <f>(VLOOKUP($A523,Pitchers!$A1:$S251,5,FALSE)-AVERAGE(Rankings!AD2:AD651))/STDEV(Rankings!AD2:AD651)*-1</f>
        <v>-1.4471479036045329</v>
      </c>
      <c r="X523" s="118">
        <f>(VLOOKUP($A523,Pitchers!$A1:$S251,6,FALSE)-AVERAGE(Rankings!AE2:AE651))/STDEV(Rankings!AE2:AE651)*-1</f>
        <v>-1.2613414692064595</v>
      </c>
      <c r="Y523" s="118">
        <f>(VLOOKUP($A523,Pitchers!$A1:$S251,7,FALSE)-AVERAGE(Rankings!AF2:AF651))/STDEV(Rankings!AF2:AF651)</f>
        <v>-0.21590936626979992</v>
      </c>
      <c r="Z523" s="118">
        <f>(VLOOKUP($A523,Pitchers!$A1:$S251,8,FALSE)-AVERAGE(Rankings!AG2:AG651))/STDEV(Rankings!AG2:AG651)</f>
        <v>0.33677876866263351</v>
      </c>
      <c r="AA523" s="118">
        <f>(VLOOKUP($A523,Pitchers!$A1:$S251,9,FALSE)-AVERAGE(Rankings!AH2:AH651))/STDEV(Rankings!AH2:AH651)</f>
        <v>-0.48271287499720011</v>
      </c>
      <c r="AB523" s="118">
        <f>(VLOOKUP($A523,Pitchers!$A1:$S251,10,FALSE)-AVERAGE(Rankings!AI2:AI651))/STDEV(Rankings!AI2:AI651)*-1</f>
        <v>-1.1687526618007169</v>
      </c>
      <c r="AC523" s="118">
        <f>(VLOOKUP($A523,Pitchers!$A1:$S251,11,FALSE)-AVERAGE(Rankings!AJ2:AJ651))/STDEV(Rankings!AJ2:AJ651)*-1</f>
        <v>-1.2337565698811743</v>
      </c>
      <c r="AD523" s="118">
        <f>(VLOOKUP($A523,Pitchers!$A1:$S251,12,FALSE)-AVERAGE(Rankings!AK2:AK651))/STDEV(Rankings!AK2:AK651)*-1</f>
        <v>-0.26559870939857444</v>
      </c>
      <c r="AE523" s="118">
        <f>IFERROR((VLOOKUP($A523,Pitchers!$A1:$S251,13,FALSE)-AVERAGE(Rankings!AL2:AL651))/STDEV(Rankings!AL2:AL651)*-1,0)</f>
        <v>-0.94486352374112714</v>
      </c>
      <c r="AF523" s="118">
        <f>(VLOOKUP($A523,Pitchers!$A1:$S251,14,FALSE)-AVERAGE(Rankings!AM2:AM651))/STDEV(Rankings!AM2:AM651)</f>
        <v>-0.9769579438447159</v>
      </c>
      <c r="AG523" s="118">
        <f>(VLOOKUP($A523,Pitchers!$A1:$S251,15,FALSE)-AVERAGE(Rankings!AN2:AN651))/STDEV(Rankings!AN2:AN651)</f>
        <v>0.69812917029616328</v>
      </c>
      <c r="AH523" s="118">
        <f>(VLOOKUP($A523,Pitchers!$A1:$S251,16,FALSE)-AVERAGE(Rankings!AO2:AO651))/STDEV(Rankings!AO2:AO651)*-1</f>
        <v>-1.2029213480359189</v>
      </c>
      <c r="AI523" s="118">
        <f>IFERROR((VLOOKUP($A523,Pitchers!$A1:$S251,17,FALSE)-AVERAGE(Rankings!AP2:AP651))/STDEV(Rankings!AP2:AP651),0)</f>
        <v>0.51764042066517624</v>
      </c>
      <c r="AJ523" s="118">
        <f>(VLOOKUP($A523,Pitchers!$A1:$S251,18,FALSE)-AVERAGE(Rankings!AQ2:AQ651))/STDEV(Rankings!AQ2:AQ651)</f>
        <v>-0.69471541349839372</v>
      </c>
      <c r="AK523" s="118">
        <f>IFERROR((VLOOKUP($A523,Pitchers!$A1:$S251,19,FALSE)-AVERAGE(Rankings!AR2:AR651))/STDEV(Rankings!AR2:AR651)*-1,0)</f>
        <v>0.47686441955275594</v>
      </c>
    </row>
    <row r="524" spans="1:37" ht="18.600000000000001" customHeight="1">
      <c r="A524" s="26" t="s">
        <v>454</v>
      </c>
      <c r="B524" s="27" t="s">
        <v>258</v>
      </c>
      <c r="C524" s="127" t="s">
        <v>31</v>
      </c>
      <c r="D524" s="67">
        <f>(V524*Settings!$G$2)+(Y524*Settings!$G$5)+(Z524*Settings!$G$6)+(AA524*Settings!$G$7)+(AB524*Settings!$G$8)+(AC524*Settings!$G$9)+(AD524*Settings!$G$10)+(AE524*Settings!$G$11)+(AF524*Settings!$G$12)+(AG524*Settings!$G$13)+(AH524*Settings!$G$14)+(AI524*Settings!$G$15)+(AJ524*Settings!$G$16)+(AK524*Settings!$G$17)+(W524*Settings!$G$3)+(X524*Settings!$G$4)</f>
        <v>-2.2420940366060589</v>
      </c>
      <c r="E524" s="67"/>
      <c r="F524" s="67"/>
      <c r="G524" s="67"/>
      <c r="H524" s="67"/>
      <c r="I524" s="67"/>
      <c r="J524" s="67"/>
      <c r="K524" s="72"/>
      <c r="L524" s="72"/>
      <c r="M524" s="67"/>
      <c r="N524" s="67"/>
      <c r="O524" s="67"/>
      <c r="P524" s="67"/>
      <c r="Q524" s="67"/>
      <c r="R524" s="72"/>
      <c r="S524" s="72"/>
      <c r="T524" s="67"/>
      <c r="U524" s="67"/>
      <c r="V524" s="118">
        <f>(VLOOKUP($A524,Pitchers!$A1:$S251,4,FALSE)-AVERAGE(Rankings!AC2:AC651))/STDEV(Rankings!AC2:AC651)</f>
        <v>-0.86599189236619989</v>
      </c>
      <c r="W524" s="118">
        <f>(VLOOKUP($A524,Pitchers!$A1:$S251,5,FALSE)-AVERAGE(Rankings!AD2:AD651))/STDEV(Rankings!AD2:AD651)*-1</f>
        <v>-0.22655836536379478</v>
      </c>
      <c r="X524" s="118">
        <f>(VLOOKUP($A524,Pitchers!$A1:$S251,6,FALSE)-AVERAGE(Rankings!AE2:AE651))/STDEV(Rankings!AE2:AE651)*-1</f>
        <v>0.15492370651207824</v>
      </c>
      <c r="Y524" s="118">
        <f>(VLOOKUP($A524,Pitchers!$A1:$S251,7,FALSE)-AVERAGE(Rankings!AF2:AF651))/STDEV(Rankings!AF2:AF651)</f>
        <v>-0.87599626316589241</v>
      </c>
      <c r="Z524" s="118">
        <f>(VLOOKUP($A524,Pitchers!$A1:$S251,8,FALSE)-AVERAGE(Rankings!AG2:AG651))/STDEV(Rankings!AG2:AG651)</f>
        <v>-0.81175023959125014</v>
      </c>
      <c r="AA524" s="118">
        <f>(VLOOKUP($A524,Pitchers!$A1:$S251,9,FALSE)-AVERAGE(Rankings!AH2:AH651))/STDEV(Rankings!AH2:AH651)</f>
        <v>-0.48271287499720011</v>
      </c>
      <c r="AB524" s="118">
        <f>(VLOOKUP($A524,Pitchers!$A1:$S251,10,FALSE)-AVERAGE(Rankings!AI2:AI651))/STDEV(Rankings!AI2:AI651)*-1</f>
        <v>0.79441438302961653</v>
      </c>
      <c r="AC524" s="118">
        <f>(VLOOKUP($A524,Pitchers!$A1:$S251,11,FALSE)-AVERAGE(Rankings!AJ2:AJ651))/STDEV(Rankings!AJ2:AJ651)*-1</f>
        <v>0.78580139119178949</v>
      </c>
      <c r="AD524" s="118">
        <f>(VLOOKUP($A524,Pitchers!$A1:$S251,12,FALSE)-AVERAGE(Rankings!AK2:AK651))/STDEV(Rankings!AK2:AK651)*-1</f>
        <v>1.0893370599204815</v>
      </c>
      <c r="AE524" s="118">
        <f>IFERROR((VLOOKUP($A524,Pitchers!$A1:$S251,13,FALSE)-AVERAGE(Rankings!AL2:AL651))/STDEV(Rankings!AL2:AL651)*-1,0)</f>
        <v>0.61985788785221196</v>
      </c>
      <c r="AF524" s="118">
        <f>(VLOOKUP($A524,Pitchers!$A1:$S251,14,FALSE)-AVERAGE(Rankings!AM2:AM651))/STDEV(Rankings!AM2:AM651)</f>
        <v>-1.6844315038196402</v>
      </c>
      <c r="AG524" s="118">
        <f>(VLOOKUP($A524,Pitchers!$A1:$S251,15,FALSE)-AVERAGE(Rankings!AN2:AN651))/STDEV(Rankings!AN2:AN651)</f>
        <v>-0.18583871100243329</v>
      </c>
      <c r="AH524" s="118">
        <f>(VLOOKUP($A524,Pitchers!$A1:$S251,16,FALSE)-AVERAGE(Rankings!AO2:AO651))/STDEV(Rankings!AO2:AO651)*-1</f>
        <v>0.36984167953272296</v>
      </c>
      <c r="AI524" s="118">
        <f>IFERROR((VLOOKUP($A524,Pitchers!$A1:$S251,17,FALSE)-AVERAGE(Rankings!AP2:AP651))/STDEV(Rankings!AP2:AP651),0)</f>
        <v>-0.29800378516900261</v>
      </c>
      <c r="AJ524" s="118">
        <f>(VLOOKUP($A524,Pitchers!$A1:$S251,18,FALSE)-AVERAGE(Rankings!AQ2:AQ651))/STDEV(Rankings!AQ2:AQ651)</f>
        <v>-0.69471541349839372</v>
      </c>
      <c r="AK524" s="118">
        <f>IFERROR((VLOOKUP($A524,Pitchers!$A1:$S251,19,FALSE)-AVERAGE(Rankings!AR2:AR651))/STDEV(Rankings!AR2:AR651)*-1,0)</f>
        <v>0.47686441955275594</v>
      </c>
    </row>
    <row r="525" spans="1:37" ht="18.600000000000001" customHeight="1">
      <c r="A525" s="26" t="s">
        <v>520</v>
      </c>
      <c r="B525" s="27" t="s">
        <v>76</v>
      </c>
      <c r="C525" s="127" t="s">
        <v>31</v>
      </c>
      <c r="D525" s="67">
        <f>(V525*Settings!$G$2)+(Y525*Settings!$G$5)+(Z525*Settings!$G$6)+(AA525*Settings!$G$7)+(AB525*Settings!$G$8)+(AC525*Settings!$G$9)+(AD525*Settings!$G$10)+(AE525*Settings!$G$11)+(AF525*Settings!$G$12)+(AG525*Settings!$G$13)+(AH525*Settings!$G$14)+(AI525*Settings!$G$15)+(AJ525*Settings!$G$16)+(AK525*Settings!$G$17)+(W525*Settings!$G$3)+(X525*Settings!$G$4)</f>
        <v>-2.4831543844747705</v>
      </c>
      <c r="E525" s="67"/>
      <c r="F525" s="67"/>
      <c r="G525" s="67"/>
      <c r="H525" s="67"/>
      <c r="I525" s="67"/>
      <c r="J525" s="67"/>
      <c r="K525" s="72"/>
      <c r="L525" s="72"/>
      <c r="M525" s="67"/>
      <c r="N525" s="67"/>
      <c r="O525" s="67"/>
      <c r="P525" s="67"/>
      <c r="Q525" s="67"/>
      <c r="R525" s="72"/>
      <c r="S525" s="72"/>
      <c r="T525" s="67"/>
      <c r="U525" s="67"/>
      <c r="V525" s="118">
        <f>(VLOOKUP($A525,Pitchers!$A1:$S251,4,FALSE)-AVERAGE(Rankings!AC2:AC651))/STDEV(Rankings!AC2:AC651)</f>
        <v>0.40579307117265589</v>
      </c>
      <c r="W525" s="118">
        <f>(VLOOKUP($A525,Pitchers!$A1:$S251,5,FALSE)-AVERAGE(Rankings!AD2:AD651))/STDEV(Rankings!AD2:AD651)*-1</f>
        <v>-1.1953419012329383</v>
      </c>
      <c r="X525" s="118">
        <f>(VLOOKUP($A525,Pitchers!$A1:$S251,6,FALSE)-AVERAGE(Rankings!AE2:AE651))/STDEV(Rankings!AE2:AE651)*-1</f>
        <v>-0.55840626118674008</v>
      </c>
      <c r="Y525" s="118">
        <f>(VLOOKUP($A525,Pitchers!$A1:$S251,7,FALSE)-AVERAGE(Rankings!AF2:AF651))/STDEV(Rankings!AF2:AF651)</f>
        <v>-0.29859062039215439</v>
      </c>
      <c r="Z525" s="118">
        <f>(VLOOKUP($A525,Pitchers!$A1:$S251,8,FALSE)-AVERAGE(Rankings!AG2:AG651))/STDEV(Rankings!AG2:AG651)</f>
        <v>5.1897273334262486E-2</v>
      </c>
      <c r="AA525" s="118">
        <f>(VLOOKUP($A525,Pitchers!$A1:$S251,9,FALSE)-AVERAGE(Rankings!AH2:AH651))/STDEV(Rankings!AH2:AH651)</f>
        <v>-0.48271287499720011</v>
      </c>
      <c r="AB525" s="118">
        <f>(VLOOKUP($A525,Pitchers!$A1:$S251,10,FALSE)-AVERAGE(Rankings!AI2:AI651))/STDEV(Rankings!AI2:AI651)*-1</f>
        <v>-0.71621913450040786</v>
      </c>
      <c r="AC525" s="118">
        <f>(VLOOKUP($A525,Pitchers!$A1:$S251,11,FALSE)-AVERAGE(Rankings!AJ2:AJ651))/STDEV(Rankings!AJ2:AJ651)*-1</f>
        <v>-0.66465808622326339</v>
      </c>
      <c r="AD525" s="118">
        <f>(VLOOKUP($A525,Pitchers!$A1:$S251,12,FALSE)-AVERAGE(Rankings!AK2:AK651))/STDEV(Rankings!AK2:AK651)*-1</f>
        <v>2.9717879228093207E-2</v>
      </c>
      <c r="AE525" s="118">
        <f>IFERROR((VLOOKUP($A525,Pitchers!$A1:$S251,13,FALSE)-AVERAGE(Rankings!AL2:AL651))/STDEV(Rankings!AL2:AL651)*-1,0)</f>
        <v>-0.87242271764884294</v>
      </c>
      <c r="AF525" s="118">
        <f>(VLOOKUP($A525,Pitchers!$A1:$S251,14,FALSE)-AVERAGE(Rankings!AM2:AM651))/STDEV(Rankings!AM2:AM651)</f>
        <v>-1.0348395679684401</v>
      </c>
      <c r="AG525" s="118">
        <f>(VLOOKUP($A525,Pitchers!$A1:$S251,15,FALSE)-AVERAGE(Rankings!AN2:AN651))/STDEV(Rankings!AN2:AN651)</f>
        <v>0.58666637211958539</v>
      </c>
      <c r="AH525" s="118">
        <f>(VLOOKUP($A525,Pitchers!$A1:$S251,16,FALSE)-AVERAGE(Rankings!AO2:AO651))/STDEV(Rankings!AO2:AO651)*-1</f>
        <v>-0.65464852948177199</v>
      </c>
      <c r="AI525" s="118">
        <f>IFERROR((VLOOKUP($A525,Pitchers!$A1:$S251,17,FALSE)-AVERAGE(Rankings!AP2:AP651))/STDEV(Rankings!AP2:AP651),0)</f>
        <v>0.24575901872044997</v>
      </c>
      <c r="AJ525" s="118">
        <f>(VLOOKUP($A525,Pitchers!$A1:$S251,18,FALSE)-AVERAGE(Rankings!AQ2:AQ651))/STDEV(Rankings!AQ2:AQ651)</f>
        <v>-0.69471541349839372</v>
      </c>
      <c r="AK525" s="118">
        <f>IFERROR((VLOOKUP($A525,Pitchers!$A1:$S251,19,FALSE)-AVERAGE(Rankings!AR2:AR651))/STDEV(Rankings!AR2:AR651)*-1,0)</f>
        <v>0.47686441955275594</v>
      </c>
    </row>
    <row r="526" spans="1:37" ht="18.600000000000001" customHeight="1">
      <c r="A526" s="26" t="s">
        <v>467</v>
      </c>
      <c r="B526" s="27" t="s">
        <v>97</v>
      </c>
      <c r="C526" s="127" t="s">
        <v>31</v>
      </c>
      <c r="D526" s="67">
        <f>(V526*Settings!$G$2)+(Y526*Settings!$G$5)+(Z526*Settings!$G$6)+(AA526*Settings!$G$7)+(AB526*Settings!$G$8)+(AC526*Settings!$G$9)+(AD526*Settings!$G$10)+(AE526*Settings!$G$11)+(AF526*Settings!$G$12)+(AG526*Settings!$G$13)+(AH526*Settings!$G$14)+(AI526*Settings!$G$15)+(AJ526*Settings!$G$16)+(AK526*Settings!$G$17)+(W526*Settings!$G$3)+(X526*Settings!$G$4)</f>
        <v>-1.8788550656963328</v>
      </c>
      <c r="E526" s="67"/>
      <c r="F526" s="67"/>
      <c r="G526" s="67"/>
      <c r="H526" s="67"/>
      <c r="I526" s="67"/>
      <c r="J526" s="67"/>
      <c r="K526" s="72"/>
      <c r="L526" s="72"/>
      <c r="M526" s="67"/>
      <c r="N526" s="67"/>
      <c r="O526" s="67"/>
      <c r="P526" s="67"/>
      <c r="Q526" s="67"/>
      <c r="R526" s="72"/>
      <c r="S526" s="72"/>
      <c r="T526" s="67"/>
      <c r="U526" s="67"/>
      <c r="V526" s="118">
        <f>(VLOOKUP($A526,Pitchers!$A1:$S251,4,FALSE)-AVERAGE(Rankings!AC2:AC651))/STDEV(Rankings!AC2:AC651)</f>
        <v>-0.72221483723819635</v>
      </c>
      <c r="W526" s="118">
        <f>(VLOOKUP($A526,Pitchers!$A1:$S251,5,FALSE)-AVERAGE(Rankings!AD2:AD651))/STDEV(Rankings!AD2:AD651)*-1</f>
        <v>0.38676982051836806</v>
      </c>
      <c r="X526" s="118">
        <f>(VLOOKUP($A526,Pitchers!$A1:$S251,6,FALSE)-AVERAGE(Rankings!AE2:AE651))/STDEV(Rankings!AE2:AE651)*-1</f>
        <v>-0.47143081736299802</v>
      </c>
      <c r="Y526" s="118">
        <f>(VLOOKUP($A526,Pitchers!$A1:$S251,7,FALSE)-AVERAGE(Rankings!AF2:AF651))/STDEV(Rankings!AF2:AF651)</f>
        <v>-0.52336118438097445</v>
      </c>
      <c r="Z526" s="118">
        <f>(VLOOKUP($A526,Pitchers!$A1:$S251,8,FALSE)-AVERAGE(Rankings!AG2:AG651))/STDEV(Rankings!AG2:AG651)</f>
        <v>-0.79253842317378953</v>
      </c>
      <c r="AA526" s="118">
        <f>(VLOOKUP($A526,Pitchers!$A1:$S251,9,FALSE)-AVERAGE(Rankings!AH2:AH651))/STDEV(Rankings!AH2:AH651)</f>
        <v>-0.47829446129693881</v>
      </c>
      <c r="AB526" s="118">
        <f>(VLOOKUP($A526,Pitchers!$A1:$S251,10,FALSE)-AVERAGE(Rankings!AI2:AI651))/STDEV(Rankings!AI2:AI651)*-1</f>
        <v>0.76528394162230118</v>
      </c>
      <c r="AC526" s="118">
        <f>(VLOOKUP($A526,Pitchers!$A1:$S251,11,FALSE)-AVERAGE(Rankings!AJ2:AJ651))/STDEV(Rankings!AJ2:AJ651)*-1</f>
        <v>0.74678922815089854</v>
      </c>
      <c r="AD526" s="118">
        <f>(VLOOKUP($A526,Pitchers!$A1:$S251,12,FALSE)-AVERAGE(Rankings!AK2:AK651))/STDEV(Rankings!AK2:AK651)*-1</f>
        <v>0.30413127132078244</v>
      </c>
      <c r="AE526" s="118">
        <f>IFERROR((VLOOKUP($A526,Pitchers!$A1:$S251,13,FALSE)-AVERAGE(Rankings!AL2:AL651))/STDEV(Rankings!AL2:AL651)*-1,0)</f>
        <v>0.99655007953209007</v>
      </c>
      <c r="AF526" s="118">
        <f>(VLOOKUP($A526,Pitchers!$A1:$S251,14,FALSE)-AVERAGE(Rankings!AM2:AM651))/STDEV(Rankings!AM2:AM651)</f>
        <v>-0.10533294801340211</v>
      </c>
      <c r="AG526" s="118">
        <f>(VLOOKUP($A526,Pitchers!$A1:$S251,15,FALSE)-AVERAGE(Rankings!AN2:AN651))/STDEV(Rankings!AN2:AN651)</f>
        <v>-0.54948931276356594</v>
      </c>
      <c r="AH526" s="118">
        <f>(VLOOKUP($A526,Pitchers!$A1:$S251,16,FALSE)-AVERAGE(Rankings!AO2:AO651))/STDEV(Rankings!AO2:AO651)*-1</f>
        <v>0.69274964851690279</v>
      </c>
      <c r="AI526" s="118">
        <f>IFERROR((VLOOKUP($A526,Pitchers!$A1:$S251,17,FALSE)-AVERAGE(Rankings!AP2:AP651))/STDEV(Rankings!AP2:AP651),0)</f>
        <v>-0.84176658905845514</v>
      </c>
      <c r="AJ526" s="118">
        <f>(VLOOKUP($A526,Pitchers!$A1:$S251,18,FALSE)-AVERAGE(Rankings!AQ2:AQ651))/STDEV(Rankings!AQ2:AQ651)</f>
        <v>-0.45520627618847853</v>
      </c>
      <c r="AK526" s="118">
        <f>IFERROR((VLOOKUP($A526,Pitchers!$A1:$S251,19,FALSE)-AVERAGE(Rankings!AR2:AR651))/STDEV(Rankings!AR2:AR651)*-1,0)</f>
        <v>0.47686441955275594</v>
      </c>
    </row>
    <row r="527" spans="1:37" ht="18.600000000000001" customHeight="1">
      <c r="A527" s="26" t="s">
        <v>555</v>
      </c>
      <c r="B527" s="27" t="s">
        <v>84</v>
      </c>
      <c r="C527" s="127" t="s">
        <v>31</v>
      </c>
      <c r="D527" s="67">
        <f>(V527*Settings!$G$2)+(Y527*Settings!$G$5)+(Z527*Settings!$G$6)+(AA527*Settings!$G$7)+(AB527*Settings!$G$8)+(AC527*Settings!$G$9)+(AD527*Settings!$G$10)+(AE527*Settings!$G$11)+(AF527*Settings!$G$12)+(AG527*Settings!$G$13)+(AH527*Settings!$G$14)+(AI527*Settings!$G$15)+(AJ527*Settings!$G$16)+(AK527*Settings!$G$17)+(W527*Settings!$G$3)+(X527*Settings!$G$4)</f>
        <v>-2.2405462989010663</v>
      </c>
      <c r="E527" s="67"/>
      <c r="F527" s="67"/>
      <c r="G527" s="67"/>
      <c r="H527" s="67"/>
      <c r="I527" s="67"/>
      <c r="J527" s="67"/>
      <c r="K527" s="72"/>
      <c r="L527" s="72"/>
      <c r="M527" s="67"/>
      <c r="N527" s="67"/>
      <c r="O527" s="67"/>
      <c r="P527" s="67"/>
      <c r="Q527" s="67"/>
      <c r="R527" s="72"/>
      <c r="S527" s="72"/>
      <c r="T527" s="67"/>
      <c r="U527" s="67"/>
      <c r="V527" s="118">
        <f>(VLOOKUP($A527,Pitchers!$A1:$S251,4,FALSE)-AVERAGE(Rankings!AC2:AC651))/STDEV(Rankings!AC2:AC651)</f>
        <v>0.4265240892385907</v>
      </c>
      <c r="W527" s="118">
        <f>(VLOOKUP($A527,Pitchers!$A1:$S251,5,FALSE)-AVERAGE(Rankings!AD2:AD651))/STDEV(Rankings!AD2:AD651)*-1</f>
        <v>-1.2961797777925077</v>
      </c>
      <c r="X527" s="118">
        <f>(VLOOKUP($A527,Pitchers!$A1:$S251,6,FALSE)-AVERAGE(Rankings!AE2:AE651))/STDEV(Rankings!AE2:AE651)*-1</f>
        <v>-0.98480650407469728</v>
      </c>
      <c r="Y527" s="118">
        <f>(VLOOKUP($A527,Pitchers!$A1:$S251,7,FALSE)-AVERAGE(Rankings!AF2:AF651))/STDEV(Rankings!AF2:AF651)</f>
        <v>9.5379209867376691E-2</v>
      </c>
      <c r="Z527" s="118">
        <f>(VLOOKUP($A527,Pitchers!$A1:$S251,8,FALSE)-AVERAGE(Rankings!AG2:AG651))/STDEV(Rankings!AG2:AG651)</f>
        <v>0.42777364809596224</v>
      </c>
      <c r="AA527" s="118">
        <f>(VLOOKUP($A527,Pitchers!$A1:$S251,9,FALSE)-AVERAGE(Rankings!AH2:AH651))/STDEV(Rankings!AH2:AH651)</f>
        <v>-0.48271287499720011</v>
      </c>
      <c r="AB527" s="118">
        <f>(VLOOKUP($A527,Pitchers!$A1:$S251,10,FALSE)-AVERAGE(Rankings!AI2:AI651))/STDEV(Rankings!AI2:AI651)*-1</f>
        <v>-0.76880136058694593</v>
      </c>
      <c r="AC527" s="118">
        <f>(VLOOKUP($A527,Pitchers!$A1:$S251,11,FALSE)-AVERAGE(Rankings!AJ2:AJ651))/STDEV(Rankings!AJ2:AJ651)*-1</f>
        <v>-0.60888933772621268</v>
      </c>
      <c r="AD527" s="118">
        <f>(VLOOKUP($A527,Pitchers!$A1:$S251,12,FALSE)-AVERAGE(Rankings!AK2:AK651))/STDEV(Rankings!AK2:AK651)*-1</f>
        <v>-0.61694529474978121</v>
      </c>
      <c r="AE527" s="118">
        <f>IFERROR((VLOOKUP($A527,Pitchers!$A1:$S251,13,FALSE)-AVERAGE(Rankings!AL2:AL651))/STDEV(Rankings!AL2:AL651)*-1,0)</f>
        <v>-0.60680642864380097</v>
      </c>
      <c r="AF527" s="118">
        <f>(VLOOKUP($A527,Pitchers!$A1:$S251,14,FALSE)-AVERAGE(Rankings!AM2:AM651))/STDEV(Rankings!AM2:AM651)</f>
        <v>-0.91985563167369744</v>
      </c>
      <c r="AG527" s="118">
        <f>(VLOOKUP($A527,Pitchers!$A1:$S251,15,FALSE)-AVERAGE(Rankings!AN2:AN651))/STDEV(Rankings!AN2:AN651)</f>
        <v>0.73903610316590174</v>
      </c>
      <c r="AH527" s="118">
        <f>(VLOOKUP($A527,Pitchers!$A1:$S251,16,FALSE)-AVERAGE(Rankings!AO2:AO651))/STDEV(Rankings!AO2:AO651)*-1</f>
        <v>-0.98273069144077208</v>
      </c>
      <c r="AI527" s="118">
        <f>IFERROR((VLOOKUP($A527,Pitchers!$A1:$S251,17,FALSE)-AVERAGE(Rankings!AP2:AP651))/STDEV(Rankings!AP2:AP651),0)</f>
        <v>0.24575901872044997</v>
      </c>
      <c r="AJ527" s="118">
        <f>(VLOOKUP($A527,Pitchers!$A1:$S251,18,FALSE)-AVERAGE(Rankings!AQ2:AQ651))/STDEV(Rankings!AQ2:AQ651)</f>
        <v>-0.69471541349839372</v>
      </c>
      <c r="AK527" s="118">
        <f>IFERROR((VLOOKUP($A527,Pitchers!$A1:$S251,19,FALSE)-AVERAGE(Rankings!AR2:AR651))/STDEV(Rankings!AR2:AR651)*-1,0)</f>
        <v>0.47686441955275594</v>
      </c>
    </row>
    <row r="528" spans="1:37" ht="18.600000000000001" customHeight="1">
      <c r="A528" s="26" t="s">
        <v>525</v>
      </c>
      <c r="B528" s="27" t="s">
        <v>158</v>
      </c>
      <c r="C528" s="127" t="s">
        <v>31</v>
      </c>
      <c r="D528" s="67">
        <f>(V528*Settings!$G$2)+(Y528*Settings!$G$5)+(Z528*Settings!$G$6)+(AA528*Settings!$G$7)+(AB528*Settings!$G$8)+(AC528*Settings!$G$9)+(AD528*Settings!$G$10)+(AE528*Settings!$G$11)+(AF528*Settings!$G$12)+(AG528*Settings!$G$13)+(AH528*Settings!$G$14)+(AI528*Settings!$G$15)+(AJ528*Settings!$G$16)+(AK528*Settings!$G$17)+(W528*Settings!$G$3)+(X528*Settings!$G$4)</f>
        <v>-3.2330658107201691</v>
      </c>
      <c r="E528" s="67"/>
      <c r="F528" s="67"/>
      <c r="G528" s="67"/>
      <c r="H528" s="67"/>
      <c r="I528" s="67"/>
      <c r="J528" s="67"/>
      <c r="K528" s="72"/>
      <c r="L528" s="72"/>
      <c r="M528" s="67"/>
      <c r="N528" s="67"/>
      <c r="O528" s="67"/>
      <c r="P528" s="67"/>
      <c r="Q528" s="67"/>
      <c r="R528" s="72"/>
      <c r="S528" s="72"/>
      <c r="T528" s="67"/>
      <c r="U528" s="67"/>
      <c r="V528" s="118">
        <f>(VLOOKUP($A528,Pitchers!$A1:$S251,4,FALSE)-AVERAGE(Rankings!AC2:AC651))/STDEV(Rankings!AC2:AC651)</f>
        <v>1.4538056182406556E-2</v>
      </c>
      <c r="W528" s="118">
        <f>(VLOOKUP($A528,Pitchers!$A1:$S251,5,FALSE)-AVERAGE(Rankings!AD2:AD651))/STDEV(Rankings!AD2:AD651)*-1</f>
        <v>-1.5335871694696583</v>
      </c>
      <c r="X528" s="118">
        <f>(VLOOKUP($A528,Pitchers!$A1:$S251,6,FALSE)-AVERAGE(Rankings!AE2:AE651))/STDEV(Rankings!AE2:AE651)*-1</f>
        <v>-0.92622060419012209</v>
      </c>
      <c r="Y528" s="118">
        <f>(VLOOKUP($A528,Pitchers!$A1:$S251,7,FALSE)-AVERAGE(Rankings!AF2:AF651))/STDEV(Rankings!AF2:AF651)</f>
        <v>-0.24147991899439405</v>
      </c>
      <c r="Z528" s="118">
        <f>(VLOOKUP($A528,Pitchers!$A1:$S251,8,FALSE)-AVERAGE(Rankings!AG2:AG651))/STDEV(Rankings!AG2:AG651)</f>
        <v>-4.9065243068794333E-2</v>
      </c>
      <c r="AA528" s="118">
        <f>(VLOOKUP($A528,Pitchers!$A1:$S251,9,FALSE)-AVERAGE(Rankings!AH2:AH651))/STDEV(Rankings!AH2:AH651)</f>
        <v>-0.48271287499720011</v>
      </c>
      <c r="AB528" s="118">
        <f>(VLOOKUP($A528,Pitchers!$A1:$S251,10,FALSE)-AVERAGE(Rankings!AI2:AI651))/STDEV(Rankings!AI2:AI651)*-1</f>
        <v>-0.38681128965101896</v>
      </c>
      <c r="AC528" s="118">
        <f>(VLOOKUP($A528,Pitchers!$A1:$S251,11,FALSE)-AVERAGE(Rankings!AJ2:AJ651))/STDEV(Rankings!AJ2:AJ651)*-1</f>
        <v>-0.26032875941349615</v>
      </c>
      <c r="AD528" s="118">
        <f>(VLOOKUP($A528,Pitchers!$A1:$S251,12,FALSE)-AVERAGE(Rankings!AK2:AK651))/STDEV(Rankings!AK2:AK651)*-1</f>
        <v>0.12130688509408154</v>
      </c>
      <c r="AE528" s="118">
        <f>IFERROR((VLOOKUP($A528,Pitchers!$A1:$S251,13,FALSE)-AVERAGE(Rankings!AL2:AL651))/STDEV(Rankings!AL2:AL651)*-1,0)</f>
        <v>-0.78066436326528299</v>
      </c>
      <c r="AF528" s="118">
        <f>(VLOOKUP($A528,Pitchers!$A1:$S251,14,FALSE)-AVERAGE(Rankings!AM2:AM651))/STDEV(Rankings!AM2:AM651)</f>
        <v>-0.55457086547795231</v>
      </c>
      <c r="AG528" s="118">
        <f>(VLOOKUP($A528,Pitchers!$A1:$S251,15,FALSE)-AVERAGE(Rankings!AN2:AN651))/STDEV(Rankings!AN2:AN651)</f>
        <v>0.36142042453222178</v>
      </c>
      <c r="AH528" s="118">
        <f>(VLOOKUP($A528,Pitchers!$A1:$S251,16,FALSE)-AVERAGE(Rankings!AO2:AO651))/STDEV(Rankings!AO2:AO651)*-1</f>
        <v>-0.63031065882243009</v>
      </c>
      <c r="AI528" s="118">
        <f>IFERROR((VLOOKUP($A528,Pitchers!$A1:$S251,17,FALSE)-AVERAGE(Rankings!AP2:AP651))/STDEV(Rankings!AP2:AP651),0)</f>
        <v>-0.16206308419663945</v>
      </c>
      <c r="AJ528" s="118">
        <f>(VLOOKUP($A528,Pitchers!$A1:$S251,18,FALSE)-AVERAGE(Rankings!AQ2:AQ651))/STDEV(Rankings!AQ2:AQ651)</f>
        <v>-0.69471541349839372</v>
      </c>
      <c r="AK528" s="118">
        <f>IFERROR((VLOOKUP($A528,Pitchers!$A1:$S251,19,FALSE)-AVERAGE(Rankings!AR2:AR651))/STDEV(Rankings!AR2:AR651)*-1,0)</f>
        <v>0.47686441955275594</v>
      </c>
    </row>
    <row r="529" spans="1:37" ht="18.600000000000001" customHeight="1">
      <c r="A529" s="26" t="s">
        <v>636</v>
      </c>
      <c r="B529" s="27" t="s">
        <v>117</v>
      </c>
      <c r="C529" s="127" t="s">
        <v>31</v>
      </c>
      <c r="D529" s="67">
        <f>(V529*Settings!$G$2)+(Y529*Settings!$G$5)+(Z529*Settings!$G$6)+(AA529*Settings!$G$7)+(AB529*Settings!$G$8)+(AC529*Settings!$G$9)+(AD529*Settings!$G$10)+(AE529*Settings!$G$11)+(AF529*Settings!$G$12)+(AG529*Settings!$G$13)+(AH529*Settings!$G$14)+(AI529*Settings!$G$15)+(AJ529*Settings!$G$16)+(AK529*Settings!$G$17)+(W529*Settings!$G$3)+(X529*Settings!$G$4)</f>
        <v>-4.5611176762843044</v>
      </c>
      <c r="E529" s="67"/>
      <c r="F529" s="67"/>
      <c r="G529" s="67"/>
      <c r="H529" s="67"/>
      <c r="I529" s="67"/>
      <c r="J529" s="67"/>
      <c r="K529" s="72"/>
      <c r="L529" s="72"/>
      <c r="M529" s="67"/>
      <c r="N529" s="67"/>
      <c r="O529" s="67"/>
      <c r="P529" s="67"/>
      <c r="Q529" s="67"/>
      <c r="R529" s="72"/>
      <c r="S529" s="72"/>
      <c r="T529" s="67"/>
      <c r="U529" s="67"/>
      <c r="V529" s="118">
        <f>(VLOOKUP($A529,Pitchers!$A1:$S251,4,FALSE)-AVERAGE(Rankings!AC2:AC651))/STDEV(Rankings!AC2:AC651)</f>
        <v>1.0277121595495744</v>
      </c>
      <c r="W529" s="118">
        <f>(VLOOKUP($A529,Pitchers!$A1:$S251,5,FALSE)-AVERAGE(Rankings!AD2:AD651))/STDEV(Rankings!AD2:AD651)*-1</f>
        <v>-2.516047901748546</v>
      </c>
      <c r="X529" s="118">
        <f>(VLOOKUP($A529,Pitchers!$A1:$S251,6,FALSE)-AVERAGE(Rankings!AE2:AE651))/STDEV(Rankings!AE2:AE651)*-1</f>
        <v>-2.0135567556043013</v>
      </c>
      <c r="Y529" s="118">
        <f>(VLOOKUP($A529,Pitchers!$A1:$S251,7,FALSE)-AVERAGE(Rankings!AF2:AF651))/STDEV(Rankings!AF2:AF651)</f>
        <v>9.8505021919188251E-2</v>
      </c>
      <c r="Z529" s="118">
        <f>(VLOOKUP($A529,Pitchers!$A1:$S251,8,FALSE)-AVERAGE(Rankings!AG2:AG651))/STDEV(Rankings!AG2:AG651)</f>
        <v>0.35269483414655484</v>
      </c>
      <c r="AA529" s="118">
        <f>(VLOOKUP($A529,Pitchers!$A1:$S251,9,FALSE)-AVERAGE(Rankings!AH2:AH651))/STDEV(Rankings!AH2:AH651)</f>
        <v>-0.48271287499720011</v>
      </c>
      <c r="AB529" s="118">
        <f>(VLOOKUP($A529,Pitchers!$A1:$S251,10,FALSE)-AVERAGE(Rankings!AI2:AI651))/STDEV(Rankings!AI2:AI651)*-1</f>
        <v>-1.8645319838527772</v>
      </c>
      <c r="AC529" s="118">
        <f>(VLOOKUP($A529,Pitchers!$A1:$S251,11,FALSE)-AVERAGE(Rankings!AJ2:AJ651))/STDEV(Rankings!AJ2:AJ651)*-1</f>
        <v>-1.5956870153219398</v>
      </c>
      <c r="AD529" s="118">
        <f>(VLOOKUP($A529,Pitchers!$A1:$S251,12,FALSE)-AVERAGE(Rankings!AK2:AK651))/STDEV(Rankings!AK2:AK651)*-1</f>
        <v>-1.1260088554532286</v>
      </c>
      <c r="AE529" s="118">
        <f>IFERROR((VLOOKUP($A529,Pitchers!$A1:$S251,13,FALSE)-AVERAGE(Rankings!AL2:AL651))/STDEV(Rankings!AL2:AL651)*-1,0)</f>
        <v>-1.7320536166106157</v>
      </c>
      <c r="AF529" s="118">
        <f>(VLOOKUP($A529,Pitchers!$A1:$S251,14,FALSE)-AVERAGE(Rankings!AM2:AM651))/STDEV(Rankings!AM2:AM651)</f>
        <v>-0.71319627112424278</v>
      </c>
      <c r="AG529" s="118">
        <f>(VLOOKUP($A529,Pitchers!$A1:$S251,15,FALSE)-AVERAGE(Rankings!AN2:AN651))/STDEV(Rankings!AN2:AN651)</f>
        <v>1.0163610451210421</v>
      </c>
      <c r="AH529" s="118">
        <f>(VLOOKUP($A529,Pitchers!$A1:$S251,16,FALSE)-AVERAGE(Rankings!AO2:AO651))/STDEV(Rankings!AO2:AO651)*-1</f>
        <v>-2.0284925826850855</v>
      </c>
      <c r="AI529" s="118">
        <f>IFERROR((VLOOKUP($A529,Pitchers!$A1:$S251,17,FALSE)-AVERAGE(Rankings!AP2:AP651))/STDEV(Rankings!AP2:AP651),0)</f>
        <v>0.51764042066517624</v>
      </c>
      <c r="AJ529" s="118">
        <f>(VLOOKUP($A529,Pitchers!$A1:$S251,18,FALSE)-AVERAGE(Rankings!AQ2:AQ651))/STDEV(Rankings!AQ2:AQ651)</f>
        <v>-0.69471541349839372</v>
      </c>
      <c r="AK529" s="118">
        <f>IFERROR((VLOOKUP($A529,Pitchers!$A1:$S251,19,FALSE)-AVERAGE(Rankings!AR2:AR651))/STDEV(Rankings!AR2:AR651)*-1,0)</f>
        <v>0.47686441955275594</v>
      </c>
    </row>
    <row r="530" spans="1:37" ht="18.600000000000001" customHeight="1">
      <c r="A530" s="26" t="s">
        <v>481</v>
      </c>
      <c r="B530" s="27" t="s">
        <v>99</v>
      </c>
      <c r="C530" s="127" t="s">
        <v>31</v>
      </c>
      <c r="D530" s="67">
        <f>(V530*Settings!$G$2)+(Y530*Settings!$G$5)+(Z530*Settings!$G$6)+(AA530*Settings!$G$7)+(AB530*Settings!$G$8)+(AC530*Settings!$G$9)+(AD530*Settings!$G$10)+(AE530*Settings!$G$11)+(AF530*Settings!$G$12)+(AG530*Settings!$G$13)+(AH530*Settings!$G$14)+(AI530*Settings!$G$15)+(AJ530*Settings!$G$16)+(AK530*Settings!$G$17)+(W530*Settings!$G$3)+(X530*Settings!$G$4)</f>
        <v>-2.9308951181424314</v>
      </c>
      <c r="E530" s="67"/>
      <c r="F530" s="67"/>
      <c r="G530" s="67"/>
      <c r="H530" s="67"/>
      <c r="I530" s="67"/>
      <c r="J530" s="67"/>
      <c r="K530" s="72"/>
      <c r="L530" s="72"/>
      <c r="M530" s="67"/>
      <c r="N530" s="67"/>
      <c r="O530" s="67"/>
      <c r="P530" s="67"/>
      <c r="Q530" s="67"/>
      <c r="R530" s="72"/>
      <c r="S530" s="72"/>
      <c r="T530" s="67"/>
      <c r="U530" s="67"/>
      <c r="V530" s="118">
        <f>(VLOOKUP($A530,Pitchers!$A1:$S251,4,FALSE)-AVERAGE(Rankings!AC2:AC651))/STDEV(Rankings!AC2:AC651)</f>
        <v>-0.36191890613315286</v>
      </c>
      <c r="W530" s="118">
        <f>(VLOOKUP($A530,Pitchers!$A1:$S251,5,FALSE)-AVERAGE(Rankings!AD2:AD651))/STDEV(Rankings!AD2:AD651)*-1</f>
        <v>-1.1187824411180933</v>
      </c>
      <c r="X530" s="118">
        <f>(VLOOKUP($A530,Pitchers!$A1:$S251,6,FALSE)-AVERAGE(Rankings!AE2:AE651))/STDEV(Rankings!AE2:AE651)*-1</f>
        <v>-0.11278984743464181</v>
      </c>
      <c r="Y530" s="118">
        <f>(VLOOKUP($A530,Pitchers!$A1:$S251,7,FALSE)-AVERAGE(Rankings!AF2:AF651))/STDEV(Rankings!AF2:AF651)</f>
        <v>-0.69319501400054984</v>
      </c>
      <c r="Z530" s="118">
        <f>(VLOOKUP($A530,Pitchers!$A1:$S251,8,FALSE)-AVERAGE(Rankings!AG2:AG651))/STDEV(Rankings!AG2:AG651)</f>
        <v>-0.5278333542922079</v>
      </c>
      <c r="AA530" s="118">
        <f>(VLOOKUP($A530,Pitchers!$A1:$S251,9,FALSE)-AVERAGE(Rankings!AH2:AH651))/STDEV(Rankings!AH2:AH651)</f>
        <v>-0.47829446129693881</v>
      </c>
      <c r="AB530" s="118">
        <f>(VLOOKUP($A530,Pitchers!$A1:$S251,10,FALSE)-AVERAGE(Rankings!AI2:AI651))/STDEV(Rankings!AI2:AI651)*-1</f>
        <v>0.11772388844634918</v>
      </c>
      <c r="AC530" s="118">
        <f>(VLOOKUP($A530,Pitchers!$A1:$S251,11,FALSE)-AVERAGE(Rankings!AJ2:AJ651))/STDEV(Rankings!AJ2:AJ651)*-1</f>
        <v>0.2323620546467835</v>
      </c>
      <c r="AD530" s="118">
        <f>(VLOOKUP($A530,Pitchers!$A1:$S251,12,FALSE)-AVERAGE(Rankings!AK2:AK651))/STDEV(Rankings!AK2:AK651)*-1</f>
        <v>0.67520230152172123</v>
      </c>
      <c r="AE530" s="118">
        <f>IFERROR((VLOOKUP($A530,Pitchers!$A1:$S251,13,FALSE)-AVERAGE(Rankings!AL2:AL651))/STDEV(Rankings!AL2:AL651)*-1,0)</f>
        <v>-0.18182036623573317</v>
      </c>
      <c r="AF530" s="118">
        <f>(VLOOKUP($A530,Pitchers!$A1:$S251,14,FALSE)-AVERAGE(Rankings!AM2:AM651))/STDEV(Rankings!AM2:AM651)</f>
        <v>-0.13848912927399359</v>
      </c>
      <c r="AG530" s="118">
        <f>(VLOOKUP($A530,Pitchers!$A1:$S251,15,FALSE)-AVERAGE(Rankings!AN2:AN651))/STDEV(Rankings!AN2:AN651)</f>
        <v>-0.20139365816508598</v>
      </c>
      <c r="AH530" s="118">
        <f>(VLOOKUP($A530,Pitchers!$A1:$S251,16,FALSE)-AVERAGE(Rankings!AO2:AO651))/STDEV(Rankings!AO2:AO651)*-1</f>
        <v>3.2560952285152558E-2</v>
      </c>
      <c r="AI530" s="118">
        <f>IFERROR((VLOOKUP($A530,Pitchers!$A1:$S251,17,FALSE)-AVERAGE(Rankings!AP2:AP651))/STDEV(Rankings!AP2:AP651),0)</f>
        <v>-0.43394448614136572</v>
      </c>
      <c r="AJ530" s="118">
        <f>(VLOOKUP($A530,Pitchers!$A1:$S251,18,FALSE)-AVERAGE(Rankings!AQ2:AQ651))/STDEV(Rankings!AQ2:AQ651)</f>
        <v>-0.45520627618847853</v>
      </c>
      <c r="AK530" s="118">
        <f>IFERROR((VLOOKUP($A530,Pitchers!$A1:$S251,19,FALSE)-AVERAGE(Rankings!AR2:AR651))/STDEV(Rankings!AR2:AR651)*-1,0)</f>
        <v>0.47686441955275594</v>
      </c>
    </row>
    <row r="531" spans="1:37" ht="18.600000000000001" customHeight="1">
      <c r="A531" s="26" t="s">
        <v>752</v>
      </c>
      <c r="B531" s="27" t="s">
        <v>68</v>
      </c>
      <c r="C531" s="127" t="s">
        <v>31</v>
      </c>
      <c r="D531" s="67">
        <f>(V531*Settings!$G$2)+(Y531*Settings!$G$5)+(Z531*Settings!$G$6)+(AA531*Settings!$G$7)+(AB531*Settings!$G$8)+(AC531*Settings!$G$9)+(AD531*Settings!$G$10)+(AE531*Settings!$G$11)+(AF531*Settings!$G$12)+(AG531*Settings!$G$13)+(AH531*Settings!$G$14)+(AI531*Settings!$G$15)+(AJ531*Settings!$G$16)+(AK531*Settings!$G$17)+(W531*Settings!$G$3)+(X531*Settings!$G$4)</f>
        <v>-1.0670009460831562</v>
      </c>
      <c r="E531" s="67"/>
      <c r="F531" s="67"/>
      <c r="G531" s="67"/>
      <c r="H531" s="67"/>
      <c r="I531" s="67"/>
      <c r="J531" s="67"/>
      <c r="K531" s="72"/>
      <c r="L531" s="72"/>
      <c r="M531" s="67"/>
      <c r="N531" s="67"/>
      <c r="O531" s="67"/>
      <c r="P531" s="67"/>
      <c r="Q531" s="67"/>
      <c r="R531" s="72"/>
      <c r="S531" s="72"/>
      <c r="T531" s="67"/>
      <c r="U531" s="67"/>
      <c r="V531" s="118">
        <f>(VLOOKUP($A531,Pitchers!$A1:$S251,4,FALSE)-AVERAGE(Rankings!AC2:AC651))/STDEV(Rankings!AC2:AC651)</f>
        <v>-0.20986089737991673</v>
      </c>
      <c r="W531" s="118">
        <f>(VLOOKUP($A531,Pitchers!$A1:$S251,5,FALSE)-AVERAGE(Rankings!AD2:AD651))/STDEV(Rankings!AD2:AD651)*-1</f>
        <v>-0.10932408542044529</v>
      </c>
      <c r="X531" s="118">
        <f>(VLOOKUP($A531,Pitchers!$A1:$S251,6,FALSE)-AVERAGE(Rankings!AE2:AE651))/STDEV(Rankings!AE2:AE651)*-1</f>
        <v>0.10670394234926826</v>
      </c>
      <c r="Y531" s="118">
        <f>(VLOOKUP($A531,Pitchers!$A1:$S251,7,FALSE)-AVERAGE(Rankings!AF2:AF651))/STDEV(Rankings!AF2:AF651)</f>
        <v>-0.27247951370371348</v>
      </c>
      <c r="Z531" s="118">
        <f>(VLOOKUP($A531,Pitchers!$A1:$S251,8,FALSE)-AVERAGE(Rankings!AG2:AG651))/STDEV(Rankings!AG2:AG651)</f>
        <v>-0.30918841431106536</v>
      </c>
      <c r="AA531" s="118">
        <f>(VLOOKUP($A531,Pitchers!$A1:$S251,9,FALSE)-AVERAGE(Rankings!AH2:AH651))/STDEV(Rankings!AH2:AH651)</f>
        <v>-0.48271287499720011</v>
      </c>
      <c r="AB531" s="118">
        <f>(VLOOKUP($A531,Pitchers!$A1:$S251,10,FALSE)-AVERAGE(Rankings!AI2:AI651))/STDEV(Rankings!AI2:AI651)*-1</f>
        <v>0.19249303816112578</v>
      </c>
      <c r="AC531" s="118">
        <f>(VLOOKUP($A531,Pitchers!$A1:$S251,11,FALSE)-AVERAGE(Rankings!AJ2:AJ651))/STDEV(Rankings!AJ2:AJ651)*-1</f>
        <v>0.27989411536327119</v>
      </c>
      <c r="AD531" s="118">
        <f>(VLOOKUP($A531,Pitchers!$A1:$S251,12,FALSE)-AVERAGE(Rankings!AK2:AK651))/STDEV(Rankings!AK2:AK651)*-1</f>
        <v>2.0523616090967346E-2</v>
      </c>
      <c r="AE531" s="118">
        <f>IFERROR((VLOOKUP($A531,Pitchers!$A1:$S251,13,FALSE)-AVERAGE(Rankings!AL2:AL651))/STDEV(Rankings!AL2:AL651)*-1,0)</f>
        <v>0.30111834104616153</v>
      </c>
      <c r="AF531" s="118">
        <f>(VLOOKUP($A531,Pitchers!$A1:$S251,14,FALSE)-AVERAGE(Rankings!AM2:AM651))/STDEV(Rankings!AM2:AM651)</f>
        <v>-0.31553463562061229</v>
      </c>
      <c r="AG531" s="118">
        <f>(VLOOKUP($A531,Pitchers!$A1:$S251,15,FALSE)-AVERAGE(Rankings!AN2:AN651))/STDEV(Rankings!AN2:AN651)</f>
        <v>-0.14162312915058323</v>
      </c>
      <c r="AH531" s="118">
        <f>(VLOOKUP($A531,Pitchers!$A1:$S251,16,FALSE)-AVERAGE(Rankings!AO2:AO651))/STDEV(Rankings!AO2:AO651)*-1</f>
        <v>0.13911100021108969</v>
      </c>
      <c r="AI531" s="118">
        <f>IFERROR((VLOOKUP($A531,Pitchers!$A1:$S251,17,FALSE)-AVERAGE(Rankings!AP2:AP651))/STDEV(Rankings!AP2:AP651),0)</f>
        <v>0.10981831774808683</v>
      </c>
      <c r="AJ531" s="118">
        <f>(VLOOKUP($A531,Pitchers!$A1:$S251,18,FALSE)-AVERAGE(Rankings!AQ2:AQ651))/STDEV(Rankings!AQ2:AQ651)</f>
        <v>-0.69471541349839372</v>
      </c>
      <c r="AK531" s="118">
        <f>IFERROR((VLOOKUP($A531,Pitchers!$A1:$S251,19,FALSE)-AVERAGE(Rankings!AR2:AR651))/STDEV(Rankings!AR2:AR651)*-1,0)</f>
        <v>0.47686441955275594</v>
      </c>
    </row>
    <row r="532" spans="1:37" ht="18.600000000000001" customHeight="1">
      <c r="A532" s="26" t="s">
        <v>553</v>
      </c>
      <c r="B532" s="27" t="s">
        <v>137</v>
      </c>
      <c r="C532" s="127" t="s">
        <v>31</v>
      </c>
      <c r="D532" s="67">
        <f>(V532*Settings!$G$2)+(Y532*Settings!$G$5)+(Z532*Settings!$G$6)+(AA532*Settings!$G$7)+(AB532*Settings!$G$8)+(AC532*Settings!$G$9)+(AD532*Settings!$G$10)+(AE532*Settings!$G$11)+(AF532*Settings!$G$12)+(AG532*Settings!$G$13)+(AH532*Settings!$G$14)+(AI532*Settings!$G$15)+(AJ532*Settings!$G$16)+(AK532*Settings!$G$17)+(W532*Settings!$G$3)+(X532*Settings!$G$4)</f>
        <v>-4.1073558652718312</v>
      </c>
      <c r="E532" s="67"/>
      <c r="F532" s="67"/>
      <c r="G532" s="67"/>
      <c r="H532" s="67"/>
      <c r="I532" s="67"/>
      <c r="J532" s="67"/>
      <c r="K532" s="72"/>
      <c r="L532" s="72"/>
      <c r="M532" s="67"/>
      <c r="N532" s="67"/>
      <c r="O532" s="67"/>
      <c r="P532" s="67"/>
      <c r="Q532" s="67"/>
      <c r="R532" s="72"/>
      <c r="S532" s="72"/>
      <c r="T532" s="67"/>
      <c r="U532" s="67"/>
      <c r="V532" s="118">
        <f>(VLOOKUP($A532,Pitchers!$A1:$S251,4,FALSE)-AVERAGE(Rankings!AC2:AC651))/STDEV(Rankings!AC2:AC651)</f>
        <v>-0.17593533079908763</v>
      </c>
      <c r="W532" s="118">
        <f>(VLOOKUP($A532,Pitchers!$A1:$S251,5,FALSE)-AVERAGE(Rankings!AD2:AD651))/STDEV(Rankings!AD2:AD651)*-1</f>
        <v>-1.4934124548888337</v>
      </c>
      <c r="X532" s="118">
        <f>(VLOOKUP($A532,Pitchers!$A1:$S251,6,FALSE)-AVERAGE(Rankings!AE2:AE651))/STDEV(Rankings!AE2:AE651)*-1</f>
        <v>-1.1931180356818254</v>
      </c>
      <c r="Y532" s="118">
        <f>(VLOOKUP($A532,Pitchers!$A1:$S251,7,FALSE)-AVERAGE(Rankings!AF2:AF651))/STDEV(Rankings!AF2:AF651)</f>
        <v>-0.52442466554897826</v>
      </c>
      <c r="Z532" s="118">
        <f>(VLOOKUP($A532,Pitchers!$A1:$S251,8,FALSE)-AVERAGE(Rankings!AG2:AG651))/STDEV(Rankings!AG2:AG651)</f>
        <v>-0.41368783415499394</v>
      </c>
      <c r="AA532" s="118">
        <f>(VLOOKUP($A532,Pitchers!$A1:$S251,9,FALSE)-AVERAGE(Rankings!AH2:AH651))/STDEV(Rankings!AH2:AH651)</f>
        <v>-0.48271287499720011</v>
      </c>
      <c r="AB532" s="118">
        <f>(VLOOKUP($A532,Pitchers!$A1:$S251,10,FALSE)-AVERAGE(Rankings!AI2:AI651))/STDEV(Rankings!AI2:AI651)*-1</f>
        <v>-0.16747889285593881</v>
      </c>
      <c r="AC532" s="118">
        <f>(VLOOKUP($A532,Pitchers!$A1:$S251,11,FALSE)-AVERAGE(Rankings!AJ2:AJ651))/STDEV(Rankings!AJ2:AJ651)*-1</f>
        <v>-3.1849176595065372E-2</v>
      </c>
      <c r="AD532" s="118">
        <f>(VLOOKUP($A532,Pitchers!$A1:$S251,12,FALSE)-AVERAGE(Rankings!AK2:AK651))/STDEV(Rankings!AK2:AK651)*-1</f>
        <v>3.3411301172067295E-2</v>
      </c>
      <c r="AE532" s="118">
        <f>IFERROR((VLOOKUP($A532,Pitchers!$A1:$S251,13,FALSE)-AVERAGE(Rankings!AL2:AL651))/STDEV(Rankings!AL2:AL651)*-1,0)</f>
        <v>-3.1330445414324451E-3</v>
      </c>
      <c r="AF532" s="118">
        <f>(VLOOKUP($A532,Pitchers!$A1:$S251,14,FALSE)-AVERAGE(Rankings!AM2:AM651))/STDEV(Rankings!AM2:AM651)</f>
        <v>-1.2016831723887236</v>
      </c>
      <c r="AG532" s="118">
        <f>(VLOOKUP($A532,Pitchers!$A1:$S251,15,FALSE)-AVERAGE(Rankings!AN2:AN651))/STDEV(Rankings!AN2:AN651)</f>
        <v>0.4006085787099547</v>
      </c>
      <c r="AH532" s="118">
        <f>(VLOOKUP($A532,Pitchers!$A1:$S251,16,FALSE)-AVERAGE(Rankings!AO2:AO651))/STDEV(Rankings!AO2:AO651)*-1</f>
        <v>-0.30471977496241753</v>
      </c>
      <c r="AI532" s="118">
        <f>IFERROR((VLOOKUP($A532,Pitchers!$A1:$S251,17,FALSE)-AVERAGE(Rankings!AP2:AP651))/STDEV(Rankings!AP2:AP651),0)</f>
        <v>-2.6122383224276315E-2</v>
      </c>
      <c r="AJ532" s="118">
        <f>(VLOOKUP($A532,Pitchers!$A1:$S251,18,FALSE)-AVERAGE(Rankings!AQ2:AQ651))/STDEV(Rankings!AQ2:AQ651)</f>
        <v>-0.69471541349839372</v>
      </c>
      <c r="AK532" s="118">
        <f>IFERROR((VLOOKUP($A532,Pitchers!$A1:$S251,19,FALSE)-AVERAGE(Rankings!AR2:AR651))/STDEV(Rankings!AR2:AR651)*-1,0)</f>
        <v>0.47686441955275594</v>
      </c>
    </row>
    <row r="533" spans="1:37" ht="18.600000000000001" customHeight="1">
      <c r="A533" s="26" t="s">
        <v>524</v>
      </c>
      <c r="B533" s="27" t="s">
        <v>63</v>
      </c>
      <c r="C533" s="127" t="s">
        <v>31</v>
      </c>
      <c r="D533" s="67">
        <f>(V533*Settings!$G$2)+(Y533*Settings!$G$5)+(Z533*Settings!$G$6)+(AA533*Settings!$G$7)+(AB533*Settings!$G$8)+(AC533*Settings!$G$9)+(AD533*Settings!$G$10)+(AE533*Settings!$G$11)+(AF533*Settings!$G$12)+(AG533*Settings!$G$13)+(AH533*Settings!$G$14)+(AI533*Settings!$G$15)+(AJ533*Settings!$G$16)+(AK533*Settings!$G$17)+(W533*Settings!$G$3)+(X533*Settings!$G$4)</f>
        <v>-0.48896418230794125</v>
      </c>
      <c r="E533" s="67"/>
      <c r="F533" s="67"/>
      <c r="G533" s="67"/>
      <c r="H533" s="67"/>
      <c r="I533" s="67"/>
      <c r="J533" s="67"/>
      <c r="K533" s="72"/>
      <c r="L533" s="72"/>
      <c r="M533" s="67"/>
      <c r="N533" s="67"/>
      <c r="O533" s="67"/>
      <c r="P533" s="67"/>
      <c r="Q533" s="67"/>
      <c r="R533" s="72"/>
      <c r="S533" s="72"/>
      <c r="T533" s="67"/>
      <c r="U533" s="67"/>
      <c r="V533" s="118">
        <f>(VLOOKUP($A533,Pitchers!$A1:$S251,4,FALSE)-AVERAGE(Rankings!AC2:AC651))/STDEV(Rankings!AC2:AC651)</f>
        <v>2.3655122690961653E-2</v>
      </c>
      <c r="W533" s="118">
        <f>(VLOOKUP($A533,Pitchers!$A1:$S251,5,FALSE)-AVERAGE(Rankings!AD2:AD651))/STDEV(Rankings!AD2:AD651)*-1</f>
        <v>-0.11112424947685912</v>
      </c>
      <c r="X533" s="118">
        <f>(VLOOKUP($A533,Pitchers!$A1:$S251,6,FALSE)-AVERAGE(Rankings!AE2:AE651))/STDEV(Rankings!AE2:AE651)*-1</f>
        <v>0.29004185722733855</v>
      </c>
      <c r="Y533" s="118">
        <f>(VLOOKUP($A533,Pitchers!$A1:$S251,7,FALSE)-AVERAGE(Rankings!AF2:AF651))/STDEV(Rankings!AF2:AF651)</f>
        <v>3.9080782459426809E-3</v>
      </c>
      <c r="Z533" s="118">
        <f>(VLOOKUP($A533,Pitchers!$A1:$S251,8,FALSE)-AVERAGE(Rankings!AG2:AG651))/STDEV(Rankings!AG2:AG651)</f>
        <v>-0.26963940310859424</v>
      </c>
      <c r="AA533" s="118">
        <f>(VLOOKUP($A533,Pitchers!$A1:$S251,9,FALSE)-AVERAGE(Rankings!AH2:AH651))/STDEV(Rankings!AH2:AH651)</f>
        <v>-0.40215046519576914</v>
      </c>
      <c r="AB533" s="118">
        <f>(VLOOKUP($A533,Pitchers!$A1:$S251,10,FALSE)-AVERAGE(Rankings!AI2:AI651))/STDEV(Rankings!AI2:AI651)*-1</f>
        <v>-2.8940004077148182E-2</v>
      </c>
      <c r="AC533" s="118">
        <f>(VLOOKUP($A533,Pitchers!$A1:$S251,11,FALSE)-AVERAGE(Rankings!AJ2:AJ651))/STDEV(Rankings!AJ2:AJ651)*-1</f>
        <v>2.9446885020059963E-2</v>
      </c>
      <c r="AD533" s="118">
        <f>(VLOOKUP($A533,Pitchers!$A1:$S251,12,FALSE)-AVERAGE(Rankings!AK2:AK651))/STDEV(Rankings!AK2:AK651)*-1</f>
        <v>1.8621896707048793E-2</v>
      </c>
      <c r="AE533" s="118">
        <f>IFERROR((VLOOKUP($A533,Pitchers!$A1:$S251,13,FALSE)-AVERAGE(Rankings!AL2:AL651))/STDEV(Rankings!AL2:AL651)*-1,0)</f>
        <v>-0.10599898919247566</v>
      </c>
      <c r="AF533" s="118">
        <f>(VLOOKUP($A533,Pitchers!$A1:$S251,14,FALSE)-AVERAGE(Rankings!AM2:AM651))/STDEV(Rankings!AM2:AM651)</f>
        <v>0.32620750347060157</v>
      </c>
      <c r="AG533" s="118">
        <f>(VLOOKUP($A533,Pitchers!$A1:$S251,15,FALSE)-AVERAGE(Rankings!AN2:AN651))/STDEV(Rankings!AN2:AN651)</f>
        <v>-9.5843458689008051E-2</v>
      </c>
      <c r="AH533" s="118">
        <f>(VLOOKUP($A533,Pitchers!$A1:$S251,16,FALSE)-AVERAGE(Rankings!AO2:AO651))/STDEV(Rankings!AO2:AO651)*-1</f>
        <v>7.1923146249158992E-2</v>
      </c>
      <c r="AI533" s="118">
        <f>IFERROR((VLOOKUP($A533,Pitchers!$A1:$S251,17,FALSE)-AVERAGE(Rankings!AP2:AP651))/STDEV(Rankings!AP2:AP651),0)</f>
        <v>-5.3310523418748847E-2</v>
      </c>
      <c r="AJ533" s="118">
        <f>(VLOOKUP($A533,Pitchers!$A1:$S251,18,FALSE)-AVERAGE(Rankings!AQ2:AQ651))/STDEV(Rankings!AQ2:AQ651)</f>
        <v>0.65451939334746201</v>
      </c>
      <c r="AK533" s="118">
        <f>IFERROR((VLOOKUP($A533,Pitchers!$A1:$S251,19,FALSE)-AVERAGE(Rankings!AR2:AR651))/STDEV(Rankings!AR2:AR651)*-1,0)</f>
        <v>0.47686441955275594</v>
      </c>
    </row>
    <row r="534" spans="1:37" ht="18.600000000000001" customHeight="1">
      <c r="A534" s="26" t="s">
        <v>552</v>
      </c>
      <c r="B534" s="27" t="s">
        <v>103</v>
      </c>
      <c r="C534" s="127" t="s">
        <v>31</v>
      </c>
      <c r="D534" s="67">
        <f>(V534*Settings!$G$2)+(Y534*Settings!$G$5)+(Z534*Settings!$G$6)+(AA534*Settings!$G$7)+(AB534*Settings!$G$8)+(AC534*Settings!$G$9)+(AD534*Settings!$G$10)+(AE534*Settings!$G$11)+(AF534*Settings!$G$12)+(AG534*Settings!$G$13)+(AH534*Settings!$G$14)+(AI534*Settings!$G$15)+(AJ534*Settings!$G$16)+(AK534*Settings!$G$17)+(W534*Settings!$G$3)+(X534*Settings!$G$4)</f>
        <v>-2.664902946431186</v>
      </c>
      <c r="E534" s="67"/>
      <c r="F534" s="67"/>
      <c r="G534" s="67"/>
      <c r="H534" s="67"/>
      <c r="I534" s="67"/>
      <c r="J534" s="67"/>
      <c r="K534" s="72"/>
      <c r="L534" s="72"/>
      <c r="M534" s="67"/>
      <c r="N534" s="67"/>
      <c r="O534" s="67"/>
      <c r="P534" s="67"/>
      <c r="Q534" s="67"/>
      <c r="R534" s="72"/>
      <c r="S534" s="72"/>
      <c r="T534" s="67"/>
      <c r="U534" s="67"/>
      <c r="V534" s="118">
        <f>(VLOOKUP($A534,Pitchers!$A1:$S251,4,FALSE)-AVERAGE(Rankings!AC2:AC651))/STDEV(Rankings!AC2:AC651)</f>
        <v>-4.6406555490986837E-2</v>
      </c>
      <c r="W534" s="118">
        <f>(VLOOKUP($A534,Pitchers!$A1:$S251,5,FALSE)-AVERAGE(Rankings!AD2:AD651))/STDEV(Rankings!AD2:AD651)*-1</f>
        <v>-1.3485473481493719</v>
      </c>
      <c r="X534" s="118">
        <f>(VLOOKUP($A534,Pitchers!$A1:$S251,6,FALSE)-AVERAGE(Rankings!AE2:AE651))/STDEV(Rankings!AE2:AE651)*-1</f>
        <v>-0.84387528957717417</v>
      </c>
      <c r="Y534" s="118">
        <f>(VLOOKUP($A534,Pitchers!$A1:$S251,7,FALSE)-AVERAGE(Rankings!AF2:AF651))/STDEV(Rankings!AF2:AF651)</f>
        <v>-2.5105568204895019E-2</v>
      </c>
      <c r="Z534" s="118">
        <f>(VLOOKUP($A534,Pitchers!$A1:$S251,8,FALSE)-AVERAGE(Rankings!AG2:AG651))/STDEV(Rankings!AG2:AG651)</f>
        <v>3.5338134497455348E-2</v>
      </c>
      <c r="AA534" s="118">
        <f>(VLOOKUP($A534,Pitchers!$A1:$S251,9,FALSE)-AVERAGE(Rankings!AH2:AH651))/STDEV(Rankings!AH2:AH651)</f>
        <v>-0.48271287499720011</v>
      </c>
      <c r="AB534" s="118">
        <f>(VLOOKUP($A534,Pitchers!$A1:$S251,10,FALSE)-AVERAGE(Rankings!AI2:AI651))/STDEV(Rankings!AI2:AI651)*-1</f>
        <v>-0.27323154608849576</v>
      </c>
      <c r="AC534" s="118">
        <f>(VLOOKUP($A534,Pitchers!$A1:$S251,11,FALSE)-AVERAGE(Rankings!AJ2:AJ651))/STDEV(Rankings!AJ2:AJ651)*-1</f>
        <v>-5.4470566960881463E-2</v>
      </c>
      <c r="AD534" s="118">
        <f>(VLOOKUP($A534,Pitchers!$A1:$S251,12,FALSE)-AVERAGE(Rankings!AK2:AK651))/STDEV(Rankings!AK2:AK651)*-1</f>
        <v>-0.23143455641681737</v>
      </c>
      <c r="AE534" s="118">
        <f>IFERROR((VLOOKUP($A534,Pitchers!$A1:$S251,13,FALSE)-AVERAGE(Rankings!AL2:AL651))/STDEV(Rankings!AL2:AL651)*-1,0)</f>
        <v>-0.29289626891056908</v>
      </c>
      <c r="AF534" s="118">
        <f>(VLOOKUP($A534,Pitchers!$A1:$S251,14,FALSE)-AVERAGE(Rankings!AM2:AM651))/STDEV(Rankings!AM2:AM651)</f>
        <v>-0.83870091878051933</v>
      </c>
      <c r="AG534" s="118">
        <f>(VLOOKUP($A534,Pitchers!$A1:$S251,15,FALSE)-AVERAGE(Rankings!AN2:AN651))/STDEV(Rankings!AN2:AN651)</f>
        <v>0.42583165601514017</v>
      </c>
      <c r="AH534" s="118">
        <f>(VLOOKUP($A534,Pitchers!$A1:$S251,16,FALSE)-AVERAGE(Rankings!AO2:AO651))/STDEV(Rankings!AO2:AO651)*-1</f>
        <v>-0.23735944790132596</v>
      </c>
      <c r="AI534" s="118">
        <f>IFERROR((VLOOKUP($A534,Pitchers!$A1:$S251,17,FALSE)-AVERAGE(Rankings!AP2:AP651))/STDEV(Rankings!AP2:AP651),0)</f>
        <v>0.24575901872044997</v>
      </c>
      <c r="AJ534" s="118">
        <f>(VLOOKUP($A534,Pitchers!$A1:$S251,18,FALSE)-AVERAGE(Rankings!AQ2:AQ651))/STDEV(Rankings!AQ2:AQ651)</f>
        <v>-0.69471541349839372</v>
      </c>
      <c r="AK534" s="118">
        <f>IFERROR((VLOOKUP($A534,Pitchers!$A1:$S251,19,FALSE)-AVERAGE(Rankings!AR2:AR651))/STDEV(Rankings!AR2:AR651)*-1,0)</f>
        <v>0.47686441955275594</v>
      </c>
    </row>
    <row r="535" spans="1:37" ht="18.600000000000001" customHeight="1">
      <c r="A535" s="26" t="s">
        <v>470</v>
      </c>
      <c r="B535" s="27" t="s">
        <v>63</v>
      </c>
      <c r="C535" s="127" t="s">
        <v>31</v>
      </c>
      <c r="D535" s="67">
        <f>(V535*Settings!$G$2)+(Y535*Settings!$G$5)+(Z535*Settings!$G$6)+(AA535*Settings!$G$7)+(AB535*Settings!$G$8)+(AC535*Settings!$G$9)+(AD535*Settings!$G$10)+(AE535*Settings!$G$11)+(AF535*Settings!$G$12)+(AG535*Settings!$G$13)+(AH535*Settings!$G$14)+(AI535*Settings!$G$15)+(AJ535*Settings!$G$16)+(AK535*Settings!$G$17)+(W535*Settings!$G$3)+(X535*Settings!$G$4)</f>
        <v>-2.2368705874713344</v>
      </c>
      <c r="E535" s="67"/>
      <c r="F535" s="67"/>
      <c r="G535" s="67"/>
      <c r="H535" s="67"/>
      <c r="I535" s="67"/>
      <c r="J535" s="67"/>
      <c r="K535" s="72"/>
      <c r="L535" s="72"/>
      <c r="M535" s="67"/>
      <c r="N535" s="67"/>
      <c r="O535" s="67"/>
      <c r="P535" s="67"/>
      <c r="Q535" s="67"/>
      <c r="R535" s="72"/>
      <c r="S535" s="72"/>
      <c r="T535" s="67"/>
      <c r="U535" s="67"/>
      <c r="V535" s="118">
        <f>(VLOOKUP($A535,Pitchers!$A1:$S251,4,FALSE)-AVERAGE(Rankings!AC2:AC651))/STDEV(Rankings!AC2:AC651)</f>
        <v>-0.97454339718382499</v>
      </c>
      <c r="W535" s="118">
        <f>(VLOOKUP($A535,Pitchers!$A1:$S251,5,FALSE)-AVERAGE(Rankings!AD2:AD651))/STDEV(Rankings!AD2:AD651)*-1</f>
        <v>-0.28465912741626131</v>
      </c>
      <c r="X535" s="118">
        <f>(VLOOKUP($A535,Pitchers!$A1:$S251,6,FALSE)-AVERAGE(Rankings!AE2:AE651))/STDEV(Rankings!AE2:AE651)*-1</f>
        <v>0.26042208632034936</v>
      </c>
      <c r="Y535" s="118">
        <f>(VLOOKUP($A535,Pitchers!$A1:$S251,7,FALSE)-AVERAGE(Rankings!AF2:AF651))/STDEV(Rankings!AF2:AF651)</f>
        <v>-1.0176860331460356</v>
      </c>
      <c r="Z535" s="118">
        <f>(VLOOKUP($A535,Pitchers!$A1:$S251,8,FALSE)-AVERAGE(Rankings!AG2:AG651))/STDEV(Rankings!AG2:AG651)</f>
        <v>-0.71223463823218613</v>
      </c>
      <c r="AA535" s="118">
        <f>(VLOOKUP($A535,Pitchers!$A1:$S251,9,FALSE)-AVERAGE(Rankings!AH2:AH651))/STDEV(Rankings!AH2:AH651)</f>
        <v>-0.48271287499720011</v>
      </c>
      <c r="AB535" s="118">
        <f>(VLOOKUP($A535,Pitchers!$A1:$S251,10,FALSE)-AVERAGE(Rankings!AI2:AI651))/STDEV(Rankings!AI2:AI651)*-1</f>
        <v>0.88981581606157412</v>
      </c>
      <c r="AC535" s="118">
        <f>(VLOOKUP($A535,Pitchers!$A1:$S251,11,FALSE)-AVERAGE(Rankings!AJ2:AJ651))/STDEV(Rankings!AJ2:AJ651)*-1</f>
        <v>0.92525866367129661</v>
      </c>
      <c r="AD535" s="118">
        <f>(VLOOKUP($A535,Pitchers!$A1:$S251,12,FALSE)-AVERAGE(Rankings!AK2:AK651))/STDEV(Rankings!AK2:AK651)*-1</f>
        <v>1.1205346878302171</v>
      </c>
      <c r="AE535" s="118">
        <f>IFERROR((VLOOKUP($A535,Pitchers!$A1:$S251,13,FALSE)-AVERAGE(Rankings!AL2:AL651))/STDEV(Rankings!AL2:AL651)*-1,0)</f>
        <v>0.69712808101731538</v>
      </c>
      <c r="AF535" s="118">
        <f>(VLOOKUP($A535,Pitchers!$A1:$S251,14,FALSE)-AVERAGE(Rankings!AM2:AM651))/STDEV(Rankings!AM2:AM651)</f>
        <v>0.17771669553654945</v>
      </c>
      <c r="AG535" s="118">
        <f>(VLOOKUP($A535,Pitchers!$A1:$S251,15,FALSE)-AVERAGE(Rankings!AN2:AN651))/STDEV(Rankings!AN2:AN651)</f>
        <v>-0.76611988215725024</v>
      </c>
      <c r="AH535" s="118">
        <f>(VLOOKUP($A535,Pitchers!$A1:$S251,16,FALSE)-AVERAGE(Rankings!AO2:AO651))/STDEV(Rankings!AO2:AO651)*-1</f>
        <v>1.0231314517980454</v>
      </c>
      <c r="AI535" s="118">
        <f>IFERROR((VLOOKUP($A535,Pitchers!$A1:$S251,17,FALSE)-AVERAGE(Rankings!AP2:AP651))/STDEV(Rankings!AP2:AP651),0)</f>
        <v>-0.84176658905845514</v>
      </c>
      <c r="AJ535" s="118">
        <f>(VLOOKUP($A535,Pitchers!$A1:$S251,18,FALSE)-AVERAGE(Rankings!AQ2:AQ651))/STDEV(Rankings!AQ2:AQ651)</f>
        <v>0.26332113574126703</v>
      </c>
      <c r="AK535" s="118">
        <f>IFERROR((VLOOKUP($A535,Pitchers!$A1:$S251,19,FALSE)-AVERAGE(Rankings!AR2:AR651))/STDEV(Rankings!AR2:AR651)*-1,0)</f>
        <v>0.47686441955275594</v>
      </c>
    </row>
    <row r="536" spans="1:37" ht="18.600000000000001" customHeight="1">
      <c r="A536" s="26" t="s">
        <v>645</v>
      </c>
      <c r="B536" s="27" t="s">
        <v>176</v>
      </c>
      <c r="C536" s="127" t="s">
        <v>31</v>
      </c>
      <c r="D536" s="67">
        <f>(V536*Settings!$G$2)+(Y536*Settings!$G$5)+(Z536*Settings!$G$6)+(AA536*Settings!$G$7)+(AB536*Settings!$G$8)+(AC536*Settings!$G$9)+(AD536*Settings!$G$10)+(AE536*Settings!$G$11)+(AF536*Settings!$G$12)+(AG536*Settings!$G$13)+(AH536*Settings!$G$14)+(AI536*Settings!$G$15)+(AJ536*Settings!$G$16)+(AK536*Settings!$G$17)+(W536*Settings!$G$3)+(X536*Settings!$G$4)</f>
        <v>-5.2149493113800638</v>
      </c>
      <c r="E536" s="67"/>
      <c r="F536" s="67"/>
      <c r="G536" s="67"/>
      <c r="H536" s="67"/>
      <c r="I536" s="67"/>
      <c r="J536" s="67"/>
      <c r="K536" s="72"/>
      <c r="L536" s="72"/>
      <c r="M536" s="67"/>
      <c r="N536" s="67"/>
      <c r="O536" s="67"/>
      <c r="P536" s="67"/>
      <c r="Q536" s="67"/>
      <c r="R536" s="72"/>
      <c r="S536" s="72"/>
      <c r="T536" s="67"/>
      <c r="U536" s="67"/>
      <c r="V536" s="118">
        <f>(VLOOKUP($A536,Pitchers!$A1:$S251,4,FALSE)-AVERAGE(Rankings!AC2:AC651))/STDEV(Rankings!AC2:AC651)</f>
        <v>1.1775825304848038</v>
      </c>
      <c r="W536" s="118">
        <f>(VLOOKUP($A536,Pitchers!$A1:$S251,5,FALSE)-AVERAGE(Rankings!AD2:AD651))/STDEV(Rankings!AD2:AD651)*-1</f>
        <v>-2.8455429278720836</v>
      </c>
      <c r="X536" s="118">
        <f>(VLOOKUP($A536,Pitchers!$A1:$S251,6,FALSE)-AVERAGE(Rankings!AE2:AE651))/STDEV(Rankings!AE2:AE651)*-1</f>
        <v>-2.4792491323797745</v>
      </c>
      <c r="Y536" s="118">
        <f>(VLOOKUP($A536,Pitchers!$A1:$S251,7,FALSE)-AVERAGE(Rankings!AF2:AF651))/STDEV(Rankings!AF2:AF651)</f>
        <v>0.24645229158951859</v>
      </c>
      <c r="Z536" s="118">
        <f>(VLOOKUP($A536,Pitchers!$A1:$S251,8,FALSE)-AVERAGE(Rankings!AG2:AG651))/STDEV(Rankings!AG2:AG651)</f>
        <v>0.34610333227947626</v>
      </c>
      <c r="AA536" s="118">
        <f>(VLOOKUP($A536,Pitchers!$A1:$S251,9,FALSE)-AVERAGE(Rankings!AH2:AH651))/STDEV(Rankings!AH2:AH651)</f>
        <v>-0.48271287499720011</v>
      </c>
      <c r="AB536" s="118">
        <f>(VLOOKUP($A536,Pitchers!$A1:$S251,10,FALSE)-AVERAGE(Rankings!AI2:AI651))/STDEV(Rankings!AI2:AI651)*-1</f>
        <v>-2.172351782211412</v>
      </c>
      <c r="AC536" s="118">
        <f>(VLOOKUP($A536,Pitchers!$A1:$S251,11,FALSE)-AVERAGE(Rankings!AJ2:AJ651))/STDEV(Rankings!AJ2:AJ651)*-1</f>
        <v>-1.9197735385388275</v>
      </c>
      <c r="AD536" s="118">
        <f>(VLOOKUP($A536,Pitchers!$A1:$S251,12,FALSE)-AVERAGE(Rankings!AK2:AK651))/STDEV(Rankings!AK2:AK651)*-1</f>
        <v>-1.284118748033553</v>
      </c>
      <c r="AE536" s="118">
        <f>IFERROR((VLOOKUP($A536,Pitchers!$A1:$S251,13,FALSE)-AVERAGE(Rankings!AL2:AL651))/STDEV(Rankings!AL2:AL651)*-1,0)</f>
        <v>-1.6258071010085988</v>
      </c>
      <c r="AF536" s="118">
        <f>(VLOOKUP($A536,Pitchers!$A1:$S251,14,FALSE)-AVERAGE(Rankings!AM2:AM651))/STDEV(Rankings!AM2:AM651)</f>
        <v>-0.65467702813012196</v>
      </c>
      <c r="AG536" s="118">
        <f>(VLOOKUP($A536,Pitchers!$A1:$S251,15,FALSE)-AVERAGE(Rankings!AN2:AN651))/STDEV(Rankings!AN2:AN651)</f>
        <v>1.0899247731388917</v>
      </c>
      <c r="AH536" s="118">
        <f>(VLOOKUP($A536,Pitchers!$A1:$S251,16,FALSE)-AVERAGE(Rankings!AO2:AO651))/STDEV(Rankings!AO2:AO651)*-1</f>
        <v>-2.0122034566532427</v>
      </c>
      <c r="AI536" s="118">
        <f>IFERROR((VLOOKUP($A536,Pitchers!$A1:$S251,17,FALSE)-AVERAGE(Rankings!AP2:AP651))/STDEV(Rankings!AP2:AP651),0)</f>
        <v>0.38169971969281308</v>
      </c>
      <c r="AJ536" s="118">
        <f>(VLOOKUP($A536,Pitchers!$A1:$S251,18,FALSE)-AVERAGE(Rankings!AQ2:AQ651))/STDEV(Rankings!AQ2:AQ651)</f>
        <v>-0.69471541349839372</v>
      </c>
      <c r="AK536" s="118">
        <f>IFERROR((VLOOKUP($A536,Pitchers!$A1:$S251,19,FALSE)-AVERAGE(Rankings!AR2:AR651))/STDEV(Rankings!AR2:AR651)*-1,0)</f>
        <v>0.47686441955275594</v>
      </c>
    </row>
    <row r="537" spans="1:37" ht="20.100000000000001" customHeight="1">
      <c r="A537" s="26" t="s">
        <v>554</v>
      </c>
      <c r="B537" s="27" t="s">
        <v>134</v>
      </c>
      <c r="C537" s="127" t="s">
        <v>31</v>
      </c>
      <c r="D537" s="67">
        <f>(V537*Settings!$G$2)+(Y537*Settings!$G$5)+(Z537*Settings!$G$6)+(AA537*Settings!$G$7)+(AB537*Settings!$G$8)+(AC537*Settings!$G$9)+(AD537*Settings!$G$10)+(AE537*Settings!$G$11)+(AF537*Settings!$G$12)+(AG537*Settings!$G$13)+(AH537*Settings!$G$14)+(AI537*Settings!$G$15)+(AJ537*Settings!$G$16)+(AK537*Settings!$G$17)+(W537*Settings!$G$3)+(X537*Settings!$G$4)</f>
        <v>-3.377402090455222</v>
      </c>
      <c r="E537" s="67"/>
      <c r="F537" s="67"/>
      <c r="G537" s="67"/>
      <c r="H537" s="67"/>
      <c r="I537" s="67"/>
      <c r="J537" s="67"/>
      <c r="K537" s="72"/>
      <c r="L537" s="72"/>
      <c r="M537" s="67"/>
      <c r="N537" s="67"/>
      <c r="O537" s="67"/>
      <c r="P537" s="67"/>
      <c r="Q537" s="67"/>
      <c r="R537" s="72"/>
      <c r="S537" s="72"/>
      <c r="T537" s="67"/>
      <c r="U537" s="67"/>
      <c r="V537" s="118">
        <f>(VLOOKUP($A537,Pitchers!$A1:$S251,4,FALSE)-AVERAGE(Rankings!AC2:AC651))/STDEV(Rankings!AC2:AC651)</f>
        <v>-0.19364259816369367</v>
      </c>
      <c r="W537" s="118">
        <f>(VLOOKUP($A537,Pitchers!$A1:$S251,5,FALSE)-AVERAGE(Rankings!AD2:AD651))/STDEV(Rankings!AD2:AD651)*-1</f>
        <v>-0.90011101427320628</v>
      </c>
      <c r="X537" s="118">
        <f>(VLOOKUP($A537,Pitchers!$A1:$S251,6,FALSE)-AVERAGE(Rankings!AE2:AE651))/STDEV(Rankings!AE2:AE651)*-1</f>
        <v>-1.0792943361076643</v>
      </c>
      <c r="Y537" s="118">
        <f>(VLOOKUP($A537,Pitchers!$A1:$S251,7,FALSE)-AVERAGE(Rankings!AF2:AF651))/STDEV(Rankings!AF2:AF651)</f>
        <v>-0.38608397991006138</v>
      </c>
      <c r="Z537" s="118">
        <f>(VLOOKUP($A537,Pitchers!$A1:$S251,8,FALSE)-AVERAGE(Rankings!AG2:AG651))/STDEV(Rankings!AG2:AG651)</f>
        <v>-0.52919988516708993</v>
      </c>
      <c r="AA537" s="118">
        <f>(VLOOKUP($A537,Pitchers!$A1:$S251,9,FALSE)-AVERAGE(Rankings!AH2:AH651))/STDEV(Rankings!AH2:AH651)</f>
        <v>-0.48271287499720011</v>
      </c>
      <c r="AB537" s="118">
        <f>(VLOOKUP($A537,Pitchers!$A1:$S251,10,FALSE)-AVERAGE(Rankings!AI2:AI651))/STDEV(Rankings!AI2:AI651)*-1</f>
        <v>-8.6524055640532765E-3</v>
      </c>
      <c r="AC537" s="118">
        <f>(VLOOKUP($A537,Pitchers!$A1:$S251,11,FALSE)-AVERAGE(Rankings!AJ2:AJ651))/STDEV(Rankings!AJ2:AJ651)*-1</f>
        <v>5.1097147068316145E-3</v>
      </c>
      <c r="AD537" s="118">
        <f>(VLOOKUP($A537,Pitchers!$A1:$S251,12,FALSE)-AVERAGE(Rankings!AK2:AK651))/STDEV(Rankings!AK2:AK651)*-1</f>
        <v>6.802730896611929E-2</v>
      </c>
      <c r="AE537" s="118">
        <f>IFERROR((VLOOKUP($A537,Pitchers!$A1:$S251,13,FALSE)-AVERAGE(Rankings!AL2:AL651))/STDEV(Rankings!AL2:AL651)*-1,0)</f>
        <v>0.15140734178877413</v>
      </c>
      <c r="AF537" s="118">
        <f>(VLOOKUP($A537,Pitchers!$A1:$S251,14,FALSE)-AVERAGE(Rankings!AM2:AM651))/STDEV(Rankings!AM2:AM651)</f>
        <v>-0.67833977287592895</v>
      </c>
      <c r="AG537" s="118">
        <f>(VLOOKUP($A537,Pitchers!$A1:$S251,15,FALSE)-AVERAGE(Rankings!AN2:AN651))/STDEV(Rankings!AN2:AN651)</f>
        <v>0.12740870561562848</v>
      </c>
      <c r="AH537" s="118">
        <f>(VLOOKUP($A537,Pitchers!$A1:$S251,16,FALSE)-AVERAGE(Rankings!AO2:AO651))/STDEV(Rankings!AO2:AO651)*-1</f>
        <v>-0.29600030161596064</v>
      </c>
      <c r="AI537" s="118">
        <f>IFERROR((VLOOKUP($A537,Pitchers!$A1:$S251,17,FALSE)-AVERAGE(Rankings!AP2:AP651))/STDEV(Rankings!AP2:AP651),0)</f>
        <v>-0.16206308419663945</v>
      </c>
      <c r="AJ537" s="118">
        <f>(VLOOKUP($A537,Pitchers!$A1:$S251,18,FALSE)-AVERAGE(Rankings!AQ2:AQ651))/STDEV(Rankings!AQ2:AQ651)</f>
        <v>-0.37536989708517349</v>
      </c>
      <c r="AK537" s="118">
        <f>IFERROR((VLOOKUP($A537,Pitchers!$A1:$S251,19,FALSE)-AVERAGE(Rankings!AR2:AR651))/STDEV(Rankings!AR2:AR651)*-1,0)</f>
        <v>0.47686441955275594</v>
      </c>
    </row>
    <row r="538" spans="1:37" ht="20.100000000000001" customHeight="1">
      <c r="A538" s="26" t="s">
        <v>547</v>
      </c>
      <c r="B538" s="27" t="s">
        <v>117</v>
      </c>
      <c r="C538" s="127" t="s">
        <v>31</v>
      </c>
      <c r="D538" s="67">
        <f>(V538*Settings!$G$2)+(Y538*Settings!$G$5)+(Z538*Settings!$G$6)+(AA538*Settings!$G$7)+(AB538*Settings!$G$8)+(AC538*Settings!$G$9)+(AD538*Settings!$G$10)+(AE538*Settings!$G$11)+(AF538*Settings!$G$12)+(AG538*Settings!$G$13)+(AH538*Settings!$G$14)+(AI538*Settings!$G$15)+(AJ538*Settings!$G$16)+(AK538*Settings!$G$17)+(W538*Settings!$G$3)+(X538*Settings!$G$4)</f>
        <v>-3.8620425361043949</v>
      </c>
      <c r="E538" s="67"/>
      <c r="F538" s="67"/>
      <c r="G538" s="67"/>
      <c r="H538" s="67"/>
      <c r="I538" s="67"/>
      <c r="J538" s="67"/>
      <c r="K538" s="72"/>
      <c r="L538" s="72"/>
      <c r="M538" s="67"/>
      <c r="N538" s="67"/>
      <c r="O538" s="67"/>
      <c r="P538" s="67"/>
      <c r="Q538" s="67"/>
      <c r="R538" s="72"/>
      <c r="S538" s="72"/>
      <c r="T538" s="67"/>
      <c r="U538" s="67"/>
      <c r="V538" s="118">
        <f>(VLOOKUP($A538,Pitchers!$A1:$S251,4,FALSE)-AVERAGE(Rankings!AC2:AC651))/STDEV(Rankings!AC2:AC651)</f>
        <v>0.34174453358994317</v>
      </c>
      <c r="W538" s="118">
        <f>(VLOOKUP($A538,Pitchers!$A1:$S251,5,FALSE)-AVERAGE(Rankings!AD2:AD651))/STDEV(Rankings!AD2:AD651)*-1</f>
        <v>-1.4910234598513774</v>
      </c>
      <c r="X538" s="118">
        <f>(VLOOKUP($A538,Pitchers!$A1:$S251,6,FALSE)-AVERAGE(Rankings!AE2:AE651))/STDEV(Rankings!AE2:AE651)*-1</f>
        <v>-1.0745791184457349</v>
      </c>
      <c r="Y538" s="118">
        <f>(VLOOKUP($A538,Pitchers!$A1:$S251,7,FALSE)-AVERAGE(Rankings!AF2:AF651))/STDEV(Rankings!AF2:AF651)</f>
        <v>-0.71610980159841664</v>
      </c>
      <c r="Z538" s="118">
        <f>(VLOOKUP($A538,Pitchers!$A1:$S251,8,FALSE)-AVERAGE(Rankings!AG2:AG651))/STDEV(Rankings!AG2:AG651)</f>
        <v>-9.761728121166581E-2</v>
      </c>
      <c r="AA538" s="118">
        <f>(VLOOKUP($A538,Pitchers!$A1:$S251,9,FALSE)-AVERAGE(Rankings!AH2:AH651))/STDEV(Rankings!AH2:AH651)</f>
        <v>-0.48271287499720011</v>
      </c>
      <c r="AB538" s="118">
        <f>(VLOOKUP($A538,Pitchers!$A1:$S251,10,FALSE)-AVERAGE(Rankings!AI2:AI651))/STDEV(Rankings!AI2:AI651)*-1</f>
        <v>-0.73475992329839723</v>
      </c>
      <c r="AC538" s="118">
        <f>(VLOOKUP($A538,Pitchers!$A1:$S251,11,FALSE)-AVERAGE(Rankings!AJ2:AJ651))/STDEV(Rankings!AJ2:AJ651)*-1</f>
        <v>-0.85643838681024542</v>
      </c>
      <c r="AD538" s="118">
        <f>(VLOOKUP($A538,Pitchers!$A1:$S251,12,FALSE)-AVERAGE(Rankings!AK2:AK651))/STDEV(Rankings!AK2:AK651)*-1</f>
        <v>0.51355615388865661</v>
      </c>
      <c r="AE538" s="118">
        <f>IFERROR((VLOOKUP($A538,Pitchers!$A1:$S251,13,FALSE)-AVERAGE(Rankings!AL2:AL651))/STDEV(Rankings!AL2:AL651)*-1,0)</f>
        <v>-0.48124236475050819</v>
      </c>
      <c r="AF538" s="118">
        <f>(VLOOKUP($A538,Pitchers!$A1:$S251,14,FALSE)-AVERAGE(Rankings!AM2:AM651))/STDEV(Rankings!AM2:AM651)</f>
        <v>-1.063178184430484</v>
      </c>
      <c r="AG538" s="118">
        <f>(VLOOKUP($A538,Pitchers!$A1:$S251,15,FALSE)-AVERAGE(Rankings!AN2:AN651))/STDEV(Rankings!AN2:AN651)</f>
        <v>0.59440087623361193</v>
      </c>
      <c r="AH538" s="118">
        <f>(VLOOKUP($A538,Pitchers!$A1:$S251,16,FALSE)-AVERAGE(Rankings!AO2:AO651))/STDEV(Rankings!AO2:AO651)*-1</f>
        <v>-0.73130324021985582</v>
      </c>
      <c r="AI538" s="118">
        <f>IFERROR((VLOOKUP($A538,Pitchers!$A1:$S251,17,FALSE)-AVERAGE(Rankings!AP2:AP651))/STDEV(Rankings!AP2:AP651),0)</f>
        <v>0.24575901872044997</v>
      </c>
      <c r="AJ538" s="118">
        <f>(VLOOKUP($A538,Pitchers!$A1:$S251,18,FALSE)-AVERAGE(Rankings!AQ2:AQ651))/STDEV(Rankings!AQ2:AQ651)</f>
        <v>-0.69471541349839372</v>
      </c>
      <c r="AK538" s="118">
        <f>IFERROR((VLOOKUP($A538,Pitchers!$A1:$S251,19,FALSE)-AVERAGE(Rankings!AR2:AR651))/STDEV(Rankings!AR2:AR651)*-1,0)</f>
        <v>0.47686441955275594</v>
      </c>
    </row>
    <row r="539" spans="1:37" ht="20.100000000000001" customHeight="1">
      <c r="A539" s="26" t="s">
        <v>490</v>
      </c>
      <c r="B539" s="27" t="s">
        <v>76</v>
      </c>
      <c r="C539" s="127" t="s">
        <v>31</v>
      </c>
      <c r="D539" s="67">
        <f>(V539*Settings!$G$2)+(Y539*Settings!$G$5)+(Z539*Settings!$G$6)+(AA539*Settings!$G$7)+(AB539*Settings!$G$8)+(AC539*Settings!$G$9)+(AD539*Settings!$G$10)+(AE539*Settings!$G$11)+(AF539*Settings!$G$12)+(AG539*Settings!$G$13)+(AH539*Settings!$G$14)+(AI539*Settings!$G$15)+(AJ539*Settings!$G$16)+(AK539*Settings!$G$17)+(W539*Settings!$G$3)+(X539*Settings!$G$4)</f>
        <v>-2.5615802273418837</v>
      </c>
      <c r="E539" s="67"/>
      <c r="F539" s="67"/>
      <c r="G539" s="67"/>
      <c r="H539" s="67"/>
      <c r="I539" s="67"/>
      <c r="J539" s="67"/>
      <c r="K539" s="72"/>
      <c r="L539" s="72"/>
      <c r="M539" s="67"/>
      <c r="N539" s="67"/>
      <c r="O539" s="67"/>
      <c r="P539" s="67"/>
      <c r="Q539" s="67"/>
      <c r="R539" s="72"/>
      <c r="S539" s="72"/>
      <c r="T539" s="67"/>
      <c r="U539" s="67"/>
      <c r="V539" s="118">
        <f>(VLOOKUP($A539,Pitchers!$A1:$S251,4,FALSE)-AVERAGE(Rankings!AC2:AC651))/STDEV(Rankings!AC2:AC651)</f>
        <v>-1.0045575589748659</v>
      </c>
      <c r="W539" s="118">
        <f>(VLOOKUP($A539,Pitchers!$A1:$S251,5,FALSE)-AVERAGE(Rankings!AD2:AD651))/STDEV(Rankings!AD2:AD651)*-1</f>
        <v>-0.69212144717628932</v>
      </c>
      <c r="X539" s="118">
        <f>(VLOOKUP($A539,Pitchers!$A1:$S251,6,FALSE)-AVERAGE(Rankings!AE2:AE651))/STDEV(Rankings!AE2:AE651)*-1</f>
        <v>0.62705184348189436</v>
      </c>
      <c r="Y539" s="118">
        <f>(VLOOKUP($A539,Pitchers!$A1:$S251,7,FALSE)-AVERAGE(Rankings!AF2:AF651))/STDEV(Rankings!AF2:AF651)</f>
        <v>-1.012662406634196</v>
      </c>
      <c r="Z539" s="118">
        <f>(VLOOKUP($A539,Pitchers!$A1:$S251,8,FALSE)-AVERAGE(Rankings!AG2:AG651))/STDEV(Rankings!AG2:AG651)</f>
        <v>-1.0011353420160927</v>
      </c>
      <c r="AA539" s="118">
        <f>(VLOOKUP($A539,Pitchers!$A1:$S251,9,FALSE)-AVERAGE(Rankings!AH2:AH651))/STDEV(Rankings!AH2:AH651)</f>
        <v>-0.48271287499720011</v>
      </c>
      <c r="AB539" s="118">
        <f>(VLOOKUP($A539,Pitchers!$A1:$S251,10,FALSE)-AVERAGE(Rankings!AI2:AI651))/STDEV(Rankings!AI2:AI651)*-1</f>
        <v>0.85908091264585607</v>
      </c>
      <c r="AC539" s="118">
        <f>(VLOOKUP($A539,Pitchers!$A1:$S251,11,FALSE)-AVERAGE(Rankings!AJ2:AJ651))/STDEV(Rankings!AJ2:AJ651)*-1</f>
        <v>0.93802670977239877</v>
      </c>
      <c r="AD539" s="118">
        <f>(VLOOKUP($A539,Pitchers!$A1:$S251,12,FALSE)-AVERAGE(Rankings!AK2:AK651))/STDEV(Rankings!AK2:AK651)*-1</f>
        <v>1.3557349405602912</v>
      </c>
      <c r="AE539" s="118">
        <f>IFERROR((VLOOKUP($A539,Pitchers!$A1:$S251,13,FALSE)-AVERAGE(Rankings!AL2:AL651))/STDEV(Rankings!AL2:AL651)*-1,0)</f>
        <v>0.59329625895170801</v>
      </c>
      <c r="AF539" s="118">
        <f>(VLOOKUP($A539,Pitchers!$A1:$S251,14,FALSE)-AVERAGE(Rankings!AM2:AM651))/STDEV(Rankings!AM2:AM651)</f>
        <v>1.0456399595925085</v>
      </c>
      <c r="AG539" s="118">
        <f>(VLOOKUP($A539,Pitchers!$A1:$S251,15,FALSE)-AVERAGE(Rankings!AN2:AN651))/STDEV(Rankings!AN2:AN651)</f>
        <v>-1.1077916013943583</v>
      </c>
      <c r="AH539" s="118">
        <f>(VLOOKUP($A539,Pitchers!$A1:$S251,16,FALSE)-AVERAGE(Rankings!AO2:AO651))/STDEV(Rankings!AO2:AO651)*-1</f>
        <v>1.0229398150212001</v>
      </c>
      <c r="AI539" s="118">
        <f>IFERROR((VLOOKUP($A539,Pitchers!$A1:$S251,17,FALSE)-AVERAGE(Rankings!AP2:AP651))/STDEV(Rankings!AP2:AP651),0)</f>
        <v>-1.1136479910031813</v>
      </c>
      <c r="AJ539" s="118">
        <f>(VLOOKUP($A539,Pitchers!$A1:$S251,18,FALSE)-AVERAGE(Rankings!AQ2:AQ651))/STDEV(Rankings!AQ2:AQ651)</f>
        <v>1.2213576849809278</v>
      </c>
      <c r="AK539" s="118">
        <f>IFERROR((VLOOKUP($A539,Pitchers!$A1:$S251,19,FALSE)-AVERAGE(Rankings!AR2:AR651))/STDEV(Rankings!AR2:AR651)*-1,0)</f>
        <v>0.47686441955275594</v>
      </c>
    </row>
    <row r="540" spans="1:37" ht="20.100000000000001" customHeight="1">
      <c r="A540" s="26" t="s">
        <v>541</v>
      </c>
      <c r="B540" s="27" t="s">
        <v>95</v>
      </c>
      <c r="C540" s="127" t="s">
        <v>31</v>
      </c>
      <c r="D540" s="67">
        <f>(V540*Settings!$G$2)+(Y540*Settings!$G$5)+(Z540*Settings!$G$6)+(AA540*Settings!$G$7)+(AB540*Settings!$G$8)+(AC540*Settings!$G$9)+(AD540*Settings!$G$10)+(AE540*Settings!$G$11)+(AF540*Settings!$G$12)+(AG540*Settings!$G$13)+(AH540*Settings!$G$14)+(AI540*Settings!$G$15)+(AJ540*Settings!$G$16)+(AK540*Settings!$G$17)+(W540*Settings!$G$3)+(X540*Settings!$G$4)</f>
        <v>-2.2287641327136596</v>
      </c>
      <c r="E540" s="67"/>
      <c r="F540" s="67"/>
      <c r="G540" s="67"/>
      <c r="H540" s="67"/>
      <c r="I540" s="67"/>
      <c r="J540" s="67"/>
      <c r="K540" s="72"/>
      <c r="L540" s="72"/>
      <c r="M540" s="67"/>
      <c r="N540" s="67"/>
      <c r="O540" s="67"/>
      <c r="P540" s="67"/>
      <c r="Q540" s="67"/>
      <c r="R540" s="72"/>
      <c r="S540" s="72"/>
      <c r="T540" s="67"/>
      <c r="U540" s="67"/>
      <c r="V540" s="118">
        <f>(VLOOKUP($A540,Pitchers!$A1:$S251,4,FALSE)-AVERAGE(Rankings!AC2:AC651))/STDEV(Rankings!AC2:AC651)</f>
        <v>-0.81593965537827839</v>
      </c>
      <c r="W540" s="118">
        <f>(VLOOKUP($A540,Pitchers!$A1:$S251,5,FALSE)-AVERAGE(Rankings!AD2:AD651))/STDEV(Rankings!AD2:AD651)*-1</f>
        <v>-0.35822495612917293</v>
      </c>
      <c r="X540" s="118">
        <f>(VLOOKUP($A540,Pitchers!$A1:$S251,6,FALSE)-AVERAGE(Rankings!AE2:AE651))/STDEV(Rankings!AE2:AE651)*-1</f>
        <v>8.1441099482508952E-2</v>
      </c>
      <c r="Y540" s="118">
        <f>(VLOOKUP($A540,Pitchers!$A1:$S251,7,FALSE)-AVERAGE(Rankings!AF2:AF651))/STDEV(Rankings!AF2:AF651)</f>
        <v>-0.74819050423543065</v>
      </c>
      <c r="Z540" s="118">
        <f>(VLOOKUP($A540,Pitchers!$A1:$S251,8,FALSE)-AVERAGE(Rankings!AG2:AG651))/STDEV(Rankings!AG2:AG651)</f>
        <v>-0.72107689683436482</v>
      </c>
      <c r="AA540" s="118">
        <f>(VLOOKUP($A540,Pitchers!$A1:$S251,9,FALSE)-AVERAGE(Rankings!AH2:AH651))/STDEV(Rankings!AH2:AH651)</f>
        <v>-0.48271287499720011</v>
      </c>
      <c r="AB540" s="118">
        <f>(VLOOKUP($A540,Pitchers!$A1:$S251,10,FALSE)-AVERAGE(Rankings!AI2:AI651))/STDEV(Rankings!AI2:AI651)*-1</f>
        <v>0.72440981441203689</v>
      </c>
      <c r="AC540" s="118">
        <f>(VLOOKUP($A540,Pitchers!$A1:$S251,11,FALSE)-AVERAGE(Rankings!AJ2:AJ651))/STDEV(Rankings!AJ2:AJ651)*-1</f>
        <v>0.73083507073066722</v>
      </c>
      <c r="AD540" s="118">
        <f>(VLOOKUP($A540,Pitchers!$A1:$S251,12,FALSE)-AVERAGE(Rankings!AK2:AK651))/STDEV(Rankings!AK2:AK651)*-1</f>
        <v>1.0295350578063533</v>
      </c>
      <c r="AE540" s="118">
        <f>IFERROR((VLOOKUP($A540,Pitchers!$A1:$S251,13,FALSE)-AVERAGE(Rankings!AL2:AL651))/STDEV(Rankings!AL2:AL651)*-1,0)</f>
        <v>0.5425876946871091</v>
      </c>
      <c r="AF540" s="118">
        <f>(VLOOKUP($A540,Pitchers!$A1:$S251,14,FALSE)-AVERAGE(Rankings!AM2:AM651))/STDEV(Rankings!AM2:AM651)</f>
        <v>-0.4799694576416218</v>
      </c>
      <c r="AG540" s="118">
        <f>(VLOOKUP($A540,Pitchers!$A1:$S251,15,FALSE)-AVERAGE(Rankings!AN2:AN651))/STDEV(Rankings!AN2:AN651)</f>
        <v>-0.42818650657525476</v>
      </c>
      <c r="AH540" s="118">
        <f>(VLOOKUP($A540,Pitchers!$A1:$S251,16,FALSE)-AVERAGE(Rankings!AO2:AO651))/STDEV(Rankings!AO2:AO651)*-1</f>
        <v>0.75694796876004822</v>
      </c>
      <c r="AI540" s="118">
        <f>IFERROR((VLOOKUP($A540,Pitchers!$A1:$S251,17,FALSE)-AVERAGE(Rankings!AP2:AP651))/STDEV(Rankings!AP2:AP651),0)</f>
        <v>-0.56988518711372882</v>
      </c>
      <c r="AJ540" s="118">
        <f>(VLOOKUP($A540,Pitchers!$A1:$S251,18,FALSE)-AVERAGE(Rankings!AQ2:AQ651))/STDEV(Rankings!AQ2:AQ651)</f>
        <v>-0.53504265529178363</v>
      </c>
      <c r="AK540" s="118">
        <f>IFERROR((VLOOKUP($A540,Pitchers!$A1:$S251,19,FALSE)-AVERAGE(Rankings!AR2:AR651))/STDEV(Rankings!AR2:AR651)*-1,0)</f>
        <v>0.47686441955275594</v>
      </c>
    </row>
    <row r="541" spans="1:37" ht="20.100000000000001" customHeight="1">
      <c r="A541" s="26" t="s">
        <v>638</v>
      </c>
      <c r="B541" s="27" t="s">
        <v>140</v>
      </c>
      <c r="C541" s="127" t="s">
        <v>31</v>
      </c>
      <c r="D541" s="67">
        <f>(V541*Settings!$G$2)+(Y541*Settings!$G$5)+(Z541*Settings!$G$6)+(AA541*Settings!$G$7)+(AB541*Settings!$G$8)+(AC541*Settings!$G$9)+(AD541*Settings!$G$10)+(AE541*Settings!$G$11)+(AF541*Settings!$G$12)+(AG541*Settings!$G$13)+(AH541*Settings!$G$14)+(AI541*Settings!$G$15)+(AJ541*Settings!$G$16)+(AK541*Settings!$G$17)+(W541*Settings!$G$3)+(X541*Settings!$G$4)</f>
        <v>-3.9673234681279661</v>
      </c>
      <c r="E541" s="67"/>
      <c r="F541" s="67"/>
      <c r="G541" s="67"/>
      <c r="H541" s="67"/>
      <c r="I541" s="67"/>
      <c r="J541" s="67"/>
      <c r="K541" s="72"/>
      <c r="L541" s="72"/>
      <c r="M541" s="67"/>
      <c r="N541" s="67"/>
      <c r="O541" s="67"/>
      <c r="P541" s="67"/>
      <c r="Q541" s="67"/>
      <c r="R541" s="72"/>
      <c r="S541" s="72"/>
      <c r="T541" s="67"/>
      <c r="U541" s="67"/>
      <c r="V541" s="118">
        <f>(VLOOKUP($A541,Pitchers!$A1:$S251,4,FALSE)-AVERAGE(Rankings!AC2:AC651))/STDEV(Rankings!AC2:AC651)</f>
        <v>0.48851097861585202</v>
      </c>
      <c r="W541" s="118">
        <f>(VLOOKUP($A541,Pitchers!$A1:$S251,5,FALSE)-AVERAGE(Rankings!AD2:AD651))/STDEV(Rankings!AD2:AD651)*-1</f>
        <v>-1.7174627918555287</v>
      </c>
      <c r="X541" s="118">
        <f>(VLOOKUP($A541,Pitchers!$A1:$S251,6,FALSE)-AVERAGE(Rankings!AE2:AE651))/STDEV(Rankings!AE2:AE651)*-1</f>
        <v>-1.4608552979199909</v>
      </c>
      <c r="Y541" s="118">
        <f>(VLOOKUP($A541,Pitchers!$A1:$S251,7,FALSE)-AVERAGE(Rankings!AF2:AF651))/STDEV(Rankings!AF2:AF651)</f>
        <v>-6.2697571038523539E-2</v>
      </c>
      <c r="Z541" s="118">
        <f>(VLOOKUP($A541,Pitchers!$A1:$S251,8,FALSE)-AVERAGE(Rankings!AG2:AG651))/STDEV(Rankings!AG2:AG651)</f>
        <v>-0.24359493231672266</v>
      </c>
      <c r="AA541" s="118">
        <f>(VLOOKUP($A541,Pitchers!$A1:$S251,9,FALSE)-AVERAGE(Rankings!AH2:AH651))/STDEV(Rankings!AH2:AH651)</f>
        <v>-0.48271287499720011</v>
      </c>
      <c r="AB541" s="118">
        <f>(VLOOKUP($A541,Pitchers!$A1:$S251,10,FALSE)-AVERAGE(Rankings!AI2:AI651))/STDEV(Rankings!AI2:AI651)*-1</f>
        <v>-0.96579330158441512</v>
      </c>
      <c r="AC541" s="118">
        <f>(VLOOKUP($A541,Pitchers!$A1:$S251,11,FALSE)-AVERAGE(Rankings!AJ2:AJ651))/STDEV(Rankings!AJ2:AJ651)*-1</f>
        <v>-0.63433102663007224</v>
      </c>
      <c r="AD541" s="118">
        <f>(VLOOKUP($A541,Pitchers!$A1:$S251,12,FALSE)-AVERAGE(Rankings!AK2:AK651))/STDEV(Rankings!AK2:AK651)*-1</f>
        <v>-1.2341396766214821</v>
      </c>
      <c r="AE541" s="118">
        <f>IFERROR((VLOOKUP($A541,Pitchers!$A1:$S251,13,FALSE)-AVERAGE(Rankings!AL2:AL651))/STDEV(Rankings!AL2:AL651)*-1,0)</f>
        <v>-0.94003413666830848</v>
      </c>
      <c r="AF541" s="118">
        <f>(VLOOKUP($A541,Pitchers!$A1:$S251,14,FALSE)-AVERAGE(Rankings!AM2:AM651))/STDEV(Rankings!AM2:AM651)</f>
        <v>-0.89693677561001917</v>
      </c>
      <c r="AG541" s="118">
        <f>(VLOOKUP($A541,Pitchers!$A1:$S251,15,FALSE)-AVERAGE(Rankings!AN2:AN651))/STDEV(Rankings!AN2:AN651)</f>
        <v>0.7763336007824283</v>
      </c>
      <c r="AH541" s="118">
        <f>(VLOOKUP($A541,Pitchers!$A1:$S251,16,FALSE)-AVERAGE(Rankings!AO2:AO651))/STDEV(Rankings!AO2:AO651)*-1</f>
        <v>-1.1889318633262189</v>
      </c>
      <c r="AI541" s="118">
        <f>IFERROR((VLOOKUP($A541,Pitchers!$A1:$S251,17,FALSE)-AVERAGE(Rankings!AP2:AP651))/STDEV(Rankings!AP2:AP651),0)</f>
        <v>0.24575901872044997</v>
      </c>
      <c r="AJ541" s="118">
        <f>(VLOOKUP($A541,Pitchers!$A1:$S251,18,FALSE)-AVERAGE(Rankings!AQ2:AQ651))/STDEV(Rankings!AQ2:AQ651)</f>
        <v>-0.69471541349839372</v>
      </c>
      <c r="AK541" s="118">
        <f>IFERROR((VLOOKUP($A541,Pitchers!$A1:$S251,19,FALSE)-AVERAGE(Rankings!AR2:AR651))/STDEV(Rankings!AR2:AR651)*-1,0)</f>
        <v>0.47686441955275594</v>
      </c>
    </row>
    <row r="542" spans="1:37" ht="20.100000000000001" customHeight="1">
      <c r="A542" s="26" t="s">
        <v>540</v>
      </c>
      <c r="B542" s="27" t="s">
        <v>91</v>
      </c>
      <c r="C542" s="127" t="s">
        <v>31</v>
      </c>
      <c r="D542" s="67">
        <f>(V542*Settings!$G$2)+(Y542*Settings!$G$5)+(Z542*Settings!$G$6)+(AA542*Settings!$G$7)+(AB542*Settings!$G$8)+(AC542*Settings!$G$9)+(AD542*Settings!$G$10)+(AE542*Settings!$G$11)+(AF542*Settings!$G$12)+(AG542*Settings!$G$13)+(AH542*Settings!$G$14)+(AI542*Settings!$G$15)+(AJ542*Settings!$G$16)+(AK542*Settings!$G$17)+(W542*Settings!$G$3)+(X542*Settings!$G$4)</f>
        <v>-1.733277655412127</v>
      </c>
      <c r="E542" s="67"/>
      <c r="F542" s="67"/>
      <c r="G542" s="67"/>
      <c r="H542" s="67"/>
      <c r="I542" s="67"/>
      <c r="J542" s="67"/>
      <c r="K542" s="72"/>
      <c r="L542" s="72"/>
      <c r="M542" s="67"/>
      <c r="N542" s="67"/>
      <c r="O542" s="67"/>
      <c r="P542" s="67"/>
      <c r="Q542" s="67"/>
      <c r="R542" s="72"/>
      <c r="S542" s="72"/>
      <c r="T542" s="67"/>
      <c r="U542" s="67"/>
      <c r="V542" s="118">
        <f>(VLOOKUP($A542,Pitchers!$A1:$S251,4,FALSE)-AVERAGE(Rankings!AC2:AC651))/STDEV(Rankings!AC2:AC651)</f>
        <v>-0.20566887936216435</v>
      </c>
      <c r="W542" s="118">
        <f>(VLOOKUP($A542,Pitchers!$A1:$S251,5,FALSE)-AVERAGE(Rankings!AD2:AD651))/STDEV(Rankings!AD2:AD651)*-1</f>
        <v>-0.87225995453234906</v>
      </c>
      <c r="X542" s="118">
        <f>(VLOOKUP($A542,Pitchers!$A1:$S251,6,FALSE)-AVERAGE(Rankings!AE2:AE651))/STDEV(Rankings!AE2:AE651)*-1</f>
        <v>0.20231225438206854</v>
      </c>
      <c r="Y542" s="118">
        <f>(VLOOKUP($A542,Pitchers!$A1:$S251,7,FALSE)-AVERAGE(Rankings!AF2:AF651))/STDEV(Rankings!AF2:AF651)</f>
        <v>-0.4289816374105806</v>
      </c>
      <c r="Z542" s="118">
        <f>(VLOOKUP($A542,Pitchers!$A1:$S251,8,FALSE)-AVERAGE(Rankings!AG2:AG651))/STDEV(Rankings!AG2:AG651)</f>
        <v>-0.15163544285406569</v>
      </c>
      <c r="AA542" s="118">
        <f>(VLOOKUP($A542,Pitchers!$A1:$S251,9,FALSE)-AVERAGE(Rankings!AH2:AH651))/STDEV(Rankings!AH2:AH651)</f>
        <v>-0.48271287499720011</v>
      </c>
      <c r="AB542" s="118">
        <f>(VLOOKUP($A542,Pitchers!$A1:$S251,10,FALSE)-AVERAGE(Rankings!AI2:AI651))/STDEV(Rankings!AI2:AI651)*-1</f>
        <v>1.0271705272698824E-2</v>
      </c>
      <c r="AC542" s="118">
        <f>(VLOOKUP($A542,Pitchers!$A1:$S251,11,FALSE)-AVERAGE(Rankings!AJ2:AJ651))/STDEV(Rankings!AJ2:AJ651)*-1</f>
        <v>4.546712474913283E-2</v>
      </c>
      <c r="AD542" s="118">
        <f>(VLOOKUP($A542,Pitchers!$A1:$S251,12,FALSE)-AVERAGE(Rankings!AK2:AK651))/STDEV(Rankings!AK2:AK651)*-1</f>
        <v>0.84777154809547395</v>
      </c>
      <c r="AE542" s="118">
        <f>IFERROR((VLOOKUP($A542,Pitchers!$A1:$S251,13,FALSE)-AVERAGE(Rankings!AL2:AL651))/STDEV(Rankings!AL2:AL651)*-1,0)</f>
        <v>-0.37499584914849121</v>
      </c>
      <c r="AF542" s="118">
        <f>(VLOOKUP($A542,Pitchers!$A1:$S251,14,FALSE)-AVERAGE(Rankings!AM2:AM651))/STDEV(Rankings!AM2:AM651)</f>
        <v>-0.45974277014183812</v>
      </c>
      <c r="AG542" s="118">
        <f>(VLOOKUP($A542,Pitchers!$A1:$S251,15,FALSE)-AVERAGE(Rankings!AN2:AN651))/STDEV(Rankings!AN2:AN651)</f>
        <v>-2.187207761610608E-3</v>
      </c>
      <c r="AH542" s="118">
        <f>(VLOOKUP($A542,Pitchers!$A1:$S251,16,FALSE)-AVERAGE(Rankings!AO2:AO651))/STDEV(Rankings!AO2:AO651)*-1</f>
        <v>0.22285627169244657</v>
      </c>
      <c r="AI542" s="118">
        <f>IFERROR((VLOOKUP($A542,Pitchers!$A1:$S251,17,FALSE)-AVERAGE(Rankings!AP2:AP651))/STDEV(Rankings!AP2:AP651),0)</f>
        <v>-0.43394448614136572</v>
      </c>
      <c r="AJ542" s="118">
        <f>(VLOOKUP($A542,Pitchers!$A1:$S251,18,FALSE)-AVERAGE(Rankings!AQ2:AQ651))/STDEV(Rankings!AQ2:AQ651)</f>
        <v>-0.37536989708517349</v>
      </c>
      <c r="AK542" s="118">
        <f>IFERROR((VLOOKUP($A542,Pitchers!$A1:$S251,19,FALSE)-AVERAGE(Rankings!AR2:AR651))/STDEV(Rankings!AR2:AR651)*-1,0)</f>
        <v>0.47686441955275594</v>
      </c>
    </row>
    <row r="543" spans="1:37" ht="20.100000000000001" customHeight="1">
      <c r="A543" s="26" t="s">
        <v>668</v>
      </c>
      <c r="B543" s="27" t="s">
        <v>120</v>
      </c>
      <c r="C543" s="127" t="s">
        <v>31</v>
      </c>
      <c r="D543" s="67">
        <f>(V543*Settings!$G$2)+(Y543*Settings!$G$5)+(Z543*Settings!$G$6)+(AA543*Settings!$G$7)+(AB543*Settings!$G$8)+(AC543*Settings!$G$9)+(AD543*Settings!$G$10)+(AE543*Settings!$G$11)+(AF543*Settings!$G$12)+(AG543*Settings!$G$13)+(AH543*Settings!$G$14)+(AI543*Settings!$G$15)+(AJ543*Settings!$G$16)+(AK543*Settings!$G$17)+(W543*Settings!$G$3)+(X543*Settings!$G$4)</f>
        <v>-5.0384119866008099</v>
      </c>
      <c r="E543" s="67"/>
      <c r="F543" s="67"/>
      <c r="G543" s="67"/>
      <c r="H543" s="67"/>
      <c r="I543" s="67"/>
      <c r="J543" s="67"/>
      <c r="K543" s="72"/>
      <c r="L543" s="72"/>
      <c r="M543" s="67"/>
      <c r="N543" s="67"/>
      <c r="O543" s="67"/>
      <c r="P543" s="67"/>
      <c r="Q543" s="67"/>
      <c r="R543" s="72"/>
      <c r="S543" s="72"/>
      <c r="T543" s="67"/>
      <c r="U543" s="67"/>
      <c r="V543" s="118">
        <f>(VLOOKUP($A543,Pitchers!$A1:$S251,4,FALSE)-AVERAGE(Rankings!AC2:AC651))/STDEV(Rankings!AC2:AC651)</f>
        <v>0.67495269799557367</v>
      </c>
      <c r="W543" s="118">
        <f>(VLOOKUP($A543,Pitchers!$A1:$S251,5,FALSE)-AVERAGE(Rankings!AD2:AD651))/STDEV(Rankings!AD2:AD651)*-1</f>
        <v>-2.7458614393601932</v>
      </c>
      <c r="X543" s="118">
        <f>(VLOOKUP($A543,Pitchers!$A1:$S251,6,FALSE)-AVERAGE(Rankings!AE2:AE651))/STDEV(Rankings!AE2:AE651)*-1</f>
        <v>-1.7347993792289327</v>
      </c>
      <c r="Y543" s="118">
        <f>(VLOOKUP($A543,Pitchers!$A1:$S251,7,FALSE)-AVERAGE(Rankings!AF2:AF651))/STDEV(Rankings!AF2:AF651)</f>
        <v>-0.12114790617277515</v>
      </c>
      <c r="Z543" s="118">
        <f>(VLOOKUP($A543,Pitchers!$A1:$S251,8,FALSE)-AVERAGE(Rankings!AG2:AG651))/STDEV(Rankings!AG2:AG651)</f>
        <v>4.6109613158291186E-2</v>
      </c>
      <c r="AA543" s="118">
        <f>(VLOOKUP($A543,Pitchers!$A1:$S251,9,FALSE)-AVERAGE(Rankings!AH2:AH651))/STDEV(Rankings!AH2:AH651)</f>
        <v>-0.48271287499720011</v>
      </c>
      <c r="AB543" s="118">
        <f>(VLOOKUP($A543,Pitchers!$A1:$S251,10,FALSE)-AVERAGE(Rankings!AI2:AI651))/STDEV(Rankings!AI2:AI651)*-1</f>
        <v>-1.5139234816287312</v>
      </c>
      <c r="AC543" s="118">
        <f>(VLOOKUP($A543,Pitchers!$A1:$S251,11,FALSE)-AVERAGE(Rankings!AJ2:AJ651))/STDEV(Rankings!AJ2:AJ651)*-1</f>
        <v>-1.1859294988573597</v>
      </c>
      <c r="AD543" s="118">
        <f>(VLOOKUP($A543,Pitchers!$A1:$S251,12,FALSE)-AVERAGE(Rankings!AK2:AK651))/STDEV(Rankings!AK2:AK651)*-1</f>
        <v>-0.52421682892235433</v>
      </c>
      <c r="AE543" s="118">
        <f>IFERROR((VLOOKUP($A543,Pitchers!$A1:$S251,13,FALSE)-AVERAGE(Rankings!AL2:AL651))/STDEV(Rankings!AL2:AL651)*-1,0)</f>
        <v>-1.5823426173532287</v>
      </c>
      <c r="AF543" s="118">
        <f>(VLOOKUP($A543,Pitchers!$A1:$S251,14,FALSE)-AVERAGE(Rankings!AM2:AM651))/STDEV(Rankings!AM2:AM651)</f>
        <v>-0.85021348171822475</v>
      </c>
      <c r="AG543" s="118">
        <f>(VLOOKUP($A543,Pitchers!$A1:$S251,15,FALSE)-AVERAGE(Rankings!AN2:AN651))/STDEV(Rankings!AN2:AN651)</f>
        <v>0.85273331364208738</v>
      </c>
      <c r="AH543" s="118">
        <f>(VLOOKUP($A543,Pitchers!$A1:$S251,16,FALSE)-AVERAGE(Rankings!AO2:AO651))/STDEV(Rankings!AO2:AO651)*-1</f>
        <v>-1.6239473467648466</v>
      </c>
      <c r="AI543" s="118">
        <f>IFERROR((VLOOKUP($A543,Pitchers!$A1:$S251,17,FALSE)-AVERAGE(Rankings!AP2:AP651))/STDEV(Rankings!AP2:AP651),0)</f>
        <v>0.24575901872044997</v>
      </c>
      <c r="AJ543" s="118">
        <f>(VLOOKUP($A543,Pitchers!$A1:$S251,18,FALSE)-AVERAGE(Rankings!AQ2:AQ651))/STDEV(Rankings!AQ2:AQ651)</f>
        <v>-0.69471541349839372</v>
      </c>
      <c r="AK543" s="118">
        <f>IFERROR((VLOOKUP($A543,Pitchers!$A1:$S251,19,FALSE)-AVERAGE(Rankings!AR2:AR651))/STDEV(Rankings!AR2:AR651)*-1,0)</f>
        <v>0.47686441955275594</v>
      </c>
    </row>
    <row r="544" spans="1:37" ht="20.100000000000001" customHeight="1">
      <c r="A544" s="26" t="s">
        <v>757</v>
      </c>
      <c r="B544" s="27" t="s">
        <v>140</v>
      </c>
      <c r="C544" s="127" t="s">
        <v>31</v>
      </c>
      <c r="D544" s="67">
        <f>(V544*Settings!$G$2)+(Y544*Settings!$G$5)+(Z544*Settings!$G$6)+(AA544*Settings!$G$7)+(AB544*Settings!$G$8)+(AC544*Settings!$G$9)+(AD544*Settings!$G$10)+(AE544*Settings!$G$11)+(AF544*Settings!$G$12)+(AG544*Settings!$G$13)+(AH544*Settings!$G$14)+(AI544*Settings!$G$15)+(AJ544*Settings!$G$16)+(AK544*Settings!$G$17)+(W544*Settings!$G$3)+(X544*Settings!$G$4)</f>
        <v>-3.2034251117554562</v>
      </c>
      <c r="E544" s="67"/>
      <c r="F544" s="67"/>
      <c r="G544" s="67"/>
      <c r="H544" s="67"/>
      <c r="I544" s="67"/>
      <c r="J544" s="67"/>
      <c r="K544" s="72"/>
      <c r="L544" s="72"/>
      <c r="M544" s="67"/>
      <c r="N544" s="67"/>
      <c r="O544" s="67"/>
      <c r="P544" s="67"/>
      <c r="Q544" s="67"/>
      <c r="R544" s="72"/>
      <c r="S544" s="72"/>
      <c r="T544" s="67"/>
      <c r="U544" s="67"/>
      <c r="V544" s="118">
        <f>(VLOOKUP($A544,Pitchers!$A1:$S251,4,FALSE)-AVERAGE(Rankings!AC2:AC651))/STDEV(Rankings!AC2:AC651)</f>
        <v>0.46646279641865529</v>
      </c>
      <c r="W544" s="118">
        <f>(VLOOKUP($A544,Pitchers!$A1:$S251,5,FALSE)-AVERAGE(Rankings!AD2:AD651))/STDEV(Rankings!AD2:AD651)*-1</f>
        <v>-1.2195353582165798</v>
      </c>
      <c r="X544" s="118">
        <f>(VLOOKUP($A544,Pitchers!$A1:$S251,6,FALSE)-AVERAGE(Rankings!AE2:AE651))/STDEV(Rankings!AE2:AE651)*-1</f>
        <v>-1.578802560464768</v>
      </c>
      <c r="Y544" s="118">
        <f>(VLOOKUP($A544,Pitchers!$A1:$S251,7,FALSE)-AVERAGE(Rankings!AF2:AF651))/STDEV(Rankings!AF2:AF651)</f>
        <v>0.12042095980125041</v>
      </c>
      <c r="Z544" s="118">
        <f>(VLOOKUP($A544,Pitchers!$A1:$S251,8,FALSE)-AVERAGE(Rankings!AG2:AG651))/STDEV(Rankings!AG2:AG651)</f>
        <v>-4.2795277878158677E-2</v>
      </c>
      <c r="AA544" s="118">
        <f>(VLOOKUP($A544,Pitchers!$A1:$S251,9,FALSE)-AVERAGE(Rankings!AH2:AH651))/STDEV(Rankings!AH2:AH651)</f>
        <v>-0.48271287499720011</v>
      </c>
      <c r="AB544" s="118">
        <f>(VLOOKUP($A544,Pitchers!$A1:$S251,10,FALSE)-AVERAGE(Rankings!AI2:AI651))/STDEV(Rankings!AI2:AI651)*-1</f>
        <v>-0.78823792316782704</v>
      </c>
      <c r="AC544" s="118">
        <f>(VLOOKUP($A544,Pitchers!$A1:$S251,11,FALSE)-AVERAGE(Rankings!AJ2:AJ651))/STDEV(Rankings!AJ2:AJ651)*-1</f>
        <v>-0.51167754125589759</v>
      </c>
      <c r="AD544" s="118">
        <f>(VLOOKUP($A544,Pitchers!$A1:$S251,12,FALSE)-AVERAGE(Rankings!AK2:AK651))/STDEV(Rankings!AK2:AK651)*-1</f>
        <v>-1.6438737620657202</v>
      </c>
      <c r="AE544" s="118">
        <f>IFERROR((VLOOKUP($A544,Pitchers!$A1:$S251,13,FALSE)-AVERAGE(Rankings!AL2:AL651))/STDEV(Rankings!AL2:AL651)*-1,0)</f>
        <v>-0.37982523622131037</v>
      </c>
      <c r="AF544" s="118">
        <f>(VLOOKUP($A544,Pitchers!$A1:$S251,14,FALSE)-AVERAGE(Rankings!AM2:AM651))/STDEV(Rankings!AM2:AM651)</f>
        <v>-0.88460947744903051</v>
      </c>
      <c r="AG544" s="118">
        <f>(VLOOKUP($A544,Pitchers!$A1:$S251,15,FALSE)-AVERAGE(Rankings!AN2:AN651))/STDEV(Rankings!AN2:AN651)</f>
        <v>0.6047565178529466</v>
      </c>
      <c r="AH544" s="118">
        <f>(VLOOKUP($A544,Pitchers!$A1:$S251,16,FALSE)-AVERAGE(Rankings!AO2:AO651))/STDEV(Rankings!AO2:AO651)*-1</f>
        <v>-1.0126260286286246</v>
      </c>
      <c r="AI544" s="118">
        <f>IFERROR((VLOOKUP($A544,Pitchers!$A1:$S251,17,FALSE)-AVERAGE(Rankings!AP2:AP651))/STDEV(Rankings!AP2:AP651),0)</f>
        <v>0.24575901872044997</v>
      </c>
      <c r="AJ544" s="118">
        <f>(VLOOKUP($A544,Pitchers!$A1:$S251,18,FALSE)-AVERAGE(Rankings!AQ2:AQ651))/STDEV(Rankings!AQ2:AQ651)</f>
        <v>-0.69471541349839372</v>
      </c>
      <c r="AK544" s="118">
        <f>IFERROR((VLOOKUP($A544,Pitchers!$A1:$S251,19,FALSE)-AVERAGE(Rankings!AR2:AR651))/STDEV(Rankings!AR2:AR651)*-1,0)</f>
        <v>0.47686441955275594</v>
      </c>
    </row>
    <row r="545" spans="1:37" ht="20.100000000000001" customHeight="1">
      <c r="A545" s="26" t="s">
        <v>649</v>
      </c>
      <c r="B545" s="27" t="s">
        <v>306</v>
      </c>
      <c r="C545" s="127" t="s">
        <v>31</v>
      </c>
      <c r="D545" s="67">
        <f>(V545*Settings!$G$2)+(Y545*Settings!$G$5)+(Z545*Settings!$G$6)+(AA545*Settings!$G$7)+(AB545*Settings!$G$8)+(AC545*Settings!$G$9)+(AD545*Settings!$G$10)+(AE545*Settings!$G$11)+(AF545*Settings!$G$12)+(AG545*Settings!$G$13)+(AH545*Settings!$G$14)+(AI545*Settings!$G$15)+(AJ545*Settings!$G$16)+(AK545*Settings!$G$17)+(W545*Settings!$G$3)+(X545*Settings!$G$4)</f>
        <v>-3.7206061854716337</v>
      </c>
      <c r="E545" s="67"/>
      <c r="F545" s="67"/>
      <c r="G545" s="67"/>
      <c r="H545" s="67"/>
      <c r="I545" s="67"/>
      <c r="J545" s="67"/>
      <c r="K545" s="72"/>
      <c r="L545" s="72"/>
      <c r="M545" s="67"/>
      <c r="N545" s="67"/>
      <c r="O545" s="67"/>
      <c r="P545" s="67"/>
      <c r="Q545" s="67"/>
      <c r="R545" s="72"/>
      <c r="S545" s="72"/>
      <c r="T545" s="67"/>
      <c r="U545" s="67"/>
      <c r="V545" s="118">
        <f>(VLOOKUP($A545,Pitchers!$A1:$S251,4,FALSE)-AVERAGE(Rankings!AC2:AC651))/STDEV(Rankings!AC2:AC651)</f>
        <v>0.12343889583484501</v>
      </c>
      <c r="W545" s="118">
        <f>(VLOOKUP($A545,Pitchers!$A1:$S251,5,FALSE)-AVERAGE(Rankings!AD2:AD651))/STDEV(Rankings!AD2:AD651)*-1</f>
        <v>-1.2501404054245129</v>
      </c>
      <c r="X545" s="118">
        <f>(VLOOKUP($A545,Pitchers!$A1:$S251,6,FALSE)-AVERAGE(Rankings!AE2:AE651))/STDEV(Rankings!AE2:AE651)*-1</f>
        <v>-1.69470792077383</v>
      </c>
      <c r="Y545" s="118">
        <f>(VLOOKUP($A545,Pitchers!$A1:$S251,7,FALSE)-AVERAGE(Rankings!AF2:AF651))/STDEV(Rankings!AF2:AF651)</f>
        <v>7.7235398559116819E-2</v>
      </c>
      <c r="Z545" s="118">
        <f>(VLOOKUP($A545,Pitchers!$A1:$S251,8,FALSE)-AVERAGE(Rankings!AG2:AG651))/STDEV(Rankings!AG2:AG651)</f>
        <v>-0.37028038283520792</v>
      </c>
      <c r="AA545" s="118">
        <f>(VLOOKUP($A545,Pitchers!$A1:$S251,9,FALSE)-AVERAGE(Rankings!AH2:AH651))/STDEV(Rankings!AH2:AH651)</f>
        <v>-0.48271287499720011</v>
      </c>
      <c r="AB545" s="118">
        <f>(VLOOKUP($A545,Pitchers!$A1:$S251,10,FALSE)-AVERAGE(Rankings!AI2:AI651))/STDEV(Rankings!AI2:AI651)*-1</f>
        <v>-0.43037477174862504</v>
      </c>
      <c r="AC545" s="118">
        <f>(VLOOKUP($A545,Pitchers!$A1:$S251,11,FALSE)-AVERAGE(Rankings!AJ2:AJ651))/STDEV(Rankings!AJ2:AJ651)*-1</f>
        <v>-0.18610416609008254</v>
      </c>
      <c r="AD545" s="118">
        <f>(VLOOKUP($A545,Pitchers!$A1:$S251,12,FALSE)-AVERAGE(Rankings!AK2:AK651))/STDEV(Rankings!AK2:AK651)*-1</f>
        <v>-1.2089143905785977</v>
      </c>
      <c r="AE545" s="118">
        <f>IFERROR((VLOOKUP($A545,Pitchers!$A1:$S251,13,FALSE)-AVERAGE(Rankings!AL2:AL651))/STDEV(Rankings!AL2:AL651)*-1,0)</f>
        <v>-0.21562607574546594</v>
      </c>
      <c r="AF545" s="118">
        <f>(VLOOKUP($A545,Pitchers!$A1:$S251,14,FALSE)-AVERAGE(Rankings!AM2:AM651))/STDEV(Rankings!AM2:AM651)</f>
        <v>-1.0798979681430902</v>
      </c>
      <c r="AG545" s="118">
        <f>(VLOOKUP($A545,Pitchers!$A1:$S251,15,FALSE)-AVERAGE(Rankings!AN2:AN651))/STDEV(Rankings!AN2:AN651)</f>
        <v>0.54490004990384355</v>
      </c>
      <c r="AH545" s="118">
        <f>(VLOOKUP($A545,Pitchers!$A1:$S251,16,FALSE)-AVERAGE(Rankings!AO2:AO651))/STDEV(Rankings!AO2:AO651)*-1</f>
        <v>-0.61478807989796835</v>
      </c>
      <c r="AI545" s="118">
        <f>IFERROR((VLOOKUP($A545,Pitchers!$A1:$S251,17,FALSE)-AVERAGE(Rankings!AP2:AP651))/STDEV(Rankings!AP2:AP651),0)</f>
        <v>0.24575901872044997</v>
      </c>
      <c r="AJ545" s="118">
        <f>(VLOOKUP($A545,Pitchers!$A1:$S251,18,FALSE)-AVERAGE(Rankings!AQ2:AQ651))/STDEV(Rankings!AQ2:AQ651)</f>
        <v>-0.61487903439508862</v>
      </c>
      <c r="AK545" s="118">
        <f>IFERROR((VLOOKUP($A545,Pitchers!$A1:$S251,19,FALSE)-AVERAGE(Rankings!AR2:AR651))/STDEV(Rankings!AR2:AR651)*-1,0)</f>
        <v>0.47686441955275594</v>
      </c>
    </row>
    <row r="546" spans="1:37" ht="20.100000000000001" customHeight="1">
      <c r="A546" s="26" t="s">
        <v>537</v>
      </c>
      <c r="B546" s="27" t="s">
        <v>86</v>
      </c>
      <c r="C546" s="127" t="s">
        <v>31</v>
      </c>
      <c r="D546" s="67">
        <f>(V546*Settings!$G$2)+(Y546*Settings!$G$5)+(Z546*Settings!$G$6)+(AA546*Settings!$G$7)+(AB546*Settings!$G$8)+(AC546*Settings!$G$9)+(AD546*Settings!$G$10)+(AE546*Settings!$G$11)+(AF546*Settings!$G$12)+(AG546*Settings!$G$13)+(AH546*Settings!$G$14)+(AI546*Settings!$G$15)+(AJ546*Settings!$G$16)+(AK546*Settings!$G$17)+(W546*Settings!$G$3)+(X546*Settings!$G$4)</f>
        <v>-3.4907946545726642</v>
      </c>
      <c r="E546" s="67"/>
      <c r="F546" s="67"/>
      <c r="G546" s="67"/>
      <c r="H546" s="67"/>
      <c r="I546" s="67"/>
      <c r="J546" s="67"/>
      <c r="K546" s="72"/>
      <c r="L546" s="72"/>
      <c r="M546" s="67"/>
      <c r="N546" s="67"/>
      <c r="O546" s="67"/>
      <c r="P546" s="67"/>
      <c r="Q546" s="67"/>
      <c r="R546" s="72"/>
      <c r="S546" s="72"/>
      <c r="T546" s="67"/>
      <c r="U546" s="67"/>
      <c r="V546" s="118">
        <f>(VLOOKUP($A546,Pitchers!$A1:$S251,4,FALSE)-AVERAGE(Rankings!AC2:AC651))/STDEV(Rankings!AC2:AC651)</f>
        <v>-1.5499665917272281</v>
      </c>
      <c r="W546" s="118">
        <f>(VLOOKUP($A546,Pitchers!$A1:$S251,5,FALSE)-AVERAGE(Rankings!AD2:AD651))/STDEV(Rankings!AD2:AD651)*-1</f>
        <v>-0.28690951507046802</v>
      </c>
      <c r="X546" s="118">
        <f>(VLOOKUP($A546,Pitchers!$A1:$S251,6,FALSE)-AVERAGE(Rankings!AE2:AE651))/STDEV(Rankings!AE2:AE651)*-1</f>
        <v>0.32668164853396126</v>
      </c>
      <c r="Y546" s="118">
        <f>(VLOOKUP($A546,Pitchers!$A1:$S251,7,FALSE)-AVERAGE(Rankings!AF2:AF651))/STDEV(Rankings!AF2:AF651)</f>
        <v>-1.5771946392471832</v>
      </c>
      <c r="Z546" s="118">
        <f>(VLOOKUP($A546,Pitchers!$A1:$S251,8,FALSE)-AVERAGE(Rankings!AG2:AG651))/STDEV(Rankings!AG2:AG651)</f>
        <v>-1.4706592737917743</v>
      </c>
      <c r="AA546" s="118">
        <f>(VLOOKUP($A546,Pitchers!$A1:$S251,9,FALSE)-AVERAGE(Rankings!AH2:AH651))/STDEV(Rankings!AH2:AH651)</f>
        <v>-0.48271287499720011</v>
      </c>
      <c r="AB546" s="118">
        <f>(VLOOKUP($A546,Pitchers!$A1:$S251,10,FALSE)-AVERAGE(Rankings!AI2:AI651))/STDEV(Rankings!AI2:AI651)*-1</f>
        <v>1.4451213372930254</v>
      </c>
      <c r="AC546" s="118">
        <f>(VLOOKUP($A546,Pitchers!$A1:$S251,11,FALSE)-AVERAGE(Rankings!AJ2:AJ651))/STDEV(Rankings!AJ2:AJ651)*-1</f>
        <v>1.4708625264537039</v>
      </c>
      <c r="AD546" s="118">
        <f>(VLOOKUP($A546,Pitchers!$A1:$S251,12,FALSE)-AVERAGE(Rankings!AK2:AK651))/STDEV(Rankings!AK2:AK651)*-1</f>
        <v>1.6877499982898476</v>
      </c>
      <c r="AE546" s="118">
        <f>IFERROR((VLOOKUP($A546,Pitchers!$A1:$S251,13,FALSE)-AVERAGE(Rankings!AL2:AL651))/STDEV(Rankings!AL2:AL651)*-1,0)</f>
        <v>1.3587541099935114</v>
      </c>
      <c r="AF546" s="118">
        <f>(VLOOKUP($A546,Pitchers!$A1:$S251,14,FALSE)-AVERAGE(Rankings!AM2:AM651))/STDEV(Rankings!AM2:AM651)</f>
        <v>-0.88827578595380696</v>
      </c>
      <c r="AG546" s="118">
        <f>(VLOOKUP($A546,Pitchers!$A1:$S251,15,FALSE)-AVERAGE(Rankings!AN2:AN651))/STDEV(Rankings!AN2:AN651)</f>
        <v>-1.0011198988217469</v>
      </c>
      <c r="AH546" s="118">
        <f>(VLOOKUP($A546,Pitchers!$A1:$S251,16,FALSE)-AVERAGE(Rankings!AO2:AO651))/STDEV(Rankings!AO2:AO651)*-1</f>
        <v>1.3864747806965643</v>
      </c>
      <c r="AI546" s="118">
        <f>IFERROR((VLOOKUP($A546,Pitchers!$A1:$S251,17,FALSE)-AVERAGE(Rankings!AP2:AP651))/STDEV(Rankings!AP2:AP651),0)</f>
        <v>-0.97770729003081824</v>
      </c>
      <c r="AJ546" s="118">
        <f>(VLOOKUP($A546,Pitchers!$A1:$S251,18,FALSE)-AVERAGE(Rankings!AQ2:AQ651))/STDEV(Rankings!AQ2:AQ651)</f>
        <v>-0.37536989708517349</v>
      </c>
      <c r="AK546" s="118">
        <f>IFERROR((VLOOKUP($A546,Pitchers!$A1:$S251,19,FALSE)-AVERAGE(Rankings!AR2:AR651))/STDEV(Rankings!AR2:AR651)*-1,0)</f>
        <v>0.47686441955275594</v>
      </c>
    </row>
    <row r="547" spans="1:37" ht="20.100000000000001" customHeight="1">
      <c r="A547" s="26" t="s">
        <v>634</v>
      </c>
      <c r="B547" s="27" t="s">
        <v>140</v>
      </c>
      <c r="C547" s="127" t="s">
        <v>31</v>
      </c>
      <c r="D547" s="67">
        <f>(V547*Settings!$G$2)+(Y547*Settings!$G$5)+(Z547*Settings!$G$6)+(AA547*Settings!$G$7)+(AB547*Settings!$G$8)+(AC547*Settings!$G$9)+(AD547*Settings!$G$10)+(AE547*Settings!$G$11)+(AF547*Settings!$G$12)+(AG547*Settings!$G$13)+(AH547*Settings!$G$14)+(AI547*Settings!$G$15)+(AJ547*Settings!$G$16)+(AK547*Settings!$G$17)+(W547*Settings!$G$3)+(X547*Settings!$G$4)</f>
        <v>-2.43131068362477</v>
      </c>
      <c r="E547" s="67"/>
      <c r="F547" s="67"/>
      <c r="G547" s="67"/>
      <c r="H547" s="67"/>
      <c r="I547" s="67"/>
      <c r="J547" s="67"/>
      <c r="K547" s="72"/>
      <c r="L547" s="72"/>
      <c r="M547" s="67"/>
      <c r="N547" s="67"/>
      <c r="O547" s="67"/>
      <c r="P547" s="67"/>
      <c r="Q547" s="67"/>
      <c r="R547" s="72"/>
      <c r="S547" s="72"/>
      <c r="T547" s="67"/>
      <c r="U547" s="67"/>
      <c r="V547" s="118">
        <f>(VLOOKUP($A547,Pitchers!$A1:$S251,4,FALSE)-AVERAGE(Rankings!AC2:AC651))/STDEV(Rankings!AC2:AC651)</f>
        <v>0.16529035440552303</v>
      </c>
      <c r="W547" s="118">
        <f>(VLOOKUP($A547,Pitchers!$A1:$S251,5,FALSE)-AVERAGE(Rankings!AD2:AD651))/STDEV(Rankings!AD2:AD651)*-1</f>
        <v>-0.85651756214515473</v>
      </c>
      <c r="X547" s="118">
        <f>(VLOOKUP($A547,Pitchers!$A1:$S251,6,FALSE)-AVERAGE(Rankings!AE2:AE651))/STDEV(Rankings!AE2:AE651)*-1</f>
        <v>-0.65632606713772934</v>
      </c>
      <c r="Y547" s="118">
        <f>(VLOOKUP($A547,Pitchers!$A1:$S251,7,FALSE)-AVERAGE(Rankings!AF2:AF651))/STDEV(Rankings!AF2:AF651)</f>
        <v>-0.17447472982360593</v>
      </c>
      <c r="Z547" s="118">
        <f>(VLOOKUP($A547,Pitchers!$A1:$S251,8,FALSE)-AVERAGE(Rankings!AG2:AG651))/STDEV(Rankings!AG2:AG651)</f>
        <v>-0.26127944952107973</v>
      </c>
      <c r="AA547" s="118">
        <f>(VLOOKUP($A547,Pitchers!$A1:$S251,9,FALSE)-AVERAGE(Rankings!AH2:AH651))/STDEV(Rankings!AH2:AH651)</f>
        <v>-0.48271287499720011</v>
      </c>
      <c r="AB547" s="118">
        <f>(VLOOKUP($A547,Pitchers!$A1:$S251,10,FALSE)-AVERAGE(Rankings!AI2:AI651))/STDEV(Rankings!AI2:AI651)*-1</f>
        <v>-0.36729541906211782</v>
      </c>
      <c r="AC547" s="118">
        <f>(VLOOKUP($A547,Pitchers!$A1:$S251,11,FALSE)-AVERAGE(Rankings!AJ2:AJ651))/STDEV(Rankings!AJ2:AJ651)*-1</f>
        <v>-0.32405098579607683</v>
      </c>
      <c r="AD547" s="118">
        <f>(VLOOKUP($A547,Pitchers!$A1:$S251,12,FALSE)-AVERAGE(Rankings!AK2:AK651))/STDEV(Rankings!AK2:AK651)*-1</f>
        <v>-0.13035659949264169</v>
      </c>
      <c r="AE547" s="118">
        <f>IFERROR((VLOOKUP($A547,Pitchers!$A1:$S251,13,FALSE)-AVERAGE(Rankings!AL2:AL651))/STDEV(Rankings!AL2:AL651)*-1,0)</f>
        <v>-0.32187259134748269</v>
      </c>
      <c r="AF547" s="118">
        <f>(VLOOKUP($A547,Pitchers!$A1:$S251,14,FALSE)-AVERAGE(Rankings!AM2:AM651))/STDEV(Rankings!AM2:AM651)</f>
        <v>-0.65666073128246538</v>
      </c>
      <c r="AG547" s="118">
        <f>(VLOOKUP($A547,Pitchers!$A1:$S251,15,FALSE)-AVERAGE(Rankings!AN2:AN651))/STDEV(Rankings!AN2:AN651)</f>
        <v>0.26508287884529524</v>
      </c>
      <c r="AH547" s="118">
        <f>(VLOOKUP($A547,Pitchers!$A1:$S251,16,FALSE)-AVERAGE(Rankings!AO2:AO651))/STDEV(Rankings!AO2:AO651)*-1</f>
        <v>-0.67342893361260248</v>
      </c>
      <c r="AI547" s="118">
        <f>IFERROR((VLOOKUP($A547,Pitchers!$A1:$S251,17,FALSE)-AVERAGE(Rankings!AP2:AP651))/STDEV(Rankings!AP2:AP651),0)</f>
        <v>0.51764042066517624</v>
      </c>
      <c r="AJ547" s="118">
        <f>(VLOOKUP($A547,Pitchers!$A1:$S251,18,FALSE)-AVERAGE(Rankings!AQ2:AQ651))/STDEV(Rankings!AQ2:AQ651)</f>
        <v>-0.69471541349839372</v>
      </c>
      <c r="AK547" s="118">
        <f>IFERROR((VLOOKUP($A547,Pitchers!$A1:$S251,19,FALSE)-AVERAGE(Rankings!AR2:AR651))/STDEV(Rankings!AR2:AR651)*-1,0)</f>
        <v>0.47686441955275594</v>
      </c>
    </row>
    <row r="548" spans="1:37" ht="20.100000000000001" customHeight="1">
      <c r="A548" s="26" t="s">
        <v>606</v>
      </c>
      <c r="B548" s="27" t="s">
        <v>158</v>
      </c>
      <c r="C548" s="127" t="s">
        <v>31</v>
      </c>
      <c r="D548" s="67">
        <f>(V548*Settings!$G$2)+(Y548*Settings!$G$5)+(Z548*Settings!$G$6)+(AA548*Settings!$G$7)+(AB548*Settings!$G$8)+(AC548*Settings!$G$9)+(AD548*Settings!$G$10)+(AE548*Settings!$G$11)+(AF548*Settings!$G$12)+(AG548*Settings!$G$13)+(AH548*Settings!$G$14)+(AI548*Settings!$G$15)+(AJ548*Settings!$G$16)+(AK548*Settings!$G$17)+(W548*Settings!$G$3)+(X548*Settings!$G$4)</f>
        <v>-5.0363432558902055</v>
      </c>
      <c r="E548" s="67"/>
      <c r="F548" s="67"/>
      <c r="G548" s="67"/>
      <c r="H548" s="67"/>
      <c r="I548" s="67"/>
      <c r="J548" s="67"/>
      <c r="K548" s="72"/>
      <c r="L548" s="72"/>
      <c r="M548" s="67"/>
      <c r="N548" s="67"/>
      <c r="O548" s="67"/>
      <c r="P548" s="67"/>
      <c r="Q548" s="67"/>
      <c r="R548" s="72"/>
      <c r="S548" s="72"/>
      <c r="T548" s="67"/>
      <c r="U548" s="67"/>
      <c r="V548" s="118">
        <f>(VLOOKUP($A548,Pitchers!$A1:$S251,4,FALSE)-AVERAGE(Rankings!AC2:AC651))/STDEV(Rankings!AC2:AC651)</f>
        <v>-0.20365304556127781</v>
      </c>
      <c r="W548" s="118">
        <f>(VLOOKUP($A548,Pitchers!$A1:$S251,5,FALSE)-AVERAGE(Rankings!AD2:AD651))/STDEV(Rankings!AD2:AD651)*-1</f>
        <v>-2.0456615324734186</v>
      </c>
      <c r="X548" s="118">
        <f>(VLOOKUP($A548,Pitchers!$A1:$S251,6,FALSE)-AVERAGE(Rankings!AE2:AE651))/STDEV(Rankings!AE2:AE651)*-1</f>
        <v>-1.2665774028273791</v>
      </c>
      <c r="Y548" s="118">
        <f>(VLOOKUP($A548,Pitchers!$A1:$S251,7,FALSE)-AVERAGE(Rankings!AF2:AF651))/STDEV(Rankings!AF2:AF651)</f>
        <v>-0.81580675440882844</v>
      </c>
      <c r="Z548" s="118">
        <f>(VLOOKUP($A548,Pitchers!$A1:$S251,8,FALSE)-AVERAGE(Rankings!AG2:AG651))/STDEV(Rankings!AG2:AG651)</f>
        <v>-0.42558469118337938</v>
      </c>
      <c r="AA548" s="118">
        <f>(VLOOKUP($A548,Pitchers!$A1:$S251,9,FALSE)-AVERAGE(Rankings!AH2:AH651))/STDEV(Rankings!AH2:AH651)</f>
        <v>-0.48271287499720011</v>
      </c>
      <c r="AB548" s="118">
        <f>(VLOOKUP($A548,Pitchers!$A1:$S251,10,FALSE)-AVERAGE(Rankings!AI2:AI651))/STDEV(Rankings!AI2:AI651)*-1</f>
        <v>-0.26621837961006839</v>
      </c>
      <c r="AC548" s="118">
        <f>(VLOOKUP($A548,Pitchers!$A1:$S251,11,FALSE)-AVERAGE(Rankings!AJ2:AJ651))/STDEV(Rankings!AJ2:AJ651)*-1</f>
        <v>-0.21364632838210909</v>
      </c>
      <c r="AD548" s="118">
        <f>(VLOOKUP($A548,Pitchers!$A1:$S251,12,FALSE)-AVERAGE(Rankings!AK2:AK651))/STDEV(Rankings!AK2:AK651)*-1</f>
        <v>0.71606569324228164</v>
      </c>
      <c r="AE548" s="118">
        <f>IFERROR((VLOOKUP($A548,Pitchers!$A1:$S251,13,FALSE)-AVERAGE(Rankings!AL2:AL651))/STDEV(Rankings!AL2:AL651)*-1,0)</f>
        <v>-0.32670197842030185</v>
      </c>
      <c r="AF548" s="118">
        <f>(VLOOKUP($A548,Pitchers!$A1:$S251,14,FALSE)-AVERAGE(Rankings!AM2:AM651))/STDEV(Rankings!AM2:AM651)</f>
        <v>-1.38701772405049</v>
      </c>
      <c r="AG548" s="118">
        <f>(VLOOKUP($A548,Pitchers!$A1:$S251,15,FALSE)-AVERAGE(Rankings!AN2:AN651))/STDEV(Rankings!AN2:AN651)</f>
        <v>0.20157400617568022</v>
      </c>
      <c r="AH548" s="118">
        <f>(VLOOKUP($A548,Pitchers!$A1:$S251,16,FALSE)-AVERAGE(Rankings!AO2:AO651))/STDEV(Rankings!AO2:AO651)*-1</f>
        <v>-0.23381416752968961</v>
      </c>
      <c r="AI548" s="118">
        <f>IFERROR((VLOOKUP($A548,Pitchers!$A1:$S251,17,FALSE)-AVERAGE(Rankings!AP2:AP651))/STDEV(Rankings!AP2:AP651),0)</f>
        <v>0.10981831774808683</v>
      </c>
      <c r="AJ548" s="118">
        <f>(VLOOKUP($A548,Pitchers!$A1:$S251,18,FALSE)-AVERAGE(Rankings!AQ2:AQ651))/STDEV(Rankings!AQ2:AQ651)</f>
        <v>-0.69471541349839372</v>
      </c>
      <c r="AK548" s="118">
        <f>IFERROR((VLOOKUP($A548,Pitchers!$A1:$S251,19,FALSE)-AVERAGE(Rankings!AR2:AR651))/STDEV(Rankings!AR2:AR651)*-1,0)</f>
        <v>0.47686441955275594</v>
      </c>
    </row>
    <row r="549" spans="1:37" ht="20.100000000000001" customHeight="1">
      <c r="A549" s="26" t="s">
        <v>534</v>
      </c>
      <c r="B549" s="27" t="s">
        <v>140</v>
      </c>
      <c r="C549" s="127" t="s">
        <v>31</v>
      </c>
      <c r="D549" s="67">
        <f>(V549*Settings!$G$2)+(Y549*Settings!$G$5)+(Z549*Settings!$G$6)+(AA549*Settings!$G$7)+(AB549*Settings!$G$8)+(AC549*Settings!$G$9)+(AD549*Settings!$G$10)+(AE549*Settings!$G$11)+(AF549*Settings!$G$12)+(AG549*Settings!$G$13)+(AH549*Settings!$G$14)+(AI549*Settings!$G$15)+(AJ549*Settings!$G$16)+(AK549*Settings!$G$17)+(W549*Settings!$G$3)+(X549*Settings!$G$4)</f>
        <v>-2.446100179489449</v>
      </c>
      <c r="E549" s="67"/>
      <c r="F549" s="67"/>
      <c r="G549" s="67"/>
      <c r="H549" s="67"/>
      <c r="I549" s="67"/>
      <c r="J549" s="67"/>
      <c r="K549" s="72"/>
      <c r="L549" s="72"/>
      <c r="M549" s="67"/>
      <c r="N549" s="67"/>
      <c r="O549" s="67"/>
      <c r="P549" s="67"/>
      <c r="Q549" s="67"/>
      <c r="R549" s="72"/>
      <c r="S549" s="72"/>
      <c r="T549" s="67"/>
      <c r="U549" s="67"/>
      <c r="V549" s="118">
        <f>(VLOOKUP($A549,Pitchers!$A1:$S251,4,FALSE)-AVERAGE(Rankings!AC2:AC651))/STDEV(Rankings!AC2:AC651)</f>
        <v>-0.31928860268485959</v>
      </c>
      <c r="W549" s="118">
        <f>(VLOOKUP($A549,Pitchers!$A1:$S251,5,FALSE)-AVERAGE(Rankings!AD2:AD651))/STDEV(Rankings!AD2:AD651)*-1</f>
        <v>-0.33764289692500921</v>
      </c>
      <c r="X549" s="118">
        <f>(VLOOKUP($A549,Pitchers!$A1:$S251,6,FALSE)-AVERAGE(Rankings!AE2:AE651))/STDEV(Rankings!AE2:AE651)*-1</f>
        <v>-0.47873546529886102</v>
      </c>
      <c r="Y549" s="118">
        <f>(VLOOKUP($A549,Pitchers!$A1:$S251,7,FALSE)-AVERAGE(Rankings!AF2:AF651))/STDEV(Rankings!AF2:AF651)</f>
        <v>-0.62174788138771353</v>
      </c>
      <c r="Z549" s="118">
        <f>(VLOOKUP($A549,Pitchers!$A1:$S251,8,FALSE)-AVERAGE(Rankings!AG2:AG651))/STDEV(Rankings!AG2:AG651)</f>
        <v>-0.52526106088066515</v>
      </c>
      <c r="AA549" s="118">
        <f>(VLOOKUP($A549,Pitchers!$A1:$S251,9,FALSE)-AVERAGE(Rankings!AH2:AH651))/STDEV(Rankings!AH2:AH651)</f>
        <v>-0.48271287499720011</v>
      </c>
      <c r="AB549" s="118">
        <f>(VLOOKUP($A549,Pitchers!$A1:$S251,10,FALSE)-AVERAGE(Rankings!AI2:AI651))/STDEV(Rankings!AI2:AI651)*-1</f>
        <v>0.24552365952377631</v>
      </c>
      <c r="AC549" s="118">
        <f>(VLOOKUP($A549,Pitchers!$A1:$S251,11,FALSE)-AVERAGE(Rankings!AJ2:AJ651))/STDEV(Rankings!AJ2:AJ651)*-1</f>
        <v>0.20255421319448708</v>
      </c>
      <c r="AD549" s="118">
        <f>(VLOOKUP($A549,Pitchers!$A1:$S251,12,FALSE)-AVERAGE(Rankings!AK2:AK651))/STDEV(Rankings!AK2:AK651)*-1</f>
        <v>0.36165435351203334</v>
      </c>
      <c r="AE549" s="118">
        <f>IFERROR((VLOOKUP($A549,Pitchers!$A1:$S251,13,FALSE)-AVERAGE(Rankings!AL2:AL651))/STDEV(Rankings!AL2:AL651)*-1,0)</f>
        <v>0.25282447031797223</v>
      </c>
      <c r="AF549" s="118">
        <f>(VLOOKUP($A549,Pitchers!$A1:$S251,14,FALSE)-AVERAGE(Rankings!AM2:AM651))/STDEV(Rankings!AM2:AM651)</f>
        <v>-0.14883272428263941</v>
      </c>
      <c r="AG549" s="118">
        <f>(VLOOKUP($A549,Pitchers!$A1:$S251,15,FALSE)-AVERAGE(Rankings!AN2:AN651))/STDEV(Rankings!AN2:AN651)</f>
        <v>-0.13659570147646621</v>
      </c>
      <c r="AH549" s="118">
        <f>(VLOOKUP($A549,Pitchers!$A1:$S251,16,FALSE)-AVERAGE(Rankings!AO2:AO651))/STDEV(Rankings!AO2:AO651)*-1</f>
        <v>-0.20123591546600397</v>
      </c>
      <c r="AI549" s="118">
        <f>IFERROR((VLOOKUP($A549,Pitchers!$A1:$S251,17,FALSE)-AVERAGE(Rankings!AP2:AP651))/STDEV(Rankings!AP2:AP651),0)</f>
        <v>-0.56988518711372882</v>
      </c>
      <c r="AJ549" s="118">
        <f>(VLOOKUP($A549,Pitchers!$A1:$S251,18,FALSE)-AVERAGE(Rankings!AQ2:AQ651))/STDEV(Rankings!AQ2:AQ651)</f>
        <v>-0.53504265529178363</v>
      </c>
      <c r="AK549" s="118">
        <f>IFERROR((VLOOKUP($A549,Pitchers!$A1:$S251,19,FALSE)-AVERAGE(Rankings!AR2:AR651))/STDEV(Rankings!AR2:AR651)*-1,0)</f>
        <v>0.47686441955275594</v>
      </c>
    </row>
    <row r="550" spans="1:37" ht="20.100000000000001" customHeight="1">
      <c r="A550" s="26" t="s">
        <v>701</v>
      </c>
      <c r="B550" s="27" t="s">
        <v>306</v>
      </c>
      <c r="C550" s="127" t="s">
        <v>31</v>
      </c>
      <c r="D550" s="67">
        <f>(V550*Settings!$G$2)+(Y550*Settings!$G$5)+(Z550*Settings!$G$6)+(AA550*Settings!$G$7)+(AB550*Settings!$G$8)+(AC550*Settings!$G$9)+(AD550*Settings!$G$10)+(AE550*Settings!$G$11)+(AF550*Settings!$G$12)+(AG550*Settings!$G$13)+(AH550*Settings!$G$14)+(AI550*Settings!$G$15)+(AJ550*Settings!$G$16)+(AK550*Settings!$G$17)+(W550*Settings!$G$3)+(X550*Settings!$G$4)</f>
        <v>-5.3444433526710657</v>
      </c>
      <c r="E550" s="67"/>
      <c r="F550" s="67"/>
      <c r="G550" s="67"/>
      <c r="H550" s="67"/>
      <c r="I550" s="67"/>
      <c r="J550" s="67"/>
      <c r="K550" s="72"/>
      <c r="L550" s="72"/>
      <c r="M550" s="67"/>
      <c r="N550" s="67"/>
      <c r="O550" s="67"/>
      <c r="P550" s="67"/>
      <c r="Q550" s="67"/>
      <c r="R550" s="72"/>
      <c r="S550" s="72"/>
      <c r="T550" s="67"/>
      <c r="U550" s="67"/>
      <c r="V550" s="118">
        <f>(VLOOKUP($A550,Pitchers!$A1:$S251,4,FALSE)-AVERAGE(Rankings!AC2:AC651))/STDEV(Rankings!AC2:AC651)</f>
        <v>0.74498001537409797</v>
      </c>
      <c r="W550" s="118">
        <f>(VLOOKUP($A550,Pitchers!$A1:$S251,5,FALSE)-AVERAGE(Rankings!AD2:AD651))/STDEV(Rankings!AD2:AD651)*-1</f>
        <v>-2.6096647173300322</v>
      </c>
      <c r="X550" s="118">
        <f>(VLOOKUP($A550,Pitchers!$A1:$S251,6,FALSE)-AVERAGE(Rankings!AE2:AE651))/STDEV(Rankings!AE2:AE651)*-1</f>
        <v>-2.4578730088961915</v>
      </c>
      <c r="Y550" s="118">
        <f>(VLOOKUP($A550,Pitchers!$A1:$S251,7,FALSE)-AVERAGE(Rankings!AF2:AF651))/STDEV(Rankings!AF2:AF651)</f>
        <v>0.15937609871762448</v>
      </c>
      <c r="Z550" s="118">
        <f>(VLOOKUP($A550,Pitchers!$A1:$S251,8,FALSE)-AVERAGE(Rankings!AG2:AG651))/STDEV(Rankings!AG2:AG651)</f>
        <v>4.6431149834734092E-2</v>
      </c>
      <c r="AA550" s="118">
        <f>(VLOOKUP($A550,Pitchers!$A1:$S251,9,FALSE)-AVERAGE(Rankings!AH2:AH651))/STDEV(Rankings!AH2:AH651)</f>
        <v>-0.48271287499720011</v>
      </c>
      <c r="AB550" s="118">
        <f>(VLOOKUP($A550,Pitchers!$A1:$S251,10,FALSE)-AVERAGE(Rankings!AI2:AI651))/STDEV(Rankings!AI2:AI651)*-1</f>
        <v>-1.554379716642891</v>
      </c>
      <c r="AC550" s="118">
        <f>(VLOOKUP($A550,Pitchers!$A1:$S251,11,FALSE)-AVERAGE(Rankings!AJ2:AJ651))/STDEV(Rankings!AJ2:AJ651)*-1</f>
        <v>-1.36413932530731</v>
      </c>
      <c r="AD550" s="118">
        <f>(VLOOKUP($A550,Pitchers!$A1:$S251,12,FALSE)-AVERAGE(Rankings!AK2:AK651))/STDEV(Rankings!AK2:AK651)*-1</f>
        <v>-0.96279103890783524</v>
      </c>
      <c r="AE550" s="118">
        <f>IFERROR((VLOOKUP($A550,Pitchers!$A1:$S251,13,FALSE)-AVERAGE(Rankings!AL2:AL651))/STDEV(Rankings!AL2:AL651)*-1,0)</f>
        <v>-1.4519491663871167</v>
      </c>
      <c r="AF550" s="118">
        <f>(VLOOKUP($A550,Pitchers!$A1:$S251,14,FALSE)-AVERAGE(Rankings!AM2:AM651))/STDEV(Rankings!AM2:AM651)</f>
        <v>-0.77908355439849464</v>
      </c>
      <c r="AG550" s="118">
        <f>(VLOOKUP($A550,Pitchers!$A1:$S251,15,FALSE)-AVERAGE(Rankings!AN2:AN651))/STDEV(Rankings!AN2:AN651)</f>
        <v>0.93901600398077989</v>
      </c>
      <c r="AH550" s="118">
        <f>(VLOOKUP($A550,Pitchers!$A1:$S251,16,FALSE)-AVERAGE(Rankings!AO2:AO651))/STDEV(Rankings!AO2:AO651)*-1</f>
        <v>-2.0210187483881228</v>
      </c>
      <c r="AI550" s="118">
        <f>IFERROR((VLOOKUP($A550,Pitchers!$A1:$S251,17,FALSE)-AVERAGE(Rankings!AP2:AP651))/STDEV(Rankings!AP2:AP651),0)</f>
        <v>0.51764042066517624</v>
      </c>
      <c r="AJ550" s="118">
        <f>(VLOOKUP($A550,Pitchers!$A1:$S251,18,FALSE)-AVERAGE(Rankings!AQ2:AQ651))/STDEV(Rankings!AQ2:AQ651)</f>
        <v>-0.69471541349839372</v>
      </c>
      <c r="AK550" s="118">
        <f>IFERROR((VLOOKUP($A550,Pitchers!$A1:$S251,19,FALSE)-AVERAGE(Rankings!AR2:AR651))/STDEV(Rankings!AR2:AR651)*-1,0)</f>
        <v>0.47686441955275594</v>
      </c>
    </row>
    <row r="551" spans="1:37" ht="20.100000000000001" customHeight="1">
      <c r="A551" s="26" t="s">
        <v>609</v>
      </c>
      <c r="B551" s="27" t="s">
        <v>140</v>
      </c>
      <c r="C551" s="127" t="s">
        <v>31</v>
      </c>
      <c r="D551" s="67">
        <f>(V551*Settings!$G$2)+(Y551*Settings!$G$5)+(Z551*Settings!$G$6)+(AA551*Settings!$G$7)+(AB551*Settings!$G$8)+(AC551*Settings!$G$9)+(AD551*Settings!$G$10)+(AE551*Settings!$G$11)+(AF551*Settings!$G$12)+(AG551*Settings!$G$13)+(AH551*Settings!$G$14)+(AI551*Settings!$G$15)+(AJ551*Settings!$G$16)+(AK551*Settings!$G$17)+(W551*Settings!$G$3)+(X551*Settings!$G$4)</f>
        <v>-3.4508684293160057</v>
      </c>
      <c r="E551" s="67"/>
      <c r="F551" s="67"/>
      <c r="G551" s="67"/>
      <c r="H551" s="67"/>
      <c r="I551" s="67"/>
      <c r="J551" s="67"/>
      <c r="K551" s="72"/>
      <c r="L551" s="72"/>
      <c r="M551" s="67"/>
      <c r="N551" s="67"/>
      <c r="O551" s="67"/>
      <c r="P551" s="67"/>
      <c r="Q551" s="67"/>
      <c r="R551" s="72"/>
      <c r="S551" s="72"/>
      <c r="T551" s="67"/>
      <c r="U551" s="67"/>
      <c r="V551" s="118">
        <f>(VLOOKUP($A551,Pitchers!$A1:$S251,4,FALSE)-AVERAGE(Rankings!AC2:AC651))/STDEV(Rankings!AC2:AC651)</f>
        <v>-0.2697517777483015</v>
      </c>
      <c r="W551" s="118">
        <f>(VLOOKUP($A551,Pitchers!$A1:$S251,5,FALSE)-AVERAGE(Rankings!AD2:AD651))/STDEV(Rankings!AD2:AD651)*-1</f>
        <v>-0.83882055864223393</v>
      </c>
      <c r="X551" s="118">
        <f>(VLOOKUP($A551,Pitchers!$A1:$S251,6,FALSE)-AVERAGE(Rankings!AE2:AE651))/STDEV(Rankings!AE2:AE651)*-1</f>
        <v>-1.1881931350023074</v>
      </c>
      <c r="Y551" s="118">
        <f>(VLOOKUP($A551,Pitchers!$A1:$S251,7,FALSE)-AVERAGE(Rankings!AF2:AF651))/STDEV(Rankings!AF2:AF651)</f>
        <v>-0.41797078819047789</v>
      </c>
      <c r="Z551" s="118">
        <f>(VLOOKUP($A551,Pitchers!$A1:$S251,8,FALSE)-AVERAGE(Rankings!AG2:AG651))/STDEV(Rankings!AG2:AG651)</f>
        <v>-0.52317107248378647</v>
      </c>
      <c r="AA551" s="118">
        <f>(VLOOKUP($A551,Pitchers!$A1:$S251,9,FALSE)-AVERAGE(Rankings!AH2:AH651))/STDEV(Rankings!AH2:AH651)</f>
        <v>-0.48271287499720011</v>
      </c>
      <c r="AB551" s="118">
        <f>(VLOOKUP($A551,Pitchers!$A1:$S251,10,FALSE)-AVERAGE(Rankings!AI2:AI651))/STDEV(Rankings!AI2:AI651)*-1</f>
        <v>8.382073178716884E-2</v>
      </c>
      <c r="AC551" s="118">
        <f>(VLOOKUP($A551,Pitchers!$A1:$S251,11,FALSE)-AVERAGE(Rankings!AJ2:AJ651))/STDEV(Rankings!AJ2:AJ651)*-1</f>
        <v>0.21624269145444885</v>
      </c>
      <c r="AD551" s="118">
        <f>(VLOOKUP($A551,Pitchers!$A1:$S251,12,FALSE)-AVERAGE(Rankings!AK2:AK651))/STDEV(Rankings!AK2:AK651)*-1</f>
        <v>-0.36080255376291964</v>
      </c>
      <c r="AE551" s="118">
        <f>IFERROR((VLOOKUP($A551,Pitchers!$A1:$S251,13,FALSE)-AVERAGE(Rankings!AL2:AL651))/STDEV(Rankings!AL2:AL651)*-1,0)</f>
        <v>0.28180079275488579</v>
      </c>
      <c r="AF551" s="118">
        <f>(VLOOKUP($A551,Pitchers!$A1:$S251,14,FALSE)-AVERAGE(Rankings!AM2:AM651))/STDEV(Rankings!AM2:AM651)</f>
        <v>-0.87228217928804153</v>
      </c>
      <c r="AG551" s="118">
        <f>(VLOOKUP($A551,Pitchers!$A1:$S251,15,FALSE)-AVERAGE(Rankings!AN2:AN651))/STDEV(Rankings!AN2:AN651)</f>
        <v>0.171108653859877</v>
      </c>
      <c r="AH551" s="118">
        <f>(VLOOKUP($A551,Pitchers!$A1:$S251,16,FALSE)-AVERAGE(Rankings!AO2:AO651))/STDEV(Rankings!AO2:AO651)*-1</f>
        <v>-0.41299455387996153</v>
      </c>
      <c r="AI551" s="118">
        <f>IFERROR((VLOOKUP($A551,Pitchers!$A1:$S251,17,FALSE)-AVERAGE(Rankings!AP2:AP651))/STDEV(Rankings!AP2:AP651),0)</f>
        <v>-2.6122383224276315E-2</v>
      </c>
      <c r="AJ551" s="118">
        <f>(VLOOKUP($A551,Pitchers!$A1:$S251,18,FALSE)-AVERAGE(Rankings!AQ2:AQ651))/STDEV(Rankings!AQ2:AQ651)</f>
        <v>-0.69471541349839372</v>
      </c>
      <c r="AK551" s="118">
        <f>IFERROR((VLOOKUP($A551,Pitchers!$A1:$S251,19,FALSE)-AVERAGE(Rankings!AR2:AR651))/STDEV(Rankings!AR2:AR651)*-1,0)</f>
        <v>0.47686441955275594</v>
      </c>
    </row>
    <row r="552" spans="1:37" ht="20.100000000000001" customHeight="1">
      <c r="A552" s="26" t="s">
        <v>592</v>
      </c>
      <c r="B552" s="27" t="s">
        <v>91</v>
      </c>
      <c r="C552" s="127" t="s">
        <v>31</v>
      </c>
      <c r="D552" s="67">
        <f>(V552*Settings!$G$2)+(Y552*Settings!$G$5)+(Z552*Settings!$G$6)+(AA552*Settings!$G$7)+(AB552*Settings!$G$8)+(AC552*Settings!$G$9)+(AD552*Settings!$G$10)+(AE552*Settings!$G$11)+(AF552*Settings!$G$12)+(AG552*Settings!$G$13)+(AH552*Settings!$G$14)+(AI552*Settings!$G$15)+(AJ552*Settings!$G$16)+(AK552*Settings!$G$17)+(W552*Settings!$G$3)+(X552*Settings!$G$4)</f>
        <v>0.34300385473902506</v>
      </c>
      <c r="E552" s="67"/>
      <c r="F552" s="67"/>
      <c r="G552" s="67"/>
      <c r="H552" s="67"/>
      <c r="I552" s="67"/>
      <c r="J552" s="67"/>
      <c r="K552" s="72"/>
      <c r="L552" s="72"/>
      <c r="M552" s="67"/>
      <c r="N552" s="67"/>
      <c r="O552" s="67"/>
      <c r="P552" s="67"/>
      <c r="Q552" s="67"/>
      <c r="R552" s="72"/>
      <c r="S552" s="72"/>
      <c r="T552" s="67"/>
      <c r="U552" s="67"/>
      <c r="V552" s="118">
        <f>(VLOOKUP($A552,Pitchers!$A1:$S251,4,FALSE)-AVERAGE(Rankings!AC2:AC651))/STDEV(Rankings!AC2:AC651)</f>
        <v>-1.1124848425302851</v>
      </c>
      <c r="W552" s="118">
        <f>(VLOOKUP($A552,Pitchers!$A1:$S251,5,FALSE)-AVERAGE(Rankings!AD2:AD651))/STDEV(Rankings!AD2:AD651)*-1</f>
        <v>1.1574456819067327</v>
      </c>
      <c r="X552" s="118">
        <f>(VLOOKUP($A552,Pitchers!$A1:$S251,6,FALSE)-AVERAGE(Rankings!AE2:AE651))/STDEV(Rankings!AE2:AE651)*-1</f>
        <v>1.6446967017098273</v>
      </c>
      <c r="Y552" s="118">
        <f>(VLOOKUP($A552,Pitchers!$A1:$S251,7,FALSE)-AVERAGE(Rankings!AF2:AF651))/STDEV(Rankings!AF2:AF651)</f>
        <v>-1.0008524776414491</v>
      </c>
      <c r="Z552" s="118">
        <f>(VLOOKUP($A552,Pitchers!$A1:$S251,8,FALSE)-AVERAGE(Rankings!AG2:AG651))/STDEV(Rankings!AG2:AG651)</f>
        <v>-0.97557317623888562</v>
      </c>
      <c r="AA552" s="118">
        <f>(VLOOKUP($A552,Pitchers!$A1:$S251,9,FALSE)-AVERAGE(Rankings!AH2:AH651))/STDEV(Rankings!AH2:AH651)</f>
        <v>-0.48271287499720011</v>
      </c>
      <c r="AB552" s="118">
        <f>(VLOOKUP($A552,Pitchers!$A1:$S251,10,FALSE)-AVERAGE(Rankings!AI2:AI651))/STDEV(Rankings!AI2:AI651)*-1</f>
        <v>1.2173395873358237</v>
      </c>
      <c r="AC552" s="118">
        <f>(VLOOKUP($A552,Pitchers!$A1:$S251,11,FALSE)-AVERAGE(Rankings!AJ2:AJ651))/STDEV(Rankings!AJ2:AJ651)*-1</f>
        <v>1.1783775073576586</v>
      </c>
      <c r="AD552" s="118">
        <f>(VLOOKUP($A552,Pitchers!$A1:$S251,12,FALSE)-AVERAGE(Rankings!AK2:AK651))/STDEV(Rankings!AK2:AK651)*-1</f>
        <v>1.3808030597119429</v>
      </c>
      <c r="AE552" s="118">
        <f>IFERROR((VLOOKUP($A552,Pitchers!$A1:$S251,13,FALSE)-AVERAGE(Rankings!AL2:AL651))/STDEV(Rankings!AL2:AL651)*-1,0)</f>
        <v>0.99172069245927108</v>
      </c>
      <c r="AF552" s="118">
        <f>(VLOOKUP($A552,Pitchers!$A1:$S251,14,FALSE)-AVERAGE(Rankings!AM2:AM651))/STDEV(Rankings!AM2:AM651)</f>
        <v>-1.1467771029935134</v>
      </c>
      <c r="AG552" s="118">
        <f>(VLOOKUP($A552,Pitchers!$A1:$S251,15,FALSE)-AVERAGE(Rankings!AN2:AN651))/STDEV(Rankings!AN2:AN651)</f>
        <v>-0.38667800116331402</v>
      </c>
      <c r="AH552" s="118">
        <f>(VLOOKUP($A552,Pitchers!$A1:$S251,16,FALSE)-AVERAGE(Rankings!AO2:AO651))/STDEV(Rankings!AO2:AO651)*-1</f>
        <v>1.2260747984771234</v>
      </c>
      <c r="AI552" s="118">
        <f>IFERROR((VLOOKUP($A552,Pitchers!$A1:$S251,17,FALSE)-AVERAGE(Rankings!AP2:AP651))/STDEV(Rankings!AP2:AP651),0)</f>
        <v>-0.21643936458558477</v>
      </c>
      <c r="AJ552" s="118">
        <f>(VLOOKUP($A552,Pitchers!$A1:$S251,18,FALSE)-AVERAGE(Rankings!AQ2:AQ651))/STDEV(Rankings!AQ2:AQ651)</f>
        <v>-0.69471541349839372</v>
      </c>
      <c r="AK552" s="118">
        <f>IFERROR((VLOOKUP($A552,Pitchers!$A1:$S251,19,FALSE)-AVERAGE(Rankings!AR2:AR651))/STDEV(Rankings!AR2:AR651)*-1,0)</f>
        <v>0.47686441955275594</v>
      </c>
    </row>
    <row r="553" spans="1:37" ht="20.100000000000001" customHeight="1">
      <c r="A553" s="26" t="s">
        <v>630</v>
      </c>
      <c r="B553" s="27" t="s">
        <v>258</v>
      </c>
      <c r="C553" s="127" t="s">
        <v>31</v>
      </c>
      <c r="D553" s="67">
        <f>(V553*Settings!$G$2)+(Y553*Settings!$G$5)+(Z553*Settings!$G$6)+(AA553*Settings!$G$7)+(AB553*Settings!$G$8)+(AC553*Settings!$G$9)+(AD553*Settings!$G$10)+(AE553*Settings!$G$11)+(AF553*Settings!$G$12)+(AG553*Settings!$G$13)+(AH553*Settings!$G$14)+(AI553*Settings!$G$15)+(AJ553*Settings!$G$16)+(AK553*Settings!$G$17)+(W553*Settings!$G$3)+(X553*Settings!$G$4)</f>
        <v>-3.4471505396546158</v>
      </c>
      <c r="E553" s="67"/>
      <c r="F553" s="67"/>
      <c r="G553" s="67"/>
      <c r="H553" s="67"/>
      <c r="I553" s="67"/>
      <c r="J553" s="67"/>
      <c r="K553" s="72"/>
      <c r="L553" s="72"/>
      <c r="M553" s="67"/>
      <c r="N553" s="67"/>
      <c r="O553" s="67"/>
      <c r="P553" s="67"/>
      <c r="Q553" s="67"/>
      <c r="R553" s="72"/>
      <c r="S553" s="72"/>
      <c r="T553" s="67"/>
      <c r="U553" s="67"/>
      <c r="V553" s="118">
        <f>(VLOOKUP($A553,Pitchers!$A1:$S251,4,FALSE)-AVERAGE(Rankings!AC2:AC651))/STDEV(Rankings!AC2:AC651)</f>
        <v>0.33299398231791294</v>
      </c>
      <c r="W553" s="118">
        <f>(VLOOKUP($A553,Pitchers!$A1:$S251,5,FALSE)-AVERAGE(Rankings!AD2:AD651))/STDEV(Rankings!AD2:AD651)*-1</f>
        <v>-1.2381228117375533</v>
      </c>
      <c r="X553" s="118">
        <f>(VLOOKUP($A553,Pitchers!$A1:$S251,6,FALSE)-AVERAGE(Rankings!AE2:AE651))/STDEV(Rankings!AE2:AE651)*-1</f>
        <v>-1.6183356623690892</v>
      </c>
      <c r="Y553" s="118">
        <f>(VLOOKUP($A553,Pitchers!$A1:$S251,7,FALSE)-AVERAGE(Rankings!AF2:AF651))/STDEV(Rankings!AF2:AF651)</f>
        <v>-0.1719599787744038</v>
      </c>
      <c r="Z553" s="118">
        <f>(VLOOKUP($A553,Pitchers!$A1:$S251,8,FALSE)-AVERAGE(Rankings!AG2:AG651))/STDEV(Rankings!AG2:AG651)</f>
        <v>6.2507983656876862E-2</v>
      </c>
      <c r="AA553" s="118">
        <f>(VLOOKUP($A553,Pitchers!$A1:$S251,9,FALSE)-AVERAGE(Rankings!AH2:AH651))/STDEV(Rankings!AH2:AH651)</f>
        <v>-0.48124007043044637</v>
      </c>
      <c r="AB553" s="118">
        <f>(VLOOKUP($A553,Pitchers!$A1:$S251,10,FALSE)-AVERAGE(Rankings!AI2:AI651))/STDEV(Rankings!AI2:AI651)*-1</f>
        <v>-0.65122012131208495</v>
      </c>
      <c r="AC553" s="118">
        <f>(VLOOKUP($A553,Pitchers!$A1:$S251,11,FALSE)-AVERAGE(Rankings!AJ2:AJ651))/STDEV(Rankings!AJ2:AJ651)*-1</f>
        <v>-0.45107062371868745</v>
      </c>
      <c r="AD553" s="118">
        <f>(VLOOKUP($A553,Pitchers!$A1:$S251,12,FALSE)-AVERAGE(Rankings!AK2:AK651))/STDEV(Rankings!AK2:AK651)*-1</f>
        <v>-1.2529211201238164</v>
      </c>
      <c r="AE553" s="118">
        <f>IFERROR((VLOOKUP($A553,Pitchers!$A1:$S251,13,FALSE)-AVERAGE(Rankings!AL2:AL651))/STDEV(Rankings!AL2:AL651)*-1,0)</f>
        <v>-0.14801465672600089</v>
      </c>
      <c r="AF553" s="118">
        <f>(VLOOKUP($A553,Pitchers!$A1:$S251,14,FALSE)-AVERAGE(Rankings!AM2:AM651))/STDEV(Rankings!AM2:AM651)</f>
        <v>-0.69045453141345248</v>
      </c>
      <c r="AG553" s="118">
        <f>(VLOOKUP($A553,Pitchers!$A1:$S251,15,FALSE)-AVERAGE(Rankings!AN2:AN651))/STDEV(Rankings!AN2:AN651)</f>
        <v>0.5119854379519323</v>
      </c>
      <c r="AH553" s="118">
        <f>(VLOOKUP($A553,Pitchers!$A1:$S251,16,FALSE)-AVERAGE(Rankings!AO2:AO651))/STDEV(Rankings!AO2:AO651)*-1</f>
        <v>-0.97391539970589225</v>
      </c>
      <c r="AI553" s="118">
        <f>IFERROR((VLOOKUP($A553,Pitchers!$A1:$S251,17,FALSE)-AVERAGE(Rankings!AP2:AP651))/STDEV(Rankings!AP2:AP651),0)</f>
        <v>0.24575901872044997</v>
      </c>
      <c r="AJ553" s="118">
        <f>(VLOOKUP($A553,Pitchers!$A1:$S251,18,FALSE)-AVERAGE(Rankings!AQ2:AQ651))/STDEV(Rankings!AQ2:AQ651)</f>
        <v>-0.29553351798186839</v>
      </c>
      <c r="AK553" s="118">
        <f>IFERROR((VLOOKUP($A553,Pitchers!$A1:$S251,19,FALSE)-AVERAGE(Rankings!AR2:AR651))/STDEV(Rankings!AR2:AR651)*-1,0)</f>
        <v>0.47686441955275594</v>
      </c>
    </row>
    <row r="554" spans="1:37" ht="20.100000000000001" customHeight="1">
      <c r="A554" s="26" t="s">
        <v>753</v>
      </c>
      <c r="B554" s="27" t="s">
        <v>217</v>
      </c>
      <c r="C554" s="127" t="s">
        <v>31</v>
      </c>
      <c r="D554" s="67">
        <f>(V554*Settings!$G$2)+(Y554*Settings!$G$5)+(Z554*Settings!$G$6)+(AA554*Settings!$G$7)+(AB554*Settings!$G$8)+(AC554*Settings!$G$9)+(AD554*Settings!$G$10)+(AE554*Settings!$G$11)+(AF554*Settings!$G$12)+(AG554*Settings!$G$13)+(AH554*Settings!$G$14)+(AI554*Settings!$G$15)+(AJ554*Settings!$G$16)+(AK554*Settings!$G$17)+(W554*Settings!$G$3)+(X554*Settings!$G$4)</f>
        <v>-4.3904275545589897</v>
      </c>
      <c r="E554" s="67"/>
      <c r="F554" s="67"/>
      <c r="G554" s="67"/>
      <c r="H554" s="67"/>
      <c r="I554" s="67"/>
      <c r="J554" s="67"/>
      <c r="K554" s="72"/>
      <c r="L554" s="72"/>
      <c r="M554" s="67"/>
      <c r="N554" s="67"/>
      <c r="O554" s="67"/>
      <c r="P554" s="67"/>
      <c r="Q554" s="67"/>
      <c r="R554" s="72"/>
      <c r="S554" s="72"/>
      <c r="T554" s="67"/>
      <c r="U554" s="67"/>
      <c r="V554" s="118">
        <f>(VLOOKUP($A554,Pitchers!$A1:$S251,4,FALSE)-AVERAGE(Rankings!AC2:AC651))/STDEV(Rankings!AC2:AC651)</f>
        <v>-1.3467682538776373</v>
      </c>
      <c r="W554" s="118">
        <f>(VLOOKUP($A554,Pitchers!$A1:$S251,5,FALSE)-AVERAGE(Rankings!AD2:AD651))/STDEV(Rankings!AD2:AD651)*-1</f>
        <v>-0.67551927881906471</v>
      </c>
      <c r="X554" s="118">
        <f>(VLOOKUP($A554,Pitchers!$A1:$S251,6,FALSE)-AVERAGE(Rankings!AE2:AE651))/STDEV(Rankings!AE2:AE651)*-1</f>
        <v>-0.78892069099770057</v>
      </c>
      <c r="Y554" s="118">
        <f>(VLOOKUP($A554,Pitchers!$A1:$S251,7,FALSE)-AVERAGE(Rankings!AF2:AF651))/STDEV(Rankings!AF2:AF651)</f>
        <v>-1.2604711455387174</v>
      </c>
      <c r="Z554" s="118">
        <f>(VLOOKUP($A554,Pitchers!$A1:$S251,8,FALSE)-AVERAGE(Rankings!AG2:AG651))/STDEV(Rankings!AG2:AG651)</f>
        <v>-1.1828035642063068</v>
      </c>
      <c r="AA554" s="118">
        <f>(VLOOKUP($A554,Pitchers!$A1:$S251,9,FALSE)-AVERAGE(Rankings!AH2:AH651))/STDEV(Rankings!AH2:AH651)</f>
        <v>-0.48271287499720011</v>
      </c>
      <c r="AB554" s="118">
        <f>(VLOOKUP($A554,Pitchers!$A1:$S251,10,FALSE)-AVERAGE(Rankings!AI2:AI651))/STDEV(Rankings!AI2:AI651)*-1</f>
        <v>1.2064601554664249</v>
      </c>
      <c r="AC554" s="118">
        <f>(VLOOKUP($A554,Pitchers!$A1:$S251,11,FALSE)-AVERAGE(Rankings!AJ2:AJ651))/STDEV(Rankings!AJ2:AJ651)*-1</f>
        <v>1.258101092809643</v>
      </c>
      <c r="AD554" s="118">
        <f>(VLOOKUP($A554,Pitchers!$A1:$S251,12,FALSE)-AVERAGE(Rankings!AK2:AK651))/STDEV(Rankings!AK2:AK651)*-1</f>
        <v>1.2145990722331237</v>
      </c>
      <c r="AE554" s="118">
        <f>IFERROR((VLOOKUP($A554,Pitchers!$A1:$S251,13,FALSE)-AVERAGE(Rankings!AL2:AL651))/STDEV(Rankings!AL2:AL651)*-1,0)</f>
        <v>1.1510904658622965</v>
      </c>
      <c r="AF554" s="118">
        <f>(VLOOKUP($A554,Pitchers!$A1:$S251,14,FALSE)-AVERAGE(Rankings!AM2:AM651))/STDEV(Rankings!AM2:AM651)</f>
        <v>-1.9336696356033158</v>
      </c>
      <c r="AG554" s="118">
        <f>(VLOOKUP($A554,Pitchers!$A1:$S251,15,FALSE)-AVERAGE(Rankings!AN2:AN651))/STDEV(Rankings!AN2:AN651)</f>
        <v>-0.48731249358025508</v>
      </c>
      <c r="AH554" s="118">
        <f>(VLOOKUP($A554,Pitchers!$A1:$S251,16,FALSE)-AVERAGE(Rankings!AO2:AO651))/STDEV(Rankings!AO2:AO651)*-1</f>
        <v>1.1455873522021351</v>
      </c>
      <c r="AI554" s="118">
        <f>IFERROR((VLOOKUP($A554,Pitchers!$A1:$S251,17,FALSE)-AVERAGE(Rankings!AP2:AP651))/STDEV(Rankings!AP2:AP651),0)</f>
        <v>-0.5291029768220199</v>
      </c>
      <c r="AJ554" s="118">
        <f>(VLOOKUP($A554,Pitchers!$A1:$S251,18,FALSE)-AVERAGE(Rankings!AQ2:AQ651))/STDEV(Rankings!AQ2:AQ651)</f>
        <v>-0.69471541349839372</v>
      </c>
      <c r="AK554" s="118">
        <f>IFERROR((VLOOKUP($A554,Pitchers!$A1:$S251,19,FALSE)-AVERAGE(Rankings!AR2:AR651))/STDEV(Rankings!AR2:AR651)*-1,0)</f>
        <v>0.47686441955275594</v>
      </c>
    </row>
    <row r="555" spans="1:37" ht="20.100000000000001" customHeight="1">
      <c r="A555" s="26" t="s">
        <v>585</v>
      </c>
      <c r="B555" s="27" t="s">
        <v>71</v>
      </c>
      <c r="C555" s="127" t="s">
        <v>31</v>
      </c>
      <c r="D555" s="67">
        <f>(V555*Settings!$G$2)+(Y555*Settings!$G$5)+(Z555*Settings!$G$6)+(AA555*Settings!$G$7)+(AB555*Settings!$G$8)+(AC555*Settings!$G$9)+(AD555*Settings!$G$10)+(AE555*Settings!$G$11)+(AF555*Settings!$G$12)+(AG555*Settings!$G$13)+(AH555*Settings!$G$14)+(AI555*Settings!$G$15)+(AJ555*Settings!$G$16)+(AK555*Settings!$G$17)+(W555*Settings!$G$3)+(X555*Settings!$G$4)</f>
        <v>-3.4754515437745797</v>
      </c>
      <c r="E555" s="67"/>
      <c r="F555" s="67"/>
      <c r="G555" s="67"/>
      <c r="H555" s="67"/>
      <c r="I555" s="67"/>
      <c r="J555" s="67"/>
      <c r="K555" s="72"/>
      <c r="L555" s="72"/>
      <c r="M555" s="67"/>
      <c r="N555" s="67"/>
      <c r="O555" s="67"/>
      <c r="P555" s="67"/>
      <c r="Q555" s="67"/>
      <c r="R555" s="72"/>
      <c r="S555" s="72"/>
      <c r="T555" s="67"/>
      <c r="U555" s="67"/>
      <c r="V555" s="118">
        <f>(VLOOKUP($A555,Pitchers!$A1:$S251,4,FALSE)-AVERAGE(Rankings!AC2:AC651))/STDEV(Rankings!AC2:AC651)</f>
        <v>-0.45842694935059575</v>
      </c>
      <c r="W555" s="118">
        <f>(VLOOKUP($A555,Pitchers!$A1:$S251,5,FALSE)-AVERAGE(Rankings!AD2:AD651))/STDEV(Rankings!AD2:AD651)*-1</f>
        <v>-0.78856883340157247</v>
      </c>
      <c r="X555" s="118">
        <f>(VLOOKUP($A555,Pitchers!$A1:$S251,6,FALSE)-AVERAGE(Rankings!AE2:AE651))/STDEV(Rankings!AE2:AE651)*-1</f>
        <v>-0.83019678685258591</v>
      </c>
      <c r="Y555" s="118">
        <f>(VLOOKUP($A555,Pitchers!$A1:$S251,7,FALSE)-AVERAGE(Rankings!AF2:AF651))/STDEV(Rankings!AF2:AF651)</f>
        <v>-0.96088673783614365</v>
      </c>
      <c r="Z555" s="118">
        <f>(VLOOKUP($A555,Pitchers!$A1:$S251,8,FALSE)-AVERAGE(Rankings!AG2:AG651))/STDEV(Rankings!AG2:AG651)</f>
        <v>-0.41529551753720817</v>
      </c>
      <c r="AA555" s="118">
        <f>(VLOOKUP($A555,Pitchers!$A1:$S251,9,FALSE)-AVERAGE(Rankings!AH2:AH651))/STDEV(Rankings!AH2:AH651)</f>
        <v>-0.48050366814706946</v>
      </c>
      <c r="AB555" s="118">
        <f>(VLOOKUP($A555,Pitchers!$A1:$S251,10,FALSE)-AVERAGE(Rankings!AI2:AI651))/STDEV(Rankings!AI2:AI651)*-1</f>
        <v>0.28771958686770621</v>
      </c>
      <c r="AC555" s="118">
        <f>(VLOOKUP($A555,Pitchers!$A1:$S251,11,FALSE)-AVERAGE(Rankings!AJ2:AJ651))/STDEV(Rankings!AJ2:AJ651)*-1</f>
        <v>0.23764863935407871</v>
      </c>
      <c r="AD555" s="118">
        <f>(VLOOKUP($A555,Pitchers!$A1:$S251,12,FALSE)-AVERAGE(Rankings!AK2:AK651))/STDEV(Rankings!AK2:AK651)*-1</f>
        <v>0.64149000335225836</v>
      </c>
      <c r="AE555" s="118">
        <f>IFERROR((VLOOKUP($A555,Pitchers!$A1:$S251,13,FALSE)-AVERAGE(Rankings!AL2:AL651))/STDEV(Rankings!AL2:AL651)*-1,0)</f>
        <v>0.24316569617233408</v>
      </c>
      <c r="AF555" s="118">
        <f>(VLOOKUP($A555,Pitchers!$A1:$S251,14,FALSE)-AVERAGE(Rankings!AM2:AM651))/STDEV(Rankings!AM2:AM651)</f>
        <v>0.31464534795408711</v>
      </c>
      <c r="AG555" s="118">
        <f>(VLOOKUP($A555,Pitchers!$A1:$S251,15,FALSE)-AVERAGE(Rankings!AN2:AN651))/STDEV(Rankings!AN2:AN651)</f>
        <v>-0.52323496824317695</v>
      </c>
      <c r="AH555" s="118">
        <f>(VLOOKUP($A555,Pitchers!$A1:$S251,16,FALSE)-AVERAGE(Rankings!AO2:AO651))/STDEV(Rankings!AO2:AO651)*-1</f>
        <v>0.37482423573069862</v>
      </c>
      <c r="AI555" s="118">
        <f>IFERROR((VLOOKUP($A555,Pitchers!$A1:$S251,17,FALSE)-AVERAGE(Rankings!AP2:AP651))/STDEV(Rankings!AP2:AP651),0)</f>
        <v>-0.70582588808609203</v>
      </c>
      <c r="AJ555" s="118">
        <f>(VLOOKUP($A555,Pitchers!$A1:$S251,18,FALSE)-AVERAGE(Rankings!AQ2:AQ651))/STDEV(Rankings!AQ2:AQ651)</f>
        <v>-0.53504265529178363</v>
      </c>
      <c r="AK555" s="118">
        <f>IFERROR((VLOOKUP($A555,Pitchers!$A1:$S251,19,FALSE)-AVERAGE(Rankings!AR2:AR651))/STDEV(Rankings!AR2:AR651)*-1,0)</f>
        <v>0.47686441955275594</v>
      </c>
    </row>
    <row r="556" spans="1:37" ht="20.100000000000001" customHeight="1">
      <c r="A556" s="26" t="s">
        <v>607</v>
      </c>
      <c r="B556" s="27" t="s">
        <v>258</v>
      </c>
      <c r="C556" s="127" t="s">
        <v>31</v>
      </c>
      <c r="D556" s="67">
        <f>(V556*Settings!$G$2)+(Y556*Settings!$G$5)+(Z556*Settings!$G$6)+(AA556*Settings!$G$7)+(AB556*Settings!$G$8)+(AC556*Settings!$G$9)+(AD556*Settings!$G$10)+(AE556*Settings!$G$11)+(AF556*Settings!$G$12)+(AG556*Settings!$G$13)+(AH556*Settings!$G$14)+(AI556*Settings!$G$15)+(AJ556*Settings!$G$16)+(AK556*Settings!$G$17)+(W556*Settings!$G$3)+(X556*Settings!$G$4)</f>
        <v>-2.5023856278508951</v>
      </c>
      <c r="E556" s="67"/>
      <c r="F556" s="67"/>
      <c r="G556" s="67"/>
      <c r="H556" s="67"/>
      <c r="I556" s="67"/>
      <c r="J556" s="67"/>
      <c r="K556" s="72"/>
      <c r="L556" s="72"/>
      <c r="M556" s="67"/>
      <c r="N556" s="67"/>
      <c r="O556" s="67"/>
      <c r="P556" s="67"/>
      <c r="Q556" s="67"/>
      <c r="R556" s="72"/>
      <c r="S556" s="72"/>
      <c r="T556" s="67"/>
      <c r="U556" s="67"/>
      <c r="V556" s="118">
        <f>(VLOOKUP($A556,Pitchers!$A1:$S251,4,FALSE)-AVERAGE(Rankings!AC2:AC651))/STDEV(Rankings!AC2:AC651)</f>
        <v>-2.1563694615288957E-2</v>
      </c>
      <c r="W556" s="118">
        <f>(VLOOKUP($A556,Pitchers!$A1:$S251,5,FALSE)-AVERAGE(Rankings!AD2:AD651))/STDEV(Rankings!AD2:AD651)*-1</f>
        <v>-0.56396087676849471</v>
      </c>
      <c r="X556" s="118">
        <f>(VLOOKUP($A556,Pitchers!$A1:$S251,6,FALSE)-AVERAGE(Rankings!AE2:AE651))/STDEV(Rankings!AE2:AE651)*-1</f>
        <v>-0.82552057432409232</v>
      </c>
      <c r="Y556" s="118">
        <f>(VLOOKUP($A556,Pitchers!$A1:$S251,7,FALSE)-AVERAGE(Rankings!AF2:AF651))/STDEV(Rankings!AF2:AF651)</f>
        <v>-0.38916866285592799</v>
      </c>
      <c r="Z556" s="118">
        <f>(VLOOKUP($A556,Pitchers!$A1:$S251,8,FALSE)-AVERAGE(Rankings!AG2:AG651))/STDEV(Rankings!AG2:AG651)</f>
        <v>-0.24102263890517991</v>
      </c>
      <c r="AA556" s="118">
        <f>(VLOOKUP($A556,Pitchers!$A1:$S251,9,FALSE)-AVERAGE(Rankings!AH2:AH651))/STDEV(Rankings!AH2:AH651)</f>
        <v>-0.48271287499720011</v>
      </c>
      <c r="AB556" s="118">
        <f>(VLOOKUP($A556,Pitchers!$A1:$S251,10,FALSE)-AVERAGE(Rankings!AI2:AI651))/STDEV(Rankings!AI2:AI651)*-1</f>
        <v>-0.10103403367525296</v>
      </c>
      <c r="AC556" s="118">
        <f>(VLOOKUP($A556,Pitchers!$A1:$S251,11,FALSE)-AVERAGE(Rankings!AJ2:AJ651))/STDEV(Rankings!AJ2:AJ651)*-1</f>
        <v>-9.5713007925162755E-2</v>
      </c>
      <c r="AD556" s="118">
        <f>(VLOOKUP($A556,Pitchers!$A1:$S251,12,FALSE)-AVERAGE(Rankings!AK2:AK651))/STDEV(Rankings!AK2:AK651)*-1</f>
        <v>-0.19153381190505833</v>
      </c>
      <c r="AE556" s="118">
        <f>IFERROR((VLOOKUP($A556,Pitchers!$A1:$S251,13,FALSE)-AVERAGE(Rankings!AL2:AL651))/STDEV(Rankings!AL2:AL651)*-1,0)</f>
        <v>0.47980566274046249</v>
      </c>
      <c r="AF556" s="118">
        <f>(VLOOKUP($A556,Pitchers!$A1:$S251,14,FALSE)-AVERAGE(Rankings!AM2:AM651))/STDEV(Rankings!AM2:AM651)</f>
        <v>-0.83763822066319271</v>
      </c>
      <c r="AG556" s="118">
        <f>(VLOOKUP($A556,Pitchers!$A1:$S251,15,FALSE)-AVERAGE(Rankings!AN2:AN651))/STDEV(Rankings!AN2:AN651)</f>
        <v>0.3291503545898124</v>
      </c>
      <c r="AH556" s="118">
        <f>(VLOOKUP($A556,Pitchers!$A1:$S251,16,FALSE)-AVERAGE(Rankings!AO2:AO651))/STDEV(Rankings!AO2:AO651)*-1</f>
        <v>-0.6211120935338601</v>
      </c>
      <c r="AI556" s="118">
        <f>IFERROR((VLOOKUP($A556,Pitchers!$A1:$S251,17,FALSE)-AVERAGE(Rankings!AP2:AP651))/STDEV(Rankings!AP2:AP651),0)</f>
        <v>0.10981831774808683</v>
      </c>
      <c r="AJ556" s="118">
        <f>(VLOOKUP($A556,Pitchers!$A1:$S251,18,FALSE)-AVERAGE(Rankings!AQ2:AQ651))/STDEV(Rankings!AQ2:AQ651)</f>
        <v>-0.69471541349839372</v>
      </c>
      <c r="AK556" s="118">
        <f>IFERROR((VLOOKUP($A556,Pitchers!$A1:$S251,19,FALSE)-AVERAGE(Rankings!AR2:AR651))/STDEV(Rankings!AR2:AR651)*-1,0)</f>
        <v>0.47686441955275594</v>
      </c>
    </row>
    <row r="557" spans="1:37" ht="20.100000000000001" customHeight="1">
      <c r="A557" s="26" t="s">
        <v>616</v>
      </c>
      <c r="B557" s="27" t="s">
        <v>86</v>
      </c>
      <c r="C557" s="127" t="s">
        <v>31</v>
      </c>
      <c r="D557" s="67">
        <f>(V557*Settings!$G$2)+(Y557*Settings!$G$5)+(Z557*Settings!$G$6)+(AA557*Settings!$G$7)+(AB557*Settings!$G$8)+(AC557*Settings!$G$9)+(AD557*Settings!$G$10)+(AE557*Settings!$G$11)+(AF557*Settings!$G$12)+(AG557*Settings!$G$13)+(AH557*Settings!$G$14)+(AI557*Settings!$G$15)+(AJ557*Settings!$G$16)+(AK557*Settings!$G$17)+(W557*Settings!$G$3)+(X557*Settings!$G$4)</f>
        <v>-4.2211367157876136</v>
      </c>
      <c r="E557" s="67"/>
      <c r="F557" s="67"/>
      <c r="G557" s="67"/>
      <c r="H557" s="67"/>
      <c r="I557" s="67"/>
      <c r="J557" s="67"/>
      <c r="K557" s="72"/>
      <c r="L557" s="72"/>
      <c r="M557" s="67"/>
      <c r="N557" s="67"/>
      <c r="O557" s="67"/>
      <c r="P557" s="67"/>
      <c r="Q557" s="67"/>
      <c r="R557" s="72"/>
      <c r="S557" s="72"/>
      <c r="T557" s="67"/>
      <c r="U557" s="67"/>
      <c r="V557" s="118">
        <f>(VLOOKUP($A557,Pitchers!$A1:$S251,4,FALSE)-AVERAGE(Rankings!AC2:AC651))/STDEV(Rankings!AC2:AC651)</f>
        <v>-0.74441191625023095</v>
      </c>
      <c r="W557" s="118">
        <f>(VLOOKUP($A557,Pitchers!$A1:$S251,5,FALSE)-AVERAGE(Rankings!AD2:AD651))/STDEV(Rankings!AD2:AD651)*-1</f>
        <v>-1.1993157173474587</v>
      </c>
      <c r="X557" s="118">
        <f>(VLOOKUP($A557,Pitchers!$A1:$S251,6,FALSE)-AVERAGE(Rankings!AE2:AE651))/STDEV(Rankings!AE2:AE651)*-1</f>
        <v>-0.74184615564644174</v>
      </c>
      <c r="Y557" s="118">
        <f>(VLOOKUP($A557,Pitchers!$A1:$S251,7,FALSE)-AVERAGE(Rankings!AF2:AF651))/STDEV(Rankings!AF2:AF651)</f>
        <v>-0.98326097147016334</v>
      </c>
      <c r="Z557" s="118">
        <f>(VLOOKUP($A557,Pitchers!$A1:$S251,8,FALSE)-AVERAGE(Rankings!AG2:AG651))/STDEV(Rankings!AG2:AG651)</f>
        <v>-0.81400099632635026</v>
      </c>
      <c r="AA557" s="118">
        <f>(VLOOKUP($A557,Pitchers!$A1:$S251,9,FALSE)-AVERAGE(Rankings!AH2:AH651))/STDEV(Rankings!AH2:AH651)</f>
        <v>-0.48271287499720011</v>
      </c>
      <c r="AB557" s="118">
        <f>(VLOOKUP($A557,Pitchers!$A1:$S251,10,FALSE)-AVERAGE(Rankings!AI2:AI651))/STDEV(Rankings!AI2:AI651)*-1</f>
        <v>0.50767424649494242</v>
      </c>
      <c r="AC557" s="118">
        <f>(VLOOKUP($A557,Pitchers!$A1:$S251,11,FALSE)-AVERAGE(Rankings!AJ2:AJ651))/STDEV(Rankings!AJ2:AJ651)*-1</f>
        <v>0.56038991556955697</v>
      </c>
      <c r="AD557" s="118">
        <f>(VLOOKUP($A557,Pitchers!$A1:$S251,12,FALSE)-AVERAGE(Rankings!AK2:AK651))/STDEV(Rankings!AK2:AK651)*-1</f>
        <v>0.8854130185457596</v>
      </c>
      <c r="AE557" s="118">
        <f>IFERROR((VLOOKUP($A557,Pitchers!$A1:$S251,13,FALSE)-AVERAGE(Rankings!AL2:AL651))/STDEV(Rankings!AL2:AL651)*-1,0)</f>
        <v>0.3687297600656268</v>
      </c>
      <c r="AF557" s="118">
        <f>(VLOOKUP($A557,Pitchers!$A1:$S251,14,FALSE)-AVERAGE(Rankings!AM2:AM651))/STDEV(Rankings!AM2:AM651)</f>
        <v>0.42169447163945795</v>
      </c>
      <c r="AG557" s="118">
        <f>(VLOOKUP($A557,Pitchers!$A1:$S251,15,FALSE)-AVERAGE(Rankings!AN2:AN651))/STDEV(Rankings!AN2:AN651)</f>
        <v>-0.72991810595687756</v>
      </c>
      <c r="AH557" s="118">
        <f>(VLOOKUP($A557,Pitchers!$A1:$S251,16,FALSE)-AVERAGE(Rankings!AO2:AO651))/STDEV(Rankings!AO2:AO651)*-1</f>
        <v>0.38498098490349481</v>
      </c>
      <c r="AI557" s="118">
        <f>IFERROR((VLOOKUP($A557,Pitchers!$A1:$S251,17,FALSE)-AVERAGE(Rankings!AP2:AP651))/STDEV(Rankings!AP2:AP651),0)</f>
        <v>-0.84176658905845514</v>
      </c>
      <c r="AJ557" s="118">
        <f>(VLOOKUP($A557,Pitchers!$A1:$S251,18,FALSE)-AVERAGE(Rankings!AQ2:AQ651))/STDEV(Rankings!AQ2:AQ651)</f>
        <v>-0.21569713887856334</v>
      </c>
      <c r="AK557" s="118">
        <f>IFERROR((VLOOKUP($A557,Pitchers!$A1:$S251,19,FALSE)-AVERAGE(Rankings!AR2:AR651))/STDEV(Rankings!AR2:AR651)*-1,0)</f>
        <v>0.47686441955275594</v>
      </c>
    </row>
    <row r="558" spans="1:37" ht="20.100000000000001" customHeight="1">
      <c r="A558" s="26" t="s">
        <v>652</v>
      </c>
      <c r="B558" s="27" t="s">
        <v>86</v>
      </c>
      <c r="C558" s="127" t="s">
        <v>31</v>
      </c>
      <c r="D558" s="67">
        <f>(V558*Settings!$G$2)+(Y558*Settings!$G$5)+(Z558*Settings!$G$6)+(AA558*Settings!$G$7)+(AB558*Settings!$G$8)+(AC558*Settings!$G$9)+(AD558*Settings!$G$10)+(AE558*Settings!$G$11)+(AF558*Settings!$G$12)+(AG558*Settings!$G$13)+(AH558*Settings!$G$14)+(AI558*Settings!$G$15)+(AJ558*Settings!$G$16)+(AK558*Settings!$G$17)+(W558*Settings!$G$3)+(X558*Settings!$G$4)</f>
        <v>-4.7349137541353832</v>
      </c>
      <c r="E558" s="67"/>
      <c r="F558" s="67"/>
      <c r="G558" s="67"/>
      <c r="H558" s="67"/>
      <c r="I558" s="67"/>
      <c r="J558" s="67"/>
      <c r="K558" s="72"/>
      <c r="L558" s="72"/>
      <c r="M558" s="67"/>
      <c r="N558" s="67"/>
      <c r="O558" s="67"/>
      <c r="P558" s="67"/>
      <c r="Q558" s="67"/>
      <c r="R558" s="72"/>
      <c r="S558" s="72"/>
      <c r="T558" s="67"/>
      <c r="U558" s="67"/>
      <c r="V558" s="118">
        <f>(VLOOKUP($A558,Pitchers!$A1:$S251,4,FALSE)-AVERAGE(Rankings!AC2:AC651))/STDEV(Rankings!AC2:AC651)</f>
        <v>-0.86748086051458206</v>
      </c>
      <c r="W558" s="118">
        <f>(VLOOKUP($A558,Pitchers!$A1:$S251,5,FALSE)-AVERAGE(Rankings!AD2:AD651))/STDEV(Rankings!AD2:AD651)*-1</f>
        <v>-0.90886159628246754</v>
      </c>
      <c r="X558" s="118">
        <f>(VLOOKUP($A558,Pitchers!$A1:$S251,6,FALSE)-AVERAGE(Rankings!AE2:AE651))/STDEV(Rankings!AE2:AE651)*-1</f>
        <v>-1.3041804749313097</v>
      </c>
      <c r="Y558" s="118">
        <f>(VLOOKUP($A558,Pitchers!$A1:$S251,7,FALSE)-AVERAGE(Rankings!AF2:AF651))/STDEV(Rankings!AF2:AF651)</f>
        <v>-1.0360942458496556</v>
      </c>
      <c r="Z558" s="118">
        <f>(VLOOKUP($A558,Pitchers!$A1:$S251,8,FALSE)-AVERAGE(Rankings!AG2:AG651))/STDEV(Rankings!AG2:AG651)</f>
        <v>-1.00306456207475</v>
      </c>
      <c r="AA558" s="118">
        <f>(VLOOKUP($A558,Pitchers!$A1:$S251,9,FALSE)-AVERAGE(Rankings!AH2:AH651))/STDEV(Rankings!AH2:AH651)</f>
        <v>-0.48271287499720011</v>
      </c>
      <c r="AB558" s="118">
        <f>(VLOOKUP($A558,Pitchers!$A1:$S251,10,FALSE)-AVERAGE(Rankings!AI2:AI651))/STDEV(Rankings!AI2:AI651)*-1</f>
        <v>0.68565971833963879</v>
      </c>
      <c r="AC558" s="118">
        <f>(VLOOKUP($A558,Pitchers!$A1:$S251,11,FALSE)-AVERAGE(Rankings!AJ2:AJ651))/STDEV(Rankings!AJ2:AJ651)*-1</f>
        <v>0.68811757822975184</v>
      </c>
      <c r="AD558" s="118">
        <f>(VLOOKUP($A558,Pitchers!$A1:$S251,12,FALSE)-AVERAGE(Rankings!AK2:AK651))/STDEV(Rankings!AK2:AK651)*-1</f>
        <v>0.74435573366420849</v>
      </c>
      <c r="AE558" s="118">
        <f>IFERROR((VLOOKUP($A558,Pitchers!$A1:$S251,13,FALSE)-AVERAGE(Rankings!AL2:AL651))/STDEV(Rankings!AL2:AL651)*-1,0)</f>
        <v>0.85166846734752177</v>
      </c>
      <c r="AF558" s="118">
        <f>(VLOOKUP($A558,Pitchers!$A1:$S251,14,FALSE)-AVERAGE(Rankings!AM2:AM651))/STDEV(Rankings!AM2:AM651)</f>
        <v>-0.33962245961334969</v>
      </c>
      <c r="AG558" s="118">
        <f>(VLOOKUP($A558,Pitchers!$A1:$S251,15,FALSE)-AVERAGE(Rankings!AN2:AN651))/STDEV(Rankings!AN2:AN651)</f>
        <v>-0.61312709383508157</v>
      </c>
      <c r="AH558" s="118">
        <f>(VLOOKUP($A558,Pitchers!$A1:$S251,16,FALSE)-AVERAGE(Rankings!AO2:AO651))/STDEV(Rankings!AO2:AO651)*-1</f>
        <v>0.71632097206886369</v>
      </c>
      <c r="AI558" s="118">
        <f>IFERROR((VLOOKUP($A558,Pitchers!$A1:$S251,17,FALSE)-AVERAGE(Rankings!AP2:AP651))/STDEV(Rankings!AP2:AP651),0)</f>
        <v>-0.70582588808609203</v>
      </c>
      <c r="AJ558" s="118">
        <f>(VLOOKUP($A558,Pitchers!$A1:$S251,18,FALSE)-AVERAGE(Rankings!AQ2:AQ651))/STDEV(Rankings!AQ2:AQ651)</f>
        <v>-0.29553351798186839</v>
      </c>
      <c r="AK558" s="118">
        <f>IFERROR((VLOOKUP($A558,Pitchers!$A1:$S251,19,FALSE)-AVERAGE(Rankings!AR2:AR651))/STDEV(Rankings!AR2:AR651)*-1,0)</f>
        <v>0.47686441955275594</v>
      </c>
    </row>
    <row r="559" spans="1:37" ht="20.100000000000001" customHeight="1">
      <c r="A559" s="26" t="s">
        <v>497</v>
      </c>
      <c r="B559" s="27" t="s">
        <v>76</v>
      </c>
      <c r="C559" s="127" t="s">
        <v>31</v>
      </c>
      <c r="D559" s="67">
        <f>(V559*Settings!$G$2)+(Y559*Settings!$G$5)+(Z559*Settings!$G$6)+(AA559*Settings!$G$7)+(AB559*Settings!$G$8)+(AC559*Settings!$G$9)+(AD559*Settings!$G$10)+(AE559*Settings!$G$11)+(AF559*Settings!$G$12)+(AG559*Settings!$G$13)+(AH559*Settings!$G$14)+(AI559*Settings!$G$15)+(AJ559*Settings!$G$16)+(AK559*Settings!$G$17)+(W559*Settings!$G$3)+(X559*Settings!$G$4)</f>
        <v>-1.85740159293148</v>
      </c>
      <c r="E559" s="67"/>
      <c r="F559" s="67"/>
      <c r="G559" s="67"/>
      <c r="H559" s="67"/>
      <c r="I559" s="67"/>
      <c r="J559" s="67"/>
      <c r="K559" s="72"/>
      <c r="L559" s="72"/>
      <c r="M559" s="67"/>
      <c r="N559" s="67"/>
      <c r="O559" s="67"/>
      <c r="P559" s="67"/>
      <c r="Q559" s="67"/>
      <c r="R559" s="72"/>
      <c r="S559" s="72"/>
      <c r="T559" s="67"/>
      <c r="U559" s="67"/>
      <c r="V559" s="118">
        <f>(VLOOKUP($A559,Pitchers!$A1:$S251,4,FALSE)-AVERAGE(Rankings!AC2:AC651))/STDEV(Rankings!AC2:AC651)</f>
        <v>-0.94635035797426748</v>
      </c>
      <c r="W559" s="118">
        <f>(VLOOKUP($A559,Pitchers!$A1:$S251,5,FALSE)-AVERAGE(Rankings!AD2:AD651))/STDEV(Rankings!AD2:AD651)*-1</f>
        <v>0.20657696293359665</v>
      </c>
      <c r="X559" s="118">
        <f>(VLOOKUP($A559,Pitchers!$A1:$S251,6,FALSE)-AVERAGE(Rankings!AE2:AE651))/STDEV(Rankings!AE2:AE651)*-1</f>
        <v>7.3763559199497786E-2</v>
      </c>
      <c r="Y559" s="118">
        <f>(VLOOKUP($A559,Pitchers!$A1:$S251,7,FALSE)-AVERAGE(Rankings!AF2:AF651))/STDEV(Rankings!AF2:AF651)</f>
        <v>-0.80790996606740972</v>
      </c>
      <c r="Z559" s="118">
        <f>(VLOOKUP($A559,Pitchers!$A1:$S251,8,FALSE)-AVERAGE(Rankings!AG2:AG651))/STDEV(Rankings!AG2:AG651)</f>
        <v>-0.84711927399996445</v>
      </c>
      <c r="AA559" s="118">
        <f>(VLOOKUP($A559,Pitchers!$A1:$S251,9,FALSE)-AVERAGE(Rankings!AH2:AH651))/STDEV(Rankings!AH2:AH651)</f>
        <v>-0.48271287499720011</v>
      </c>
      <c r="AB559" s="118">
        <f>(VLOOKUP($A559,Pitchers!$A1:$S251,10,FALSE)-AVERAGE(Rankings!AI2:AI651))/STDEV(Rankings!AI2:AI651)*-1</f>
        <v>0.93770260136560002</v>
      </c>
      <c r="AC559" s="118">
        <f>(VLOOKUP($A559,Pitchers!$A1:$S251,11,FALSE)-AVERAGE(Rankings!AJ2:AJ651))/STDEV(Rankings!AJ2:AJ651)*-1</f>
        <v>0.96228835744695185</v>
      </c>
      <c r="AD559" s="118">
        <f>(VLOOKUP($A559,Pitchers!$A1:$S251,12,FALSE)-AVERAGE(Rankings!AK2:AK651))/STDEV(Rankings!AK2:AK651)*-1</f>
        <v>0.79932485387292462</v>
      </c>
      <c r="AE559" s="118">
        <f>IFERROR((VLOOKUP($A559,Pitchers!$A1:$S251,13,FALSE)-AVERAGE(Rankings!AL2:AL651))/STDEV(Rankings!AL2:AL651)*-1,0)</f>
        <v>0.8758154027116164</v>
      </c>
      <c r="AF559" s="118">
        <f>(VLOOKUP($A559,Pitchers!$A1:$S251,14,FALSE)-AVERAGE(Rankings!AM2:AM651))/STDEV(Rankings!AM2:AM651)</f>
        <v>0.23713923193039735</v>
      </c>
      <c r="AG559" s="118">
        <f>(VLOOKUP($A559,Pitchers!$A1:$S251,15,FALSE)-AVERAGE(Rankings!AN2:AN651))/STDEV(Rankings!AN2:AN651)</f>
        <v>-0.74787934328833827</v>
      </c>
      <c r="AH559" s="118">
        <f>(VLOOKUP($A559,Pitchers!$A1:$S251,16,FALSE)-AVERAGE(Rankings!AO2:AO651))/STDEV(Rankings!AO2:AO651)*-1</f>
        <v>0.86963039354503191</v>
      </c>
      <c r="AI559" s="118">
        <f>IFERROR((VLOOKUP($A559,Pitchers!$A1:$S251,17,FALSE)-AVERAGE(Rankings!AP2:AP651))/STDEV(Rankings!AP2:AP651),0)</f>
        <v>-0.97770729003081824</v>
      </c>
      <c r="AJ559" s="118">
        <f>(VLOOKUP($A559,Pitchers!$A1:$S251,18,FALSE)-AVERAGE(Rankings!AQ2:AQ651))/STDEV(Rankings!AQ2:AQ651)</f>
        <v>-0.21569713887856334</v>
      </c>
      <c r="AK559" s="118">
        <f>IFERROR((VLOOKUP($A559,Pitchers!$A1:$S251,19,FALSE)-AVERAGE(Rankings!AR2:AR651))/STDEV(Rankings!AR2:AR651)*-1,0)</f>
        <v>0.47686441955275594</v>
      </c>
    </row>
    <row r="560" spans="1:37" ht="20.100000000000001" customHeight="1">
      <c r="A560" s="26" t="s">
        <v>584</v>
      </c>
      <c r="B560" s="27" t="s">
        <v>94</v>
      </c>
      <c r="C560" s="127" t="s">
        <v>31</v>
      </c>
      <c r="D560" s="67">
        <f>(V560*Settings!$G$2)+(Y560*Settings!$G$5)+(Z560*Settings!$G$6)+(AA560*Settings!$G$7)+(AB560*Settings!$G$8)+(AC560*Settings!$G$9)+(AD560*Settings!$G$10)+(AE560*Settings!$G$11)+(AF560*Settings!$G$12)+(AG560*Settings!$G$13)+(AH560*Settings!$G$14)+(AI560*Settings!$G$15)+(AJ560*Settings!$G$16)+(AK560*Settings!$G$17)+(W560*Settings!$G$3)+(X560*Settings!$G$4)</f>
        <v>-3.4927334159097883</v>
      </c>
      <c r="E560" s="67"/>
      <c r="F560" s="67"/>
      <c r="G560" s="67"/>
      <c r="H560" s="67"/>
      <c r="I560" s="67"/>
      <c r="J560" s="67"/>
      <c r="K560" s="72"/>
      <c r="L560" s="72"/>
      <c r="M560" s="67"/>
      <c r="N560" s="67"/>
      <c r="O560" s="67"/>
      <c r="P560" s="67"/>
      <c r="Q560" s="67"/>
      <c r="R560" s="72"/>
      <c r="S560" s="72"/>
      <c r="T560" s="67"/>
      <c r="U560" s="67"/>
      <c r="V560" s="118">
        <f>(VLOOKUP($A560,Pitchers!$A1:$S251,4,FALSE)-AVERAGE(Rankings!AC2:AC651))/STDEV(Rankings!AC2:AC651)</f>
        <v>-0.98655249798058386</v>
      </c>
      <c r="W560" s="118">
        <f>(VLOOKUP($A560,Pitchers!$A1:$S251,5,FALSE)-AVERAGE(Rankings!AD2:AD651))/STDEV(Rankings!AD2:AD651)*-1</f>
        <v>-0.77611919730244694</v>
      </c>
      <c r="X560" s="118">
        <f>(VLOOKUP($A560,Pitchers!$A1:$S251,6,FALSE)-AVERAGE(Rankings!AE2:AE651))/STDEV(Rankings!AE2:AE651)*-1</f>
        <v>-0.82819502809261625</v>
      </c>
      <c r="Y560" s="118">
        <f>(VLOOKUP($A560,Pitchers!$A1:$S251,7,FALSE)-AVERAGE(Rankings!AF2:AF651))/STDEV(Rankings!AF2:AF651)</f>
        <v>-0.8752441880857571</v>
      </c>
      <c r="Z560" s="118">
        <f>(VLOOKUP($A560,Pitchers!$A1:$S251,8,FALSE)-AVERAGE(Rankings!AG2:AG651))/STDEV(Rankings!AG2:AG651)</f>
        <v>-0.8839352234526715</v>
      </c>
      <c r="AA560" s="118">
        <f>(VLOOKUP($A560,Pitchers!$A1:$S251,9,FALSE)-AVERAGE(Rankings!AH2:AH651))/STDEV(Rankings!AH2:AH651)</f>
        <v>-0.12923977897629646</v>
      </c>
      <c r="AB560" s="118">
        <f>(VLOOKUP($A560,Pitchers!$A1:$S251,10,FALSE)-AVERAGE(Rankings!AI2:AI651))/STDEV(Rankings!AI2:AI651)*-1</f>
        <v>0.8284253172381576</v>
      </c>
      <c r="AC560" s="118">
        <f>(VLOOKUP($A560,Pitchers!$A1:$S251,11,FALSE)-AVERAGE(Rankings!AJ2:AJ651))/STDEV(Rankings!AJ2:AJ651)*-1</f>
        <v>0.99075095189783768</v>
      </c>
      <c r="AD560" s="118">
        <f>(VLOOKUP($A560,Pitchers!$A1:$S251,12,FALSE)-AVERAGE(Rankings!AK2:AK651))/STDEV(Rankings!AK2:AK651)*-1</f>
        <v>0.48778078372645667</v>
      </c>
      <c r="AE560" s="118">
        <f>IFERROR((VLOOKUP($A560,Pitchers!$A1:$S251,13,FALSE)-AVERAGE(Rankings!AL2:AL651))/STDEV(Rankings!AL2:AL651)*-1,0)</f>
        <v>0.62951666199784984</v>
      </c>
      <c r="AF560" s="118">
        <f>(VLOOKUP($A560,Pitchers!$A1:$S251,14,FALSE)-AVERAGE(Rankings!AM2:AM651))/STDEV(Rankings!AM2:AM651)</f>
        <v>0.3544965273538363</v>
      </c>
      <c r="AG560" s="118">
        <f>(VLOOKUP($A560,Pitchers!$A1:$S251,15,FALSE)-AVERAGE(Rankings!AN2:AN651))/STDEV(Rankings!AN2:AN651)</f>
        <v>-0.88490897450850292</v>
      </c>
      <c r="AH560" s="118">
        <f>(VLOOKUP($A560,Pitchers!$A1:$S251,16,FALSE)-AVERAGE(Rankings!AO2:AO651))/STDEV(Rankings!AO2:AO651)*-1</f>
        <v>1.0719988298935743</v>
      </c>
      <c r="AI560" s="118">
        <f>IFERROR((VLOOKUP($A560,Pitchers!$A1:$S251,17,FALSE)-AVERAGE(Rankings!AP2:AP651))/STDEV(Rankings!AP2:AP651),0)</f>
        <v>-0.84176658905845514</v>
      </c>
      <c r="AJ560" s="118">
        <f>(VLOOKUP($A560,Pitchers!$A1:$S251,18,FALSE)-AVERAGE(Rankings!AQ2:AQ651))/STDEV(Rankings!AQ2:AQ651)</f>
        <v>0.9020121685677075</v>
      </c>
      <c r="AK560" s="118">
        <f>IFERROR((VLOOKUP($A560,Pitchers!$A1:$S251,19,FALSE)-AVERAGE(Rankings!AR2:AR651))/STDEV(Rankings!AR2:AR651)*-1,0)</f>
        <v>0.47686441955275594</v>
      </c>
    </row>
    <row r="561" spans="1:37" ht="20.100000000000001" customHeight="1">
      <c r="A561" s="26" t="s">
        <v>759</v>
      </c>
      <c r="B561" s="27" t="s">
        <v>73</v>
      </c>
      <c r="C561" s="127" t="s">
        <v>31</v>
      </c>
      <c r="D561" s="67">
        <f>(V561*Settings!$G$2)+(Y561*Settings!$G$5)+(Z561*Settings!$G$6)+(AA561*Settings!$G$7)+(AB561*Settings!$G$8)+(AC561*Settings!$G$9)+(AD561*Settings!$G$10)+(AE561*Settings!$G$11)+(AF561*Settings!$G$12)+(AG561*Settings!$G$13)+(AH561*Settings!$G$14)+(AI561*Settings!$G$15)+(AJ561*Settings!$G$16)+(AK561*Settings!$G$17)+(W561*Settings!$G$3)+(X561*Settings!$G$4)</f>
        <v>1.5062186591192035</v>
      </c>
      <c r="E561" s="67"/>
      <c r="F561" s="67"/>
      <c r="G561" s="67"/>
      <c r="H561" s="67"/>
      <c r="I561" s="67"/>
      <c r="J561" s="67"/>
      <c r="K561" s="72"/>
      <c r="L561" s="72"/>
      <c r="M561" s="67"/>
      <c r="N561" s="67"/>
      <c r="O561" s="67"/>
      <c r="P561" s="67"/>
      <c r="Q561" s="67"/>
      <c r="R561" s="72"/>
      <c r="S561" s="72"/>
      <c r="T561" s="67"/>
      <c r="U561" s="67"/>
      <c r="V561" s="118">
        <f>(VLOOKUP($A561,Pitchers!$A1:$S251,4,FALSE)-AVERAGE(Rankings!AC2:AC651))/STDEV(Rankings!AC2:AC651)</f>
        <v>0.68406976450412815</v>
      </c>
      <c r="W561" s="118">
        <f>(VLOOKUP($A561,Pitchers!$A1:$S251,5,FALSE)-AVERAGE(Rankings!AD2:AD651))/STDEV(Rankings!AD2:AD651)*-1</f>
        <v>0.4515236548116251</v>
      </c>
      <c r="X561" s="118">
        <f>(VLOOKUP($A561,Pitchers!$A1:$S251,6,FALSE)-AVERAGE(Rankings!AE2:AE651))/STDEV(Rankings!AE2:AE651)*-1</f>
        <v>1.0113732397290105</v>
      </c>
      <c r="Y561" s="118">
        <f>(VLOOKUP($A561,Pitchers!$A1:$S251,7,FALSE)-AVERAGE(Rankings!AF2:AF651))/STDEV(Rankings!AF2:AF651)</f>
        <v>0.94165169378941904</v>
      </c>
      <c r="Z561" s="118">
        <f>(VLOOKUP($A561,Pitchers!$A1:$S251,8,FALSE)-AVERAGE(Rankings!AG2:AG651))/STDEV(Rankings!AG2:AG651)</f>
        <v>-0.41561705421365108</v>
      </c>
      <c r="AA561" s="118">
        <f>(VLOOKUP($A561,Pitchers!$A1:$S251,9,FALSE)-AVERAGE(Rankings!AH2:AH651))/STDEV(Rankings!AH2:AH651)</f>
        <v>-0.48271287499720011</v>
      </c>
      <c r="AB561" s="118">
        <f>(VLOOKUP($A561,Pitchers!$A1:$S251,10,FALSE)-AVERAGE(Rankings!AI2:AI651))/STDEV(Rankings!AI2:AI651)*-1</f>
        <v>-0.46795558308739588</v>
      </c>
      <c r="AC561" s="118">
        <f>(VLOOKUP($A561,Pitchers!$A1:$S251,11,FALSE)-AVERAGE(Rankings!AJ2:AJ651))/STDEV(Rankings!AJ2:AJ651)*-1</f>
        <v>-0.3205108621081556</v>
      </c>
      <c r="AD561" s="118">
        <f>(VLOOKUP($A561,Pitchers!$A1:$S251,12,FALSE)-AVERAGE(Rankings!AK2:AK651))/STDEV(Rankings!AK2:AK651)*-1</f>
        <v>-0.8423226167777973</v>
      </c>
      <c r="AE561" s="118">
        <f>IFERROR((VLOOKUP($A561,Pitchers!$A1:$S251,13,FALSE)-AVERAGE(Rankings!AL2:AL651))/STDEV(Rankings!AL2:AL651)*-1,0)</f>
        <v>-0.25426117232801737</v>
      </c>
      <c r="AF561" s="118">
        <f>(VLOOKUP($A561,Pitchers!$A1:$S251,14,FALSE)-AVERAGE(Rankings!AM2:AM651))/STDEV(Rankings!AM2:AM651)</f>
        <v>1.3033796763147973</v>
      </c>
      <c r="AG561" s="118">
        <f>(VLOOKUP($A561,Pitchers!$A1:$S251,15,FALSE)-AVERAGE(Rankings!AN2:AN651))/STDEV(Rankings!AN2:AN651)</f>
        <v>-0.34783360272398234</v>
      </c>
      <c r="AH561" s="118">
        <f>(VLOOKUP($A561,Pitchers!$A1:$S251,16,FALSE)-AVERAGE(Rankings!AO2:AO651))/STDEV(Rankings!AO2:AO651)*-1</f>
        <v>1.6463463030155123E-2</v>
      </c>
      <c r="AI561" s="118">
        <f>IFERROR((VLOOKUP($A561,Pitchers!$A1:$S251,17,FALSE)-AVERAGE(Rankings!AP2:AP651))/STDEV(Rankings!AP2:AP651),0)</f>
        <v>-0.56988518711372882</v>
      </c>
      <c r="AJ561" s="118">
        <f>(VLOOKUP($A561,Pitchers!$A1:$S251,18,FALSE)-AVERAGE(Rankings!AQ2:AQ651))/STDEV(Rankings!AQ2:AQ651)</f>
        <v>-5.6024380671953228E-2</v>
      </c>
      <c r="AK561" s="118">
        <f>IFERROR((VLOOKUP($A561,Pitchers!$A1:$S251,19,FALSE)-AVERAGE(Rankings!AR2:AR651))/STDEV(Rankings!AR2:AR651)*-1,0)</f>
        <v>0.47686441955275594</v>
      </c>
    </row>
    <row r="562" spans="1:37" ht="20.100000000000001" customHeight="1">
      <c r="A562" s="26" t="s">
        <v>755</v>
      </c>
      <c r="B562" s="27" t="s">
        <v>158</v>
      </c>
      <c r="C562" s="128" t="s">
        <v>34</v>
      </c>
      <c r="D562" s="67">
        <f>(V562*Settings!$G$2)+(Y562*Settings!$G$5)+(Z562*Settings!$G$6)+(AA562*Settings!$G$7)+(AB562*Settings!$G$8)+(AC562*Settings!$G$9)+(AD562*Settings!$G$10)+(AE562*Settings!$G$11)+(AF562*Settings!$G$12)+(AG562*Settings!$G$13)+(AH562*Settings!$G$14)+(AI562*Settings!$G$15)+(AJ562*Settings!$G$16)+(AK562*Settings!$G$17)+(W562*Settings!$G$3)+(X562*Settings!$G$4)</f>
        <v>-3.2290209199153179</v>
      </c>
      <c r="E562" s="67"/>
      <c r="F562" s="67"/>
      <c r="G562" s="67"/>
      <c r="H562" s="67"/>
      <c r="I562" s="67"/>
      <c r="J562" s="67"/>
      <c r="K562" s="72"/>
      <c r="L562" s="72"/>
      <c r="M562" s="67"/>
      <c r="N562" s="67"/>
      <c r="O562" s="67"/>
      <c r="P562" s="67"/>
      <c r="Q562" s="67"/>
      <c r="R562" s="72"/>
      <c r="S562" s="72"/>
      <c r="T562" s="67"/>
      <c r="U562" s="67"/>
      <c r="V562" s="118">
        <f>(VLOOKUP($A562,Pitchers!$A1:$S251,4,FALSE)-AVERAGE(Rankings!AC2:AC651))/STDEV(Rankings!AC2:AC651)</f>
        <v>-1.0586414635645605</v>
      </c>
      <c r="W562" s="118">
        <f>(VLOOKUP($A562,Pitchers!$A1:$S251,5,FALSE)-AVERAGE(Rankings!AD2:AD651))/STDEV(Rankings!AD2:AD651)*-1</f>
        <v>-0.57112653011615921</v>
      </c>
      <c r="X562" s="118">
        <f>(VLOOKUP($A562,Pitchers!$A1:$S251,6,FALSE)-AVERAGE(Rankings!AE2:AE651))/STDEV(Rankings!AE2:AE651)*-1</f>
        <v>-1.1882008172926026</v>
      </c>
      <c r="Y562" s="118">
        <f>(VLOOKUP($A562,Pitchers!$A1:$S251,7,FALSE)-AVERAGE(Rankings!AF2:AF651))/STDEV(Rankings!AF2:AF651)</f>
        <v>-1.1387994989806078</v>
      </c>
      <c r="Z562" s="118">
        <f>(VLOOKUP($A562,Pitchers!$A1:$S251,8,FALSE)-AVERAGE(Rankings!AG2:AG651))/STDEV(Rankings!AG2:AG651)</f>
        <v>-1.1059562985364639</v>
      </c>
      <c r="AA562" s="118">
        <f>(VLOOKUP($A562,Pitchers!$A1:$S251,9,FALSE)-AVERAGE(Rankings!AH2:AH651))/STDEV(Rankings!AH2:AH651)</f>
        <v>0.77506222501051547</v>
      </c>
      <c r="AB562" s="118">
        <f>(VLOOKUP($A562,Pitchers!$A1:$S251,10,FALSE)-AVERAGE(Rankings!AI2:AI651))/STDEV(Rankings!AI2:AI651)*-1</f>
        <v>0.93071231219717765</v>
      </c>
      <c r="AC562" s="118">
        <f>(VLOOKUP($A562,Pitchers!$A1:$S251,11,FALSE)-AVERAGE(Rankings!AJ2:AJ651))/STDEV(Rankings!AJ2:AJ651)*-1</f>
        <v>0.91532271652053143</v>
      </c>
      <c r="AD562" s="118">
        <f>(VLOOKUP($A562,Pitchers!$A1:$S251,12,FALSE)-AVERAGE(Rankings!AK2:AK651))/STDEV(Rankings!AK2:AK651)*-1</f>
        <v>0.91472464376070062</v>
      </c>
      <c r="AE562" s="118">
        <f>IFERROR((VLOOKUP($A562,Pitchers!$A1:$S251,13,FALSE)-AVERAGE(Rankings!AL2:AL651))/STDEV(Rankings!AL2:AL651)*-1,0)</f>
        <v>1.025526401969004</v>
      </c>
      <c r="AF562" s="118">
        <f>(VLOOKUP($A562,Pitchers!$A1:$S251,14,FALSE)-AVERAGE(Rankings!AM2:AM651))/STDEV(Rankings!AM2:AM651)</f>
        <v>1.228424035772691</v>
      </c>
      <c r="AG562" s="118">
        <f>(VLOOKUP($A562,Pitchers!$A1:$S251,15,FALSE)-AVERAGE(Rankings!AN2:AN651))/STDEV(Rankings!AN2:AN651)</f>
        <v>-1.1675191609415609</v>
      </c>
      <c r="AH562" s="118">
        <f>(VLOOKUP($A562,Pitchers!$A1:$S251,16,FALSE)-AVERAGE(Rankings!AO2:AO651))/STDEV(Rankings!AO2:AO651)*-1</f>
        <v>0.93248725635026086</v>
      </c>
      <c r="AI562" s="118">
        <f>IFERROR((VLOOKUP($A562,Pitchers!$A1:$S251,17,FALSE)-AVERAGE(Rankings!AP2:AP651))/STDEV(Rankings!AP2:AP651),0)</f>
        <v>-1.1136479910031813</v>
      </c>
      <c r="AJ562" s="118">
        <f>(VLOOKUP($A562,Pitchers!$A1:$S251,18,FALSE)-AVERAGE(Rankings!AQ2:AQ651))/STDEV(Rankings!AQ2:AQ651)</f>
        <v>1.3011940640842328</v>
      </c>
      <c r="AK562" s="118">
        <f>IFERROR((VLOOKUP($A562,Pitchers!$A1:$S251,19,FALSE)-AVERAGE(Rankings!AR2:AR651))/STDEV(Rankings!AR2:AR651)*-1,0)</f>
        <v>-0.94068736270870656</v>
      </c>
    </row>
    <row r="563" spans="1:37" ht="20.100000000000001" customHeight="1">
      <c r="A563" s="26" t="s">
        <v>109</v>
      </c>
      <c r="B563" s="27" t="s">
        <v>76</v>
      </c>
      <c r="C563" s="128" t="s">
        <v>34</v>
      </c>
      <c r="D563" s="67">
        <f>(V563*Settings!$G$2)+(Y563*Settings!$G$5)+(Z563*Settings!$G$6)+(AA563*Settings!$G$7)+(AB563*Settings!$G$8)+(AC563*Settings!$G$9)+(AD563*Settings!$G$10)+(AE563*Settings!$G$11)+(AF563*Settings!$G$12)+(AG563*Settings!$G$13)+(AH563*Settings!$G$14)+(AI563*Settings!$G$15)+(AJ563*Settings!$G$16)+(AK563*Settings!$G$17)+(W563*Settings!$G$3)+(X563*Settings!$G$4)</f>
        <v>7.9587302037300161</v>
      </c>
      <c r="E563" s="67"/>
      <c r="F563" s="67"/>
      <c r="G563" s="67"/>
      <c r="H563" s="67"/>
      <c r="I563" s="67"/>
      <c r="J563" s="67"/>
      <c r="K563" s="72"/>
      <c r="L563" s="72"/>
      <c r="M563" s="67"/>
      <c r="N563" s="67"/>
      <c r="O563" s="67"/>
      <c r="P563" s="67"/>
      <c r="Q563" s="67"/>
      <c r="R563" s="72"/>
      <c r="S563" s="72"/>
      <c r="T563" s="67"/>
      <c r="U563" s="67"/>
      <c r="V563" s="118">
        <f>(VLOOKUP($A563,Pitchers!$A1:$S251,4,FALSE)-AVERAGE(Rankings!AC2:AC651))/STDEV(Rankings!AC2:AC651)</f>
        <v>-0.97081525001229951</v>
      </c>
      <c r="W563" s="118">
        <f>(VLOOKUP($A563,Pitchers!$A1:$S251,5,FALSE)-AVERAGE(Rankings!AD2:AD651))/STDEV(Rankings!AD2:AD651)*-1</f>
        <v>3.0844605369339249</v>
      </c>
      <c r="X563" s="118">
        <f>(VLOOKUP($A563,Pitchers!$A1:$S251,6,FALSE)-AVERAGE(Rankings!AE2:AE651))/STDEV(Rankings!AE2:AE651)*-1</f>
        <v>2.477888861583712</v>
      </c>
      <c r="Y563" s="118">
        <f>(VLOOKUP($A563,Pitchers!$A1:$S251,7,FALSE)-AVERAGE(Rankings!AF2:AF651))/STDEV(Rankings!AF2:AF651)</f>
        <v>-0.93020442480125631</v>
      </c>
      <c r="Z563" s="118">
        <f>(VLOOKUP($A563,Pitchers!$A1:$S251,8,FALSE)-AVERAGE(Rankings!AG2:AG651))/STDEV(Rankings!AG2:AG651)</f>
        <v>-0.82782707341339312</v>
      </c>
      <c r="AA563" s="118">
        <f>(VLOOKUP($A563,Pitchers!$A1:$S251,9,FALSE)-AVERAGE(Rankings!AH2:AH651))/STDEV(Rankings!AH2:AH651)</f>
        <v>4.1544123034270291</v>
      </c>
      <c r="AB563" s="118">
        <f>(VLOOKUP($A563,Pitchers!$A1:$S251,10,FALSE)-AVERAGE(Rankings!AI2:AI651))/STDEV(Rankings!AI2:AI651)*-1</f>
        <v>1.3923255896464337</v>
      </c>
      <c r="AC563" s="118">
        <f>(VLOOKUP($A563,Pitchers!$A1:$S251,11,FALSE)-AVERAGE(Rankings!AJ2:AJ651))/STDEV(Rankings!AJ2:AJ651)*-1</f>
        <v>1.0858150733308136</v>
      </c>
      <c r="AD563" s="118">
        <f>(VLOOKUP($A563,Pitchers!$A1:$S251,12,FALSE)-AVERAGE(Rankings!AK2:AK651))/STDEV(Rankings!AK2:AK651)*-1</f>
        <v>1.5268503933901396</v>
      </c>
      <c r="AE563" s="118">
        <f>IFERROR((VLOOKUP($A563,Pitchers!$A1:$S251,13,FALSE)-AVERAGE(Rankings!AL2:AL651))/STDEV(Rankings!AL2:AL651)*-1,0)</f>
        <v>1.4505124643770713</v>
      </c>
      <c r="AF563" s="118">
        <f>(VLOOKUP($A563,Pitchers!$A1:$S251,14,FALSE)-AVERAGE(Rankings!AM2:AM651))/STDEV(Rankings!AM2:AM651)</f>
        <v>1.7208074968007026</v>
      </c>
      <c r="AG563" s="118">
        <f>(VLOOKUP($A563,Pitchers!$A1:$S251,15,FALSE)-AVERAGE(Rankings!AN2:AN651))/STDEV(Rankings!AN2:AN651)</f>
        <v>-1.2302545831997735</v>
      </c>
      <c r="AH563" s="118">
        <f>(VLOOKUP($A563,Pitchers!$A1:$S251,16,FALSE)-AVERAGE(Rankings!AO2:AO651))/STDEV(Rankings!AO2:AO651)*-1</f>
        <v>1.2674683422756887</v>
      </c>
      <c r="AI563" s="118">
        <f>IFERROR((VLOOKUP($A563,Pitchers!$A1:$S251,17,FALSE)-AVERAGE(Rankings!AP2:AP651))/STDEV(Rankings!AP2:AP651),0)</f>
        <v>-1.1136479910031813</v>
      </c>
      <c r="AJ563" s="118">
        <f>(VLOOKUP($A563,Pitchers!$A1:$S251,18,FALSE)-AVERAGE(Rankings!AQ2:AQ651))/STDEV(Rankings!AQ2:AQ651)</f>
        <v>-0.69471541349839372</v>
      </c>
      <c r="AK563" s="118">
        <f>IFERROR((VLOOKUP($A563,Pitchers!$A1:$S251,19,FALSE)-AVERAGE(Rankings!AR2:AR651))/STDEV(Rankings!AR2:AR651)*-1,0)</f>
        <v>-1.4132046234625275</v>
      </c>
    </row>
    <row r="564" spans="1:37" ht="20.100000000000001" customHeight="1">
      <c r="A564" s="26" t="s">
        <v>172</v>
      </c>
      <c r="B564" s="27" t="s">
        <v>63</v>
      </c>
      <c r="C564" s="128" t="s">
        <v>34</v>
      </c>
      <c r="D564" s="67">
        <f>(V564*Settings!$G$2)+(Y564*Settings!$G$5)+(Z564*Settings!$G$6)+(AA564*Settings!$G$7)+(AB564*Settings!$G$8)+(AC564*Settings!$G$9)+(AD564*Settings!$G$10)+(AE564*Settings!$G$11)+(AF564*Settings!$G$12)+(AG564*Settings!$G$13)+(AH564*Settings!$G$14)+(AI564*Settings!$G$15)+(AJ564*Settings!$G$16)+(AK564*Settings!$G$17)+(W564*Settings!$G$3)+(X564*Settings!$G$4)</f>
        <v>5.7431635890630588</v>
      </c>
      <c r="E564" s="67"/>
      <c r="F564" s="67"/>
      <c r="G564" s="67"/>
      <c r="H564" s="67"/>
      <c r="I564" s="67"/>
      <c r="J564" s="67"/>
      <c r="K564" s="72"/>
      <c r="L564" s="72"/>
      <c r="M564" s="67"/>
      <c r="N564" s="67"/>
      <c r="O564" s="67"/>
      <c r="P564" s="67"/>
      <c r="Q564" s="67"/>
      <c r="R564" s="72"/>
      <c r="S564" s="72"/>
      <c r="T564" s="67"/>
      <c r="U564" s="67"/>
      <c r="V564" s="118">
        <f>(VLOOKUP($A564,Pitchers!$A1:$S251,4,FALSE)-AVERAGE(Rankings!AC2:AC651))/STDEV(Rankings!AC2:AC651)</f>
        <v>-1.1249349069709877</v>
      </c>
      <c r="W564" s="118">
        <f>(VLOOKUP($A564,Pitchers!$A1:$S251,5,FALSE)-AVERAGE(Rankings!AD2:AD651))/STDEV(Rankings!AD2:AD651)*-1</f>
        <v>1.6097871768204981</v>
      </c>
      <c r="X564" s="118">
        <f>(VLOOKUP($A564,Pitchers!$A1:$S251,6,FALSE)-AVERAGE(Rankings!AE2:AE651))/STDEV(Rankings!AE2:AE651)*-1</f>
        <v>1.8578447989318547</v>
      </c>
      <c r="Y564" s="118">
        <f>(VLOOKUP($A564,Pitchers!$A1:$S251,7,FALSE)-AVERAGE(Rankings!AF2:AF651))/STDEV(Rankings!AF2:AF651)</f>
        <v>-0.53511823309464934</v>
      </c>
      <c r="Z564" s="118">
        <f>(VLOOKUP($A564,Pitchers!$A1:$S251,8,FALSE)-AVERAGE(Rankings!AG2:AG651))/STDEV(Rankings!AG2:AG651)</f>
        <v>-1.1088501286244496</v>
      </c>
      <c r="AA564" s="118">
        <f>(VLOOKUP($A564,Pitchers!$A1:$S251,9,FALSE)-AVERAGE(Rankings!AH2:AH651))/STDEV(Rankings!AH2:AH651)</f>
        <v>3.919499975029805</v>
      </c>
      <c r="AB564" s="118">
        <f>(VLOOKUP($A564,Pitchers!$A1:$S251,10,FALSE)-AVERAGE(Rankings!AI2:AI651))/STDEV(Rankings!AI2:AI651)*-1</f>
        <v>1.2877508636868391</v>
      </c>
      <c r="AC564" s="118">
        <f>(VLOOKUP($A564,Pitchers!$A1:$S251,11,FALSE)-AVERAGE(Rankings!AJ2:AJ651))/STDEV(Rankings!AJ2:AJ651)*-1</f>
        <v>1.3460849668667767</v>
      </c>
      <c r="AD564" s="118">
        <f>(VLOOKUP($A564,Pitchers!$A1:$S251,12,FALSE)-AVERAGE(Rankings!AK2:AK651))/STDEV(Rankings!AK2:AK651)*-1</f>
        <v>0.94985144395125931</v>
      </c>
      <c r="AE564" s="118">
        <f>IFERROR((VLOOKUP($A564,Pitchers!$A1:$S251,13,FALSE)-AVERAGE(Rankings!AL2:AL651))/STDEV(Rankings!AL2:AL651)*-1,0)</f>
        <v>1.0206970148961849</v>
      </c>
      <c r="AF564" s="118">
        <f>(VLOOKUP($A564,Pitchers!$A1:$S251,14,FALSE)-AVERAGE(Rankings!AM2:AM651))/STDEV(Rankings!AM2:AM651)</f>
        <v>1.3552393444403374</v>
      </c>
      <c r="AG564" s="118">
        <f>(VLOOKUP($A564,Pitchers!$A1:$S251,15,FALSE)-AVERAGE(Rankings!AN2:AN651))/STDEV(Rankings!AN2:AN651)</f>
        <v>-1.2302545831997735</v>
      </c>
      <c r="AH564" s="118">
        <f>(VLOOKUP($A564,Pitchers!$A1:$S251,16,FALSE)-AVERAGE(Rankings!AO2:AO651))/STDEV(Rankings!AO2:AO651)*-1</f>
        <v>1.2916145761581852</v>
      </c>
      <c r="AI564" s="118">
        <f>IFERROR((VLOOKUP($A564,Pitchers!$A1:$S251,17,FALSE)-AVERAGE(Rankings!AP2:AP651))/STDEV(Rankings!AP2:AP651),0)</f>
        <v>-1.1136479910031813</v>
      </c>
      <c r="AJ564" s="118">
        <f>(VLOOKUP($A564,Pitchers!$A1:$S251,18,FALSE)-AVERAGE(Rankings!AQ2:AQ651))/STDEV(Rankings!AQ2:AQ651)</f>
        <v>-0.69471541349839372</v>
      </c>
      <c r="AK564" s="118">
        <f>IFERROR((VLOOKUP($A564,Pitchers!$A1:$S251,19,FALSE)-AVERAGE(Rankings!AR2:AR651))/STDEV(Rankings!AR2:AR651)*-1,0)</f>
        <v>-0.94068736270870656</v>
      </c>
    </row>
    <row r="565" spans="1:37" ht="20.100000000000001" customHeight="1">
      <c r="A565" s="26" t="s">
        <v>174</v>
      </c>
      <c r="B565" s="27" t="s">
        <v>97</v>
      </c>
      <c r="C565" s="128" t="s">
        <v>34</v>
      </c>
      <c r="D565" s="67">
        <f>(V565*Settings!$G$2)+(Y565*Settings!$G$5)+(Z565*Settings!$G$6)+(AA565*Settings!$G$7)+(AB565*Settings!$G$8)+(AC565*Settings!$G$9)+(AD565*Settings!$G$10)+(AE565*Settings!$G$11)+(AF565*Settings!$G$12)+(AG565*Settings!$G$13)+(AH565*Settings!$G$14)+(AI565*Settings!$G$15)+(AJ565*Settings!$G$16)+(AK565*Settings!$G$17)+(W565*Settings!$G$3)+(X565*Settings!$G$4)</f>
        <v>4.462439376637148</v>
      </c>
      <c r="E565" s="67"/>
      <c r="F565" s="67"/>
      <c r="G565" s="67"/>
      <c r="H565" s="67"/>
      <c r="I565" s="67"/>
      <c r="J565" s="67"/>
      <c r="K565" s="72"/>
      <c r="L565" s="72"/>
      <c r="M565" s="67"/>
      <c r="N565" s="67"/>
      <c r="O565" s="67"/>
      <c r="P565" s="67"/>
      <c r="Q565" s="67"/>
      <c r="R565" s="72"/>
      <c r="S565" s="72"/>
      <c r="T565" s="67"/>
      <c r="U565" s="67"/>
      <c r="V565" s="118">
        <f>(VLOOKUP($A565,Pitchers!$A1:$S251,4,FALSE)-AVERAGE(Rankings!AC2:AC651))/STDEV(Rankings!AC2:AC651)</f>
        <v>-1.0591683292170648</v>
      </c>
      <c r="W565" s="118">
        <f>(VLOOKUP($A565,Pitchers!$A1:$S251,5,FALSE)-AVERAGE(Rankings!AD2:AD651))/STDEV(Rankings!AD2:AD651)*-1</f>
        <v>1.9090790455125441</v>
      </c>
      <c r="X565" s="118">
        <f>(VLOOKUP($A565,Pitchers!$A1:$S251,6,FALSE)-AVERAGE(Rankings!AE2:AE651))/STDEV(Rankings!AE2:AE651)*-1</f>
        <v>0.57500454487240138</v>
      </c>
      <c r="Y565" s="118">
        <f>(VLOOKUP($A565,Pitchers!$A1:$S251,7,FALSE)-AVERAGE(Rankings!AF2:AF651))/STDEV(Rankings!AF2:AF651)</f>
        <v>-0.55516573444950135</v>
      </c>
      <c r="Z565" s="118">
        <f>(VLOOKUP($A565,Pitchers!$A1:$S251,8,FALSE)-AVERAGE(Rankings!AG2:AG651))/STDEV(Rankings!AG2:AG651)</f>
        <v>-0.82557631667829323</v>
      </c>
      <c r="AA565" s="118">
        <f>(VLOOKUP($A565,Pitchers!$A1:$S251,9,FALSE)-AVERAGE(Rankings!AH2:AH651))/STDEV(Rankings!AH2:AH651)</f>
        <v>3.3590978373799967</v>
      </c>
      <c r="AB565" s="118">
        <f>(VLOOKUP($A565,Pitchers!$A1:$S251,10,FALSE)-AVERAGE(Rankings!AI2:AI651))/STDEV(Rankings!AI2:AI651)*-1</f>
        <v>1.2799217398182061</v>
      </c>
      <c r="AC565" s="118">
        <f>(VLOOKUP($A565,Pitchers!$A1:$S251,11,FALSE)-AVERAGE(Rankings!AJ2:AJ651))/STDEV(Rankings!AJ2:AJ651)*-1</f>
        <v>1.2486135613260143</v>
      </c>
      <c r="AD565" s="118">
        <f>(VLOOKUP($A565,Pitchers!$A1:$S251,12,FALSE)-AVERAGE(Rankings!AK2:AK651))/STDEV(Rankings!AK2:AK651)*-1</f>
        <v>0.51897841163619263</v>
      </c>
      <c r="AE565" s="118">
        <f>IFERROR((VLOOKUP($A565,Pitchers!$A1:$S251,13,FALSE)-AVERAGE(Rankings!AL2:AL651))/STDEV(Rankings!AL2:AL651)*-1,0)</f>
        <v>1.3056308521925029</v>
      </c>
      <c r="AF565" s="118">
        <f>(VLOOKUP($A565,Pitchers!$A1:$S251,14,FALSE)-AVERAGE(Rankings!AM2:AM651))/STDEV(Rankings!AM2:AM651)</f>
        <v>1.4610840769260713</v>
      </c>
      <c r="AG565" s="118">
        <f>(VLOOKUP($A565,Pitchers!$A1:$S251,15,FALSE)-AVERAGE(Rankings!AN2:AN651))/STDEV(Rankings!AN2:AN651)</f>
        <v>-1.2302545831997735</v>
      </c>
      <c r="AH565" s="118">
        <f>(VLOOKUP($A565,Pitchers!$A1:$S251,16,FALSE)-AVERAGE(Rankings!AO2:AO651))/STDEV(Rankings!AO2:AO651)*-1</f>
        <v>1.075448291876788</v>
      </c>
      <c r="AI565" s="118">
        <f>IFERROR((VLOOKUP($A565,Pitchers!$A1:$S251,17,FALSE)-AVERAGE(Rankings!AP2:AP651))/STDEV(Rankings!AP2:AP651),0)</f>
        <v>-1.1136479910031813</v>
      </c>
      <c r="AJ565" s="118">
        <f>(VLOOKUP($A565,Pitchers!$A1:$S251,18,FALSE)-AVERAGE(Rankings!AQ2:AQ651))/STDEV(Rankings!AQ2:AQ651)</f>
        <v>-0.45520627618847853</v>
      </c>
      <c r="AK565" s="118">
        <f>IFERROR((VLOOKUP($A565,Pitchers!$A1:$S251,19,FALSE)-AVERAGE(Rankings!AR2:AR651))/STDEV(Rankings!AR2:AR651)*-1,0)</f>
        <v>-3.3032736664778111</v>
      </c>
    </row>
    <row r="566" spans="1:37" ht="20.100000000000001" customHeight="1">
      <c r="A566" s="26" t="s">
        <v>161</v>
      </c>
      <c r="B566" s="27" t="s">
        <v>94</v>
      </c>
      <c r="C566" s="128" t="s">
        <v>34</v>
      </c>
      <c r="D566" s="67">
        <f>(V566*Settings!$G$2)+(Y566*Settings!$G$5)+(Z566*Settings!$G$6)+(AA566*Settings!$G$7)+(AB566*Settings!$G$8)+(AC566*Settings!$G$9)+(AD566*Settings!$G$10)+(AE566*Settings!$G$11)+(AF566*Settings!$G$12)+(AG566*Settings!$G$13)+(AH566*Settings!$G$14)+(AI566*Settings!$G$15)+(AJ566*Settings!$G$16)+(AK566*Settings!$G$17)+(W566*Settings!$G$3)+(X566*Settings!$G$4)</f>
        <v>4.2338826270262455</v>
      </c>
      <c r="E566" s="67"/>
      <c r="F566" s="67"/>
      <c r="G566" s="67"/>
      <c r="H566" s="67"/>
      <c r="I566" s="67"/>
      <c r="J566" s="67"/>
      <c r="K566" s="72"/>
      <c r="L566" s="72"/>
      <c r="M566" s="67"/>
      <c r="N566" s="67"/>
      <c r="O566" s="67"/>
      <c r="P566" s="67"/>
      <c r="Q566" s="67"/>
      <c r="R566" s="72"/>
      <c r="S566" s="72"/>
      <c r="T566" s="67"/>
      <c r="U566" s="67"/>
      <c r="V566" s="118">
        <f>(VLOOKUP($A566,Pitchers!$A1:$S251,4,FALSE)-AVERAGE(Rankings!AC2:AC651))/STDEV(Rankings!AC2:AC651)</f>
        <v>-1.0200886421226056</v>
      </c>
      <c r="W566" s="118">
        <f>(VLOOKUP($A566,Pitchers!$A1:$S251,5,FALSE)-AVERAGE(Rankings!AD2:AD651))/STDEV(Rankings!AD2:AD651)*-1</f>
        <v>1.0711981917939206</v>
      </c>
      <c r="X566" s="118">
        <f>(VLOOKUP($A566,Pitchers!$A1:$S251,6,FALSE)-AVERAGE(Rankings!AE2:AE651))/STDEV(Rankings!AE2:AE651)*-1</f>
        <v>0.93010554617086028</v>
      </c>
      <c r="Y566" s="118">
        <f>(VLOOKUP($A566,Pitchers!$A1:$S251,7,FALSE)-AVERAGE(Rankings!AF2:AF651))/STDEV(Rankings!AF2:AF651)</f>
        <v>-0.83043696495208186</v>
      </c>
      <c r="Z566" s="118">
        <f>(VLOOKUP($A566,Pitchers!$A1:$S251,8,FALSE)-AVERAGE(Rankings!AG2:AG651))/STDEV(Rankings!AG2:AG651)</f>
        <v>-0.8130363862970218</v>
      </c>
      <c r="AA566" s="118">
        <f>(VLOOKUP($A566,Pitchers!$A1:$S251,9,FALSE)-AVERAGE(Rankings!AH2:AH651))/STDEV(Rankings!AH2:AH651)</f>
        <v>3.8760522403105679</v>
      </c>
      <c r="AB566" s="118">
        <f>(VLOOKUP($A566,Pitchers!$A1:$S251,10,FALSE)-AVERAGE(Rankings!AI2:AI651))/STDEV(Rankings!AI2:AI651)*-1</f>
        <v>1.1301770362139349</v>
      </c>
      <c r="AC566" s="118">
        <f>(VLOOKUP($A566,Pitchers!$A1:$S251,11,FALSE)-AVERAGE(Rankings!AJ2:AJ651))/STDEV(Rankings!AJ2:AJ651)*-1</f>
        <v>1.0996451565382923</v>
      </c>
      <c r="AD566" s="118">
        <f>(VLOOKUP($A566,Pitchers!$A1:$S251,12,FALSE)-AVERAGE(Rankings!AK2:AK651))/STDEV(Rankings!AK2:AK651)*-1</f>
        <v>1.0057242737845649</v>
      </c>
      <c r="AE566" s="118">
        <f>IFERROR((VLOOKUP($A566,Pitchers!$A1:$S251,13,FALSE)-AVERAGE(Rankings!AL2:AL651))/STDEV(Rankings!AL2:AL651)*-1,0)</f>
        <v>1.0158676278233658</v>
      </c>
      <c r="AF566" s="118">
        <f>(VLOOKUP($A566,Pitchers!$A1:$S251,14,FALSE)-AVERAGE(Rankings!AM2:AM651))/STDEV(Rankings!AM2:AM651)</f>
        <v>1.4536451901047844</v>
      </c>
      <c r="AG566" s="118">
        <f>(VLOOKUP($A566,Pitchers!$A1:$S251,15,FALSE)-AVERAGE(Rankings!AN2:AN651))/STDEV(Rankings!AN2:AN651)</f>
        <v>-1.2302545831997735</v>
      </c>
      <c r="AH566" s="118">
        <f>(VLOOKUP($A566,Pitchers!$A1:$S251,16,FALSE)-AVERAGE(Rankings!AO2:AO651))/STDEV(Rankings!AO2:AO651)*-1</f>
        <v>1.075448291876788</v>
      </c>
      <c r="AI566" s="118">
        <f>IFERROR((VLOOKUP($A566,Pitchers!$A1:$S251,17,FALSE)-AVERAGE(Rankings!AP2:AP651))/STDEV(Rankings!AP2:AP651),0)</f>
        <v>-1.1136479910031813</v>
      </c>
      <c r="AJ566" s="118">
        <f>(VLOOKUP($A566,Pitchers!$A1:$S251,18,FALSE)-AVERAGE(Rankings!AQ2:AQ651))/STDEV(Rankings!AQ2:AQ651)</f>
        <v>-0.29553351798186839</v>
      </c>
      <c r="AK566" s="118">
        <f>IFERROR((VLOOKUP($A566,Pitchers!$A1:$S251,19,FALSE)-AVERAGE(Rankings!AR2:AR651))/STDEV(Rankings!AR2:AR651)*-1,0)</f>
        <v>-2.3582391449701694</v>
      </c>
    </row>
    <row r="567" spans="1:37" ht="20.100000000000001" customHeight="1">
      <c r="A567" s="26" t="s">
        <v>181</v>
      </c>
      <c r="B567" s="27" t="s">
        <v>78</v>
      </c>
      <c r="C567" s="128" t="s">
        <v>34</v>
      </c>
      <c r="D567" s="67">
        <f>(V567*Settings!$G$2)+(Y567*Settings!$G$5)+(Z567*Settings!$G$6)+(AA567*Settings!$G$7)+(AB567*Settings!$G$8)+(AC567*Settings!$G$9)+(AD567*Settings!$G$10)+(AE567*Settings!$G$11)+(AF567*Settings!$G$12)+(AG567*Settings!$G$13)+(AH567*Settings!$G$14)+(AI567*Settings!$G$15)+(AJ567*Settings!$G$16)+(AK567*Settings!$G$17)+(W567*Settings!$G$3)+(X567*Settings!$G$4)</f>
        <v>4.9379824598970643</v>
      </c>
      <c r="E567" s="67"/>
      <c r="F567" s="67"/>
      <c r="G567" s="67"/>
      <c r="H567" s="67"/>
      <c r="I567" s="67"/>
      <c r="J567" s="67"/>
      <c r="K567" s="72"/>
      <c r="L567" s="72"/>
      <c r="M567" s="67"/>
      <c r="N567" s="67"/>
      <c r="O567" s="67"/>
      <c r="P567" s="67"/>
      <c r="Q567" s="67"/>
      <c r="R567" s="72"/>
      <c r="S567" s="72"/>
      <c r="T567" s="67"/>
      <c r="U567" s="67"/>
      <c r="V567" s="118">
        <f>(VLOOKUP($A567,Pitchers!$A1:$S251,4,FALSE)-AVERAGE(Rankings!AC2:AC651))/STDEV(Rankings!AC2:AC651)</f>
        <v>-1.146742563544215</v>
      </c>
      <c r="W567" s="118">
        <f>(VLOOKUP($A567,Pitchers!$A1:$S251,5,FALSE)-AVERAGE(Rankings!AD2:AD651))/STDEV(Rankings!AD2:AD651)*-1</f>
        <v>1.661189683489191</v>
      </c>
      <c r="X567" s="118">
        <f>(VLOOKUP($A567,Pitchers!$A1:$S251,6,FALSE)-AVERAGE(Rankings!AE2:AE651))/STDEV(Rankings!AE2:AE651)*-1</f>
        <v>1.560379359037636</v>
      </c>
      <c r="Y567" s="118">
        <f>(VLOOKUP($A567,Pitchers!$A1:$S251,7,FALSE)-AVERAGE(Rankings!AF2:AF651))/STDEV(Rankings!AF2:AF651)</f>
        <v>-0.92770142492518148</v>
      </c>
      <c r="Z567" s="118">
        <f>(VLOOKUP($A567,Pitchers!$A1:$S251,8,FALSE)-AVERAGE(Rankings!AG2:AG651))/STDEV(Rankings!AG2:AG651)</f>
        <v>-0.89245594537840733</v>
      </c>
      <c r="AA567" s="118">
        <f>(VLOOKUP($A567,Pitchers!$A1:$S251,9,FALSE)-AVERAGE(Rankings!AH2:AH651))/STDEV(Rankings!AH2:AH651)</f>
        <v>3.5365707876738255</v>
      </c>
      <c r="AB567" s="118">
        <f>(VLOOKUP($A567,Pitchers!$A1:$S251,10,FALSE)-AVERAGE(Rankings!AI2:AI651))/STDEV(Rankings!AI2:AI651)*-1</f>
        <v>1.3110348814260195</v>
      </c>
      <c r="AC567" s="118">
        <f>(VLOOKUP($A567,Pitchers!$A1:$S251,11,FALSE)-AVERAGE(Rankings!AJ2:AJ651))/STDEV(Rankings!AJ2:AJ651)*-1</f>
        <v>1.1798643593065856</v>
      </c>
      <c r="AD567" s="118">
        <f>(VLOOKUP($A567,Pitchers!$A1:$S251,12,FALSE)-AVERAGE(Rankings!AK2:AK651))/STDEV(Rankings!AK2:AK651)*-1</f>
        <v>1.4702310208234779</v>
      </c>
      <c r="AE567" s="118">
        <f>IFERROR((VLOOKUP($A567,Pitchers!$A1:$S251,13,FALSE)-AVERAGE(Rankings!AL2:AL651))/STDEV(Rankings!AL2:AL651)*-1,0)</f>
        <v>1.2863133039012271</v>
      </c>
      <c r="AF567" s="118">
        <f>(VLOOKUP($A567,Pitchers!$A1:$S251,14,FALSE)-AVERAGE(Rankings!AM2:AM651))/STDEV(Rankings!AM2:AM651)</f>
        <v>1.2149631929532203</v>
      </c>
      <c r="AG567" s="118">
        <f>(VLOOKUP($A567,Pitchers!$A1:$S251,15,FALSE)-AVERAGE(Rankings!AN2:AN651))/STDEV(Rankings!AN2:AN651)</f>
        <v>-1.2302545831997735</v>
      </c>
      <c r="AH567" s="118">
        <f>(VLOOKUP($A567,Pitchers!$A1:$S251,16,FALSE)-AVERAGE(Rankings!AO2:AO651))/STDEV(Rankings!AO2:AO651)*-1</f>
        <v>1.4050635480505502</v>
      </c>
      <c r="AI567" s="118">
        <f>IFERROR((VLOOKUP($A567,Pitchers!$A1:$S251,17,FALSE)-AVERAGE(Rankings!AP2:AP651))/STDEV(Rankings!AP2:AP651),0)</f>
        <v>-1.1136479910031813</v>
      </c>
      <c r="AJ567" s="118">
        <f>(VLOOKUP($A567,Pitchers!$A1:$S251,18,FALSE)-AVERAGE(Rankings!AQ2:AQ651))/STDEV(Rankings!AQ2:AQ651)</f>
        <v>-0.45520627618847853</v>
      </c>
      <c r="AK567" s="118">
        <f>IFERROR((VLOOKUP($A567,Pitchers!$A1:$S251,19,FALSE)-AVERAGE(Rankings!AR2:AR651))/STDEV(Rankings!AR2:AR651)*-1,0)</f>
        <v>-1.4132046234625275</v>
      </c>
    </row>
    <row r="568" spans="1:37" ht="20.100000000000001" customHeight="1">
      <c r="A568" s="26" t="s">
        <v>182</v>
      </c>
      <c r="B568" s="27" t="s">
        <v>123</v>
      </c>
      <c r="C568" s="128" t="s">
        <v>34</v>
      </c>
      <c r="D568" s="67">
        <f>(V568*Settings!$G$2)+(Y568*Settings!$G$5)+(Z568*Settings!$G$6)+(AA568*Settings!$G$7)+(AB568*Settings!$G$8)+(AC568*Settings!$G$9)+(AD568*Settings!$G$10)+(AE568*Settings!$G$11)+(AF568*Settings!$G$12)+(AG568*Settings!$G$13)+(AH568*Settings!$G$14)+(AI568*Settings!$G$15)+(AJ568*Settings!$G$16)+(AK568*Settings!$G$17)+(W568*Settings!$G$3)+(X568*Settings!$G$4)</f>
        <v>4.6530735897993711</v>
      </c>
      <c r="E568" s="67"/>
      <c r="F568" s="67"/>
      <c r="G568" s="67"/>
      <c r="H568" s="67"/>
      <c r="I568" s="67"/>
      <c r="J568" s="67"/>
      <c r="K568" s="72"/>
      <c r="L568" s="72"/>
      <c r="M568" s="67"/>
      <c r="N568" s="67"/>
      <c r="O568" s="67"/>
      <c r="P568" s="67"/>
      <c r="Q568" s="67"/>
      <c r="R568" s="72"/>
      <c r="S568" s="72"/>
      <c r="T568" s="67"/>
      <c r="U568" s="67"/>
      <c r="V568" s="118">
        <f>(VLOOKUP($A568,Pitchers!$A1:$S251,4,FALSE)-AVERAGE(Rankings!AC2:AC651))/STDEV(Rankings!AC2:AC651)</f>
        <v>-0.98389526251577941</v>
      </c>
      <c r="W568" s="118">
        <f>(VLOOKUP($A568,Pitchers!$A1:$S251,5,FALSE)-AVERAGE(Rankings!AD2:AD651))/STDEV(Rankings!AD2:AD651)*-1</f>
        <v>1.7806903267068444</v>
      </c>
      <c r="X568" s="118">
        <f>(VLOOKUP($A568,Pitchers!$A1:$S251,6,FALSE)-AVERAGE(Rankings!AE2:AE651))/STDEV(Rankings!AE2:AE651)*-1</f>
        <v>1.1866204282650625</v>
      </c>
      <c r="Y568" s="118">
        <f>(VLOOKUP($A568,Pitchers!$A1:$S251,7,FALSE)-AVERAGE(Rankings!AF2:AF651))/STDEV(Rankings!AF2:AF651)</f>
        <v>-0.61925663268476594</v>
      </c>
      <c r="Z568" s="118">
        <f>(VLOOKUP($A568,Pitchers!$A1:$S251,8,FALSE)-AVERAGE(Rankings!AG2:AG651))/STDEV(Rankings!AG2:AG651)</f>
        <v>-0.80885640950326454</v>
      </c>
      <c r="AA568" s="118">
        <f>(VLOOKUP($A568,Pitchers!$A1:$S251,9,FALSE)-AVERAGE(Rankings!AH2:AH651))/STDEV(Rankings!AH2:AH651)</f>
        <v>3.1138758770154955</v>
      </c>
      <c r="AB568" s="118">
        <f>(VLOOKUP($A568,Pitchers!$A1:$S251,10,FALSE)-AVERAGE(Rankings!AI2:AI651))/STDEV(Rankings!AI2:AI651)*-1</f>
        <v>1.2061551246663482</v>
      </c>
      <c r="AC568" s="118">
        <f>(VLOOKUP($A568,Pitchers!$A1:$S251,11,FALSE)-AVERAGE(Rankings!AJ2:AJ651))/STDEV(Rankings!AJ2:AJ651)*-1</f>
        <v>1.1679223420659983</v>
      </c>
      <c r="AD568" s="118">
        <f>(VLOOKUP($A568,Pitchers!$A1:$S251,12,FALSE)-AVERAGE(Rankings!AK2:AK651))/STDEV(Rankings!AK2:AK651)*-1</f>
        <v>0.74663465358708625</v>
      </c>
      <c r="AE568" s="118">
        <f>IFERROR((VLOOKUP($A568,Pitchers!$A1:$S251,13,FALSE)-AVERAGE(Rankings!AL2:AL651))/STDEV(Rankings!AL2:AL651)*-1,0)</f>
        <v>1.0206970148961849</v>
      </c>
      <c r="AF568" s="118">
        <f>(VLOOKUP($A568,Pitchers!$A1:$S251,14,FALSE)-AVERAGE(Rankings!AM2:AM651))/STDEV(Rankings!AM2:AM651)</f>
        <v>1.4835424304722409</v>
      </c>
      <c r="AG568" s="118">
        <f>(VLOOKUP($A568,Pitchers!$A1:$S251,15,FALSE)-AVERAGE(Rankings!AN2:AN651))/STDEV(Rankings!AN2:AN651)</f>
        <v>-1.2302545831997735</v>
      </c>
      <c r="AH568" s="118">
        <f>(VLOOKUP($A568,Pitchers!$A1:$S251,16,FALSE)-AVERAGE(Rankings!AO2:AO651))/STDEV(Rankings!AO2:AO651)*-1</f>
        <v>1.0792810274136921</v>
      </c>
      <c r="AI568" s="118">
        <f>IFERROR((VLOOKUP($A568,Pitchers!$A1:$S251,17,FALSE)-AVERAGE(Rankings!AP2:AP651))/STDEV(Rankings!AP2:AP651),0)</f>
        <v>-1.1136479910031813</v>
      </c>
      <c r="AJ568" s="118">
        <f>(VLOOKUP($A568,Pitchers!$A1:$S251,18,FALSE)-AVERAGE(Rankings!AQ2:AQ651))/STDEV(Rankings!AQ2:AQ651)</f>
        <v>-0.29553351798186839</v>
      </c>
      <c r="AK568" s="118">
        <f>IFERROR((VLOOKUP($A568,Pitchers!$A1:$S251,19,FALSE)-AVERAGE(Rankings!AR2:AR651))/STDEV(Rankings!AR2:AR651)*-1,0)</f>
        <v>-2.83075640572399</v>
      </c>
    </row>
    <row r="569" spans="1:37" ht="20.100000000000001" customHeight="1">
      <c r="A569" s="26" t="s">
        <v>188</v>
      </c>
      <c r="B569" s="27" t="s">
        <v>73</v>
      </c>
      <c r="C569" s="128" t="s">
        <v>34</v>
      </c>
      <c r="D569" s="67">
        <f>(V569*Settings!$G$2)+(Y569*Settings!$G$5)+(Z569*Settings!$G$6)+(AA569*Settings!$G$7)+(AB569*Settings!$G$8)+(AC569*Settings!$G$9)+(AD569*Settings!$G$10)+(AE569*Settings!$G$11)+(AF569*Settings!$G$12)+(AG569*Settings!$G$13)+(AH569*Settings!$G$14)+(AI569*Settings!$G$15)+(AJ569*Settings!$G$16)+(AK569*Settings!$G$17)+(W569*Settings!$G$3)+(X569*Settings!$G$4)</f>
        <v>4.5484101383825903</v>
      </c>
      <c r="E569" s="67"/>
      <c r="F569" s="67"/>
      <c r="G569" s="67"/>
      <c r="H569" s="67"/>
      <c r="I569" s="67"/>
      <c r="J569" s="67"/>
      <c r="K569" s="72"/>
      <c r="L569" s="72"/>
      <c r="M569" s="67"/>
      <c r="N569" s="67"/>
      <c r="O569" s="67"/>
      <c r="P569" s="67"/>
      <c r="Q569" s="67"/>
      <c r="R569" s="72"/>
      <c r="S569" s="72"/>
      <c r="T569" s="67"/>
      <c r="U569" s="67"/>
      <c r="V569" s="118">
        <f>(VLOOKUP($A569,Pitchers!$A1:$S251,4,FALSE)-AVERAGE(Rankings!AC2:AC651))/STDEV(Rankings!AC2:AC651)</f>
        <v>-1.030167811127038</v>
      </c>
      <c r="W569" s="118">
        <f>(VLOOKUP($A569,Pitchers!$A1:$S251,5,FALSE)-AVERAGE(Rankings!AD2:AD651))/STDEV(Rankings!AD2:AD651)*-1</f>
        <v>1.3981279878451904</v>
      </c>
      <c r="X569" s="118">
        <f>(VLOOKUP($A569,Pitchers!$A1:$S251,6,FALSE)-AVERAGE(Rankings!AE2:AE651))/STDEV(Rankings!AE2:AE651)*-1</f>
        <v>1.7390947569907749</v>
      </c>
      <c r="Y569" s="118">
        <f>(VLOOKUP($A569,Pitchers!$A1:$S251,7,FALSE)-AVERAGE(Rankings!AF2:AF651))/STDEV(Rankings!AF2:AF651)</f>
        <v>-0.77460714142517662</v>
      </c>
      <c r="Z569" s="118">
        <f>(VLOOKUP($A569,Pitchers!$A1:$S251,8,FALSE)-AVERAGE(Rankings!AG2:AG651))/STDEV(Rankings!AG2:AG651)</f>
        <v>-0.8220394132374218</v>
      </c>
      <c r="AA569" s="118">
        <f>(VLOOKUP($A569,Pitchers!$A1:$S251,9,FALSE)-AVERAGE(Rankings!AH2:AH651))/STDEV(Rankings!AH2:AH651)</f>
        <v>3.0078339482092238</v>
      </c>
      <c r="AB569" s="118">
        <f>(VLOOKUP($A569,Pitchers!$A1:$S251,10,FALSE)-AVERAGE(Rankings!AI2:AI651))/STDEV(Rankings!AI2:AI651)*-1</f>
        <v>1.1854130302611394</v>
      </c>
      <c r="AC569" s="118">
        <f>(VLOOKUP($A569,Pitchers!$A1:$S251,11,FALSE)-AVERAGE(Rankings!AJ2:AJ651))/STDEV(Rankings!AJ2:AJ651)*-1</f>
        <v>1.0701913274547885</v>
      </c>
      <c r="AD569" s="118">
        <f>(VLOOKUP($A569,Pitchers!$A1:$S251,12,FALSE)-AVERAGE(Rankings!AK2:AK651))/STDEV(Rankings!AK2:AK651)*-1</f>
        <v>1.4769891971464939</v>
      </c>
      <c r="AE569" s="118">
        <f>IFERROR((VLOOKUP($A569,Pitchers!$A1:$S251,13,FALSE)-AVERAGE(Rankings!AL2:AL651))/STDEV(Rankings!AL2:AL651)*-1,0)</f>
        <v>0.99655007953209007</v>
      </c>
      <c r="AF569" s="118">
        <f>(VLOOKUP($A569,Pitchers!$A1:$S251,14,FALSE)-AVERAGE(Rankings!AM2:AM651))/STDEV(Rankings!AM2:AM651)</f>
        <v>1.5451080747360315</v>
      </c>
      <c r="AG569" s="118">
        <f>(VLOOKUP($A569,Pitchers!$A1:$S251,15,FALSE)-AVERAGE(Rankings!AN2:AN651))/STDEV(Rankings!AN2:AN651)</f>
        <v>-1.2302545831997735</v>
      </c>
      <c r="AH569" s="118">
        <f>(VLOOKUP($A569,Pitchers!$A1:$S251,16,FALSE)-AVERAGE(Rankings!AO2:AO651))/STDEV(Rankings!AO2:AO651)*-1</f>
        <v>1.0635668117123849</v>
      </c>
      <c r="AI569" s="118">
        <f>IFERROR((VLOOKUP($A569,Pitchers!$A1:$S251,17,FALSE)-AVERAGE(Rankings!AP2:AP651))/STDEV(Rankings!AP2:AP651),0)</f>
        <v>-1.1136479910031813</v>
      </c>
      <c r="AJ569" s="118">
        <f>(VLOOKUP($A569,Pitchers!$A1:$S251,18,FALSE)-AVERAGE(Rankings!AQ2:AQ651))/STDEV(Rankings!AQ2:AQ651)</f>
        <v>-5.6024380671953228E-2</v>
      </c>
      <c r="AK569" s="118">
        <f>IFERROR((VLOOKUP($A569,Pitchers!$A1:$S251,19,FALSE)-AVERAGE(Rankings!AR2:AR651))/STDEV(Rankings!AR2:AR651)*-1,0)</f>
        <v>-2.83075640572399</v>
      </c>
    </row>
    <row r="570" spans="1:37" ht="20.100000000000001" customHeight="1">
      <c r="A570" s="26" t="s">
        <v>197</v>
      </c>
      <c r="B570" s="27" t="s">
        <v>99</v>
      </c>
      <c r="C570" s="128" t="s">
        <v>34</v>
      </c>
      <c r="D570" s="67">
        <f>(V570*Settings!$G$2)+(Y570*Settings!$G$5)+(Z570*Settings!$G$6)+(AA570*Settings!$G$7)+(AB570*Settings!$G$8)+(AC570*Settings!$G$9)+(AD570*Settings!$G$10)+(AE570*Settings!$G$11)+(AF570*Settings!$G$12)+(AG570*Settings!$G$13)+(AH570*Settings!$G$14)+(AI570*Settings!$G$15)+(AJ570*Settings!$G$16)+(AK570*Settings!$G$17)+(W570*Settings!$G$3)+(X570*Settings!$G$4)</f>
        <v>4.3488448048012867</v>
      </c>
      <c r="E570" s="67"/>
      <c r="F570" s="67"/>
      <c r="G570" s="67"/>
      <c r="H570" s="67"/>
      <c r="I570" s="67"/>
      <c r="J570" s="67"/>
      <c r="K570" s="72"/>
      <c r="L570" s="72"/>
      <c r="M570" s="67"/>
      <c r="N570" s="67"/>
      <c r="O570" s="67"/>
      <c r="P570" s="67"/>
      <c r="Q570" s="67"/>
      <c r="R570" s="72"/>
      <c r="S570" s="72"/>
      <c r="T570" s="67"/>
      <c r="U570" s="67"/>
      <c r="V570" s="118">
        <f>(VLOOKUP($A570,Pitchers!$A1:$S251,4,FALSE)-AVERAGE(Rankings!AC2:AC651))/STDEV(Rankings!AC2:AC651)</f>
        <v>-1.0470046048048971</v>
      </c>
      <c r="W570" s="118">
        <f>(VLOOKUP($A570,Pitchers!$A1:$S251,5,FALSE)-AVERAGE(Rankings!AD2:AD651))/STDEV(Rankings!AD2:AD651)*-1</f>
        <v>1.8081465077856758</v>
      </c>
      <c r="X570" s="118">
        <f>(VLOOKUP($A570,Pitchers!$A1:$S251,6,FALSE)-AVERAGE(Rankings!AE2:AE651))/STDEV(Rankings!AE2:AE651)*-1</f>
        <v>1.1566897415307833</v>
      </c>
      <c r="Y570" s="118">
        <f>(VLOOKUP($A570,Pitchers!$A1:$S251,7,FALSE)-AVERAGE(Rankings!AF2:AF651))/STDEV(Rankings!AF2:AF651)</f>
        <v>-0.66231293102250166</v>
      </c>
      <c r="Z570" s="118">
        <f>(VLOOKUP($A570,Pitchers!$A1:$S251,8,FALSE)-AVERAGE(Rankings!AG2:AG651))/STDEV(Rankings!AG2:AG651)</f>
        <v>-1.102901700110257</v>
      </c>
      <c r="AA570" s="118">
        <f>(VLOOKUP($A570,Pitchers!$A1:$S251,9,FALSE)-AVERAGE(Rankings!AH2:AH651))/STDEV(Rankings!AH2:AH651)</f>
        <v>3.1492231866175859</v>
      </c>
      <c r="AB570" s="118">
        <f>(VLOOKUP($A570,Pitchers!$A1:$S251,10,FALSE)-AVERAGE(Rankings!AI2:AI651))/STDEV(Rankings!AI2:AI651)*-1</f>
        <v>1.2567648182457243</v>
      </c>
      <c r="AC570" s="118">
        <f>(VLOOKUP($A570,Pitchers!$A1:$S251,11,FALSE)-AVERAGE(Rankings!AJ2:AJ651))/STDEV(Rankings!AJ2:AJ651)*-1</f>
        <v>1.2192069338916827</v>
      </c>
      <c r="AD570" s="118">
        <f>(VLOOKUP($A570,Pitchers!$A1:$S251,12,FALSE)-AVERAGE(Rankings!AK2:AK651))/STDEV(Rankings!AK2:AK651)*-1</f>
        <v>0.8050221536801182</v>
      </c>
      <c r="AE570" s="118">
        <f>IFERROR((VLOOKUP($A570,Pitchers!$A1:$S251,13,FALSE)-AVERAGE(Rankings!AL2:AL651))/STDEV(Rankings!AL2:AL651)*-1,0)</f>
        <v>1.1462610787894776</v>
      </c>
      <c r="AF570" s="118">
        <f>(VLOOKUP($A570,Pitchers!$A1:$S251,14,FALSE)-AVERAGE(Rankings!AM2:AM651))/STDEV(Rankings!AM2:AM651)</f>
        <v>1.4759618505686436</v>
      </c>
      <c r="AG570" s="118">
        <f>(VLOOKUP($A570,Pitchers!$A1:$S251,15,FALSE)-AVERAGE(Rankings!AN2:AN651))/STDEV(Rankings!AN2:AN651)</f>
        <v>-1.2302545831997735</v>
      </c>
      <c r="AH570" s="118">
        <f>(VLOOKUP($A570,Pitchers!$A1:$S251,16,FALSE)-AVERAGE(Rankings!AO2:AO651))/STDEV(Rankings!AO2:AO651)*-1</f>
        <v>1.0712322827861933</v>
      </c>
      <c r="AI570" s="118">
        <f>IFERROR((VLOOKUP($A570,Pitchers!$A1:$S251,17,FALSE)-AVERAGE(Rankings!AP2:AP651))/STDEV(Rankings!AP2:AP651),0)</f>
        <v>-1.1136479910031813</v>
      </c>
      <c r="AJ570" s="118">
        <f>(VLOOKUP($A570,Pitchers!$A1:$S251,18,FALSE)-AVERAGE(Rankings!AQ2:AQ651))/STDEV(Rankings!AQ2:AQ651)</f>
        <v>-0.1358607597752583</v>
      </c>
      <c r="AK570" s="118">
        <f>IFERROR((VLOOKUP($A570,Pitchers!$A1:$S251,19,FALSE)-AVERAGE(Rankings!AR2:AR651))/STDEV(Rankings!AR2:AR651)*-1,0)</f>
        <v>-1.4132046234625275</v>
      </c>
    </row>
    <row r="571" spans="1:37" ht="20.100000000000001" customHeight="1">
      <c r="A571" s="26" t="s">
        <v>256</v>
      </c>
      <c r="B571" s="27" t="s">
        <v>103</v>
      </c>
      <c r="C571" s="128" t="s">
        <v>34</v>
      </c>
      <c r="D571" s="67">
        <f>(V571*Settings!$G$2)+(Y571*Settings!$G$5)+(Z571*Settings!$G$6)+(AA571*Settings!$G$7)+(AB571*Settings!$G$8)+(AC571*Settings!$G$9)+(AD571*Settings!$G$10)+(AE571*Settings!$G$11)+(AF571*Settings!$G$12)+(AG571*Settings!$G$13)+(AH571*Settings!$G$14)+(AI571*Settings!$G$15)+(AJ571*Settings!$G$16)+(AK571*Settings!$G$17)+(W571*Settings!$G$3)+(X571*Settings!$G$4)</f>
        <v>1.997043206947557</v>
      </c>
      <c r="E571" s="67"/>
      <c r="F571" s="67"/>
      <c r="G571" s="67"/>
      <c r="H571" s="67"/>
      <c r="I571" s="67"/>
      <c r="J571" s="67"/>
      <c r="K571" s="72"/>
      <c r="L571" s="72"/>
      <c r="M571" s="67"/>
      <c r="N571" s="67"/>
      <c r="O571" s="67"/>
      <c r="P571" s="67"/>
      <c r="Q571" s="67"/>
      <c r="R571" s="72"/>
      <c r="S571" s="72"/>
      <c r="T571" s="67"/>
      <c r="U571" s="67"/>
      <c r="V571" s="118">
        <f>(VLOOKUP($A571,Pitchers!$A1:$S251,4,FALSE)-AVERAGE(Rankings!AC2:AC651))/STDEV(Rankings!AC2:AC651)</f>
        <v>-1.0610696270065372</v>
      </c>
      <c r="W571" s="118">
        <f>(VLOOKUP($A571,Pitchers!$A1:$S251,5,FALSE)-AVERAGE(Rankings!AD2:AD651))/STDEV(Rankings!AD2:AD651)*-1</f>
        <v>0.2112621867577609</v>
      </c>
      <c r="X571" s="118">
        <f>(VLOOKUP($A571,Pitchers!$A1:$S251,6,FALSE)-AVERAGE(Rankings!AE2:AE651))/STDEV(Rankings!AE2:AE651)*-1</f>
        <v>0.37763280232127239</v>
      </c>
      <c r="Y571" s="118">
        <f>(VLOOKUP($A571,Pitchers!$A1:$S251,7,FALSE)-AVERAGE(Rankings!AF2:AF651))/STDEV(Rankings!AF2:AF651)</f>
        <v>-0.85336350372307601</v>
      </c>
      <c r="Z571" s="118">
        <f>(VLOOKUP($A571,Pitchers!$A1:$S251,8,FALSE)-AVERAGE(Rankings!AG2:AG651))/STDEV(Rankings!AG2:AG651)</f>
        <v>-1.1027409317720356</v>
      </c>
      <c r="AA571" s="118">
        <f>(VLOOKUP($A571,Pitchers!$A1:$S251,9,FALSE)-AVERAGE(Rankings!AH2:AH651))/STDEV(Rankings!AH2:AH651)</f>
        <v>3.3642526533636352</v>
      </c>
      <c r="AB571" s="118">
        <f>(VLOOKUP($A571,Pitchers!$A1:$S251,10,FALSE)-AVERAGE(Rankings!AI2:AI651))/STDEV(Rankings!AI2:AI651)*-1</f>
        <v>1.0429636466253667</v>
      </c>
      <c r="AC571" s="118">
        <f>(VLOOKUP($A571,Pitchers!$A1:$S251,11,FALSE)-AVERAGE(Rankings!AJ2:AJ651))/STDEV(Rankings!AJ2:AJ651)*-1</f>
        <v>1.1084482641089228</v>
      </c>
      <c r="AD571" s="118">
        <f>(VLOOKUP($A571,Pitchers!$A1:$S251,12,FALSE)-AVERAGE(Rankings!AK2:AK651))/STDEV(Rankings!AK2:AK651)*-1</f>
        <v>0.91378164241330317</v>
      </c>
      <c r="AE571" s="118">
        <f>IFERROR((VLOOKUP($A571,Pitchers!$A1:$S251,13,FALSE)-AVERAGE(Rankings!AL2:AL651))/STDEV(Rankings!AL2:AL651)*-1,0)</f>
        <v>0.92410927343980587</v>
      </c>
      <c r="AF571" s="118">
        <f>(VLOOKUP($A571,Pitchers!$A1:$S251,14,FALSE)-AVERAGE(Rankings!AM2:AM651))/STDEV(Rankings!AM2:AM651)</f>
        <v>1.4919731688696991</v>
      </c>
      <c r="AG571" s="118">
        <f>(VLOOKUP($A571,Pitchers!$A1:$S251,15,FALSE)-AVERAGE(Rankings!AN2:AN651))/STDEV(Rankings!AN2:AN651)</f>
        <v>-1.2302545831997735</v>
      </c>
      <c r="AH571" s="118">
        <f>(VLOOKUP($A571,Pitchers!$A1:$S251,16,FALSE)-AVERAGE(Rankings!AO2:AO651))/STDEV(Rankings!AO2:AO651)*-1</f>
        <v>1.0739151976620263</v>
      </c>
      <c r="AI571" s="118">
        <f>IFERROR((VLOOKUP($A571,Pitchers!$A1:$S251,17,FALSE)-AVERAGE(Rankings!AP2:AP651))/STDEV(Rankings!AP2:AP651),0)</f>
        <v>-1.1136479910031813</v>
      </c>
      <c r="AJ571" s="118">
        <f>(VLOOKUP($A571,Pitchers!$A1:$S251,18,FALSE)-AVERAGE(Rankings!AQ2:AQ651))/STDEV(Rankings!AQ2:AQ651)</f>
        <v>-0.45520627618847853</v>
      </c>
      <c r="AK571" s="118">
        <f>IFERROR((VLOOKUP($A571,Pitchers!$A1:$S251,19,FALSE)-AVERAGE(Rankings!AR2:AR651))/STDEV(Rankings!AR2:AR651)*-1,0)</f>
        <v>-1.4132046234625275</v>
      </c>
    </row>
    <row r="572" spans="1:37" ht="20.100000000000001" customHeight="1">
      <c r="A572" s="26" t="s">
        <v>220</v>
      </c>
      <c r="B572" s="27" t="s">
        <v>156</v>
      </c>
      <c r="C572" s="128" t="s">
        <v>34</v>
      </c>
      <c r="D572" s="67">
        <f>(V572*Settings!$G$2)+(Y572*Settings!$G$5)+(Z572*Settings!$G$6)+(AA572*Settings!$G$7)+(AB572*Settings!$G$8)+(AC572*Settings!$G$9)+(AD572*Settings!$G$10)+(AE572*Settings!$G$11)+(AF572*Settings!$G$12)+(AG572*Settings!$G$13)+(AH572*Settings!$G$14)+(AI572*Settings!$G$15)+(AJ572*Settings!$G$16)+(AK572*Settings!$G$17)+(W572*Settings!$G$3)+(X572*Settings!$G$4)</f>
        <v>4.2627270965859161</v>
      </c>
      <c r="E572" s="67"/>
      <c r="F572" s="67"/>
      <c r="G572" s="67"/>
      <c r="H572" s="67"/>
      <c r="I572" s="67"/>
      <c r="J572" s="67"/>
      <c r="K572" s="72"/>
      <c r="L572" s="72"/>
      <c r="M572" s="67"/>
      <c r="N572" s="67"/>
      <c r="O572" s="67"/>
      <c r="P572" s="67"/>
      <c r="Q572" s="67"/>
      <c r="R572" s="72"/>
      <c r="S572" s="72"/>
      <c r="T572" s="67"/>
      <c r="U572" s="67"/>
      <c r="V572" s="118">
        <f>(VLOOKUP($A572,Pitchers!$A1:$S251,4,FALSE)-AVERAGE(Rankings!AC2:AC651))/STDEV(Rankings!AC2:AC651)</f>
        <v>-0.97809974033823022</v>
      </c>
      <c r="W572" s="118">
        <f>(VLOOKUP($A572,Pitchers!$A1:$S251,5,FALSE)-AVERAGE(Rankings!AD2:AD651))/STDEV(Rankings!AD2:AD651)*-1</f>
        <v>2.2527132209791647</v>
      </c>
      <c r="X572" s="118">
        <f>(VLOOKUP($A572,Pitchers!$A1:$S251,6,FALSE)-AVERAGE(Rankings!AE2:AE651))/STDEV(Rankings!AE2:AE651)*-1</f>
        <v>1.4002332296277029</v>
      </c>
      <c r="Y572" s="118">
        <f>(VLOOKUP($A572,Pitchers!$A1:$S251,7,FALSE)-AVERAGE(Rankings!AF2:AF651))/STDEV(Rankings!AF2:AF651)</f>
        <v>-0.55873809108014305</v>
      </c>
      <c r="Z572" s="118">
        <f>(VLOOKUP($A572,Pitchers!$A1:$S251,8,FALSE)-AVERAGE(Rankings!AG2:AG651))/STDEV(Rankings!AG2:AG651)</f>
        <v>-0.94679564369725011</v>
      </c>
      <c r="AA572" s="118">
        <f>(VLOOKUP($A572,Pitchers!$A1:$S251,9,FALSE)-AVERAGE(Rankings!AH2:AH651))/STDEV(Rankings!AH2:AH651)</f>
        <v>2.1153143807564421</v>
      </c>
      <c r="AB572" s="118">
        <f>(VLOOKUP($A572,Pitchers!$A1:$S251,10,FALSE)-AVERAGE(Rankings!AI2:AI651))/STDEV(Rankings!AI2:AI651)*-1</f>
        <v>1.2723976467496501</v>
      </c>
      <c r="AC572" s="118">
        <f>(VLOOKUP($A572,Pitchers!$A1:$S251,11,FALSE)-AVERAGE(Rankings!AJ2:AJ651))/STDEV(Rankings!AJ2:AJ651)*-1</f>
        <v>1.1178649931187932</v>
      </c>
      <c r="AD572" s="118">
        <f>(VLOOKUP($A572,Pitchers!$A1:$S251,12,FALSE)-AVERAGE(Rankings!AK2:AK651))/STDEV(Rankings!AK2:AK651)*-1</f>
        <v>0.98277790766455775</v>
      </c>
      <c r="AE572" s="118">
        <f>IFERROR((VLOOKUP($A572,Pitchers!$A1:$S251,13,FALSE)-AVERAGE(Rankings!AL2:AL651))/STDEV(Rankings!AL2:AL651)*-1,0)</f>
        <v>1.2621663685371323</v>
      </c>
      <c r="AF572" s="118">
        <f>(VLOOKUP($A572,Pitchers!$A1:$S251,14,FALSE)-AVERAGE(Rankings!AM2:AM651))/STDEV(Rankings!AM2:AM651)</f>
        <v>1.3609779142739007</v>
      </c>
      <c r="AG572" s="118">
        <f>(VLOOKUP($A572,Pitchers!$A1:$S251,15,FALSE)-AVERAGE(Rankings!AN2:AN651))/STDEV(Rankings!AN2:AN651)</f>
        <v>-1.2302545831997735</v>
      </c>
      <c r="AH572" s="118">
        <f>(VLOOKUP($A572,Pitchers!$A1:$S251,16,FALSE)-AVERAGE(Rankings!AO2:AO651))/STDEV(Rankings!AO2:AO651)*-1</f>
        <v>1.1685837654235602</v>
      </c>
      <c r="AI572" s="118">
        <f>IFERROR((VLOOKUP($A572,Pitchers!$A1:$S251,17,FALSE)-AVERAGE(Rankings!AP2:AP651))/STDEV(Rankings!AP2:AP651),0)</f>
        <v>-1.1136479910031813</v>
      </c>
      <c r="AJ572" s="118">
        <f>(VLOOKUP($A572,Pitchers!$A1:$S251,18,FALSE)-AVERAGE(Rankings!AQ2:AQ651))/STDEV(Rankings!AQ2:AQ651)</f>
        <v>2.4189033715305035</v>
      </c>
      <c r="AK572" s="118">
        <f>IFERROR((VLOOKUP($A572,Pitchers!$A1:$S251,19,FALSE)-AVERAGE(Rankings!AR2:AR651))/STDEV(Rankings!AR2:AR651)*-1,0)</f>
        <v>-0.94068736270870656</v>
      </c>
    </row>
    <row r="573" spans="1:37" ht="20.100000000000001" customHeight="1">
      <c r="A573" s="26" t="s">
        <v>237</v>
      </c>
      <c r="B573" s="27" t="s">
        <v>71</v>
      </c>
      <c r="C573" s="128" t="s">
        <v>34</v>
      </c>
      <c r="D573" s="67">
        <f>(V573*Settings!$G$2)+(Y573*Settings!$G$5)+(Z573*Settings!$G$6)+(AA573*Settings!$G$7)+(AB573*Settings!$G$8)+(AC573*Settings!$G$9)+(AD573*Settings!$G$10)+(AE573*Settings!$G$11)+(AF573*Settings!$G$12)+(AG573*Settings!$G$13)+(AH573*Settings!$G$14)+(AI573*Settings!$G$15)+(AJ573*Settings!$G$16)+(AK573*Settings!$G$17)+(W573*Settings!$G$3)+(X573*Settings!$G$4)</f>
        <v>4.4421851128807441</v>
      </c>
      <c r="E573" s="67"/>
      <c r="F573" s="67"/>
      <c r="G573" s="67"/>
      <c r="H573" s="67"/>
      <c r="I573" s="67"/>
      <c r="J573" s="67"/>
      <c r="K573" s="72"/>
      <c r="L573" s="72"/>
      <c r="M573" s="67"/>
      <c r="N573" s="67"/>
      <c r="O573" s="67"/>
      <c r="P573" s="67"/>
      <c r="Q573" s="67"/>
      <c r="R573" s="72"/>
      <c r="S573" s="72"/>
      <c r="T573" s="67"/>
      <c r="U573" s="67"/>
      <c r="V573" s="118">
        <f>(VLOOKUP($A573,Pitchers!$A1:$S251,4,FALSE)-AVERAGE(Rankings!AC2:AC651))/STDEV(Rankings!AC2:AC651)</f>
        <v>-1.0544723527490907</v>
      </c>
      <c r="W573" s="118">
        <f>(VLOOKUP($A573,Pitchers!$A1:$S251,5,FALSE)-AVERAGE(Rankings!AD2:AD651))/STDEV(Rankings!AD2:AD651)*-1</f>
        <v>2.7581636564325844</v>
      </c>
      <c r="X573" s="118">
        <f>(VLOOKUP($A573,Pitchers!$A1:$S251,6,FALSE)-AVERAGE(Rankings!AE2:AE651))/STDEV(Rankings!AE2:AE651)*-1</f>
        <v>2.4262134705598299</v>
      </c>
      <c r="Y573" s="118">
        <f>(VLOOKUP($A573,Pitchers!$A1:$S251,7,FALSE)-AVERAGE(Rankings!AF2:AF651))/STDEV(Rankings!AF2:AF651)</f>
        <v>-0.51398962381210345</v>
      </c>
      <c r="Z573" s="118">
        <f>(VLOOKUP($A573,Pitchers!$A1:$S251,8,FALSE)-AVERAGE(Rankings!AG2:AG651))/STDEV(Rankings!AG2:AG651)</f>
        <v>-1.110779348683107</v>
      </c>
      <c r="AA573" s="118">
        <f>(VLOOKUP($A573,Pitchers!$A1:$S251,9,FALSE)-AVERAGE(Rankings!AH2:AH651))/STDEV(Rankings!AH2:AH651)</f>
        <v>0.88257695838354022</v>
      </c>
      <c r="AB573" s="118">
        <f>(VLOOKUP($A573,Pitchers!$A1:$S251,10,FALSE)-AVERAGE(Rankings!AI2:AI651))/STDEV(Rankings!AI2:AI651)*-1</f>
        <v>1.3963164092807692</v>
      </c>
      <c r="AC573" s="118">
        <f>(VLOOKUP($A573,Pitchers!$A1:$S251,11,FALSE)-AVERAGE(Rankings!AJ2:AJ651))/STDEV(Rankings!AJ2:AJ651)*-1</f>
        <v>1.2973256632718093</v>
      </c>
      <c r="AD573" s="118">
        <f>(VLOOKUP($A573,Pitchers!$A1:$S251,12,FALSE)-AVERAGE(Rankings!AK2:AK651))/STDEV(Rankings!AK2:AK651)*-1</f>
        <v>1.0877653910081522</v>
      </c>
      <c r="AE573" s="118">
        <f>IFERROR((VLOOKUP($A573,Pitchers!$A1:$S251,13,FALSE)-AVERAGE(Rankings!AL2:AL651))/STDEV(Rankings!AL2:AL651)*-1,0)</f>
        <v>1.3104602392653217</v>
      </c>
      <c r="AF573" s="118">
        <f>(VLOOKUP($A573,Pitchers!$A1:$S251,14,FALSE)-AVERAGE(Rankings!AM2:AM651))/STDEV(Rankings!AM2:AM651)</f>
        <v>1.4898477726350459</v>
      </c>
      <c r="AG573" s="118">
        <f>(VLOOKUP($A573,Pitchers!$A1:$S251,15,FALSE)-AVERAGE(Rankings!AN2:AN651))/STDEV(Rankings!AN2:AN651)</f>
        <v>-1.2302545831997735</v>
      </c>
      <c r="AH573" s="118">
        <f>(VLOOKUP($A573,Pitchers!$A1:$S251,16,FALSE)-AVERAGE(Rankings!AO2:AO651))/STDEV(Rankings!AO2:AO651)*-1</f>
        <v>1.06816609435667</v>
      </c>
      <c r="AI573" s="118">
        <f>IFERROR((VLOOKUP($A573,Pitchers!$A1:$S251,17,FALSE)-AVERAGE(Rankings!AP2:AP651))/STDEV(Rankings!AP2:AP651),0)</f>
        <v>-1.1136479910031813</v>
      </c>
      <c r="AJ573" s="118">
        <f>(VLOOKUP($A573,Pitchers!$A1:$S251,18,FALSE)-AVERAGE(Rankings!AQ2:AQ651))/STDEV(Rankings!AQ2:AQ651)</f>
        <v>2.0197214760139781</v>
      </c>
      <c r="AK573" s="118">
        <f>IFERROR((VLOOKUP($A573,Pitchers!$A1:$S251,19,FALSE)-AVERAGE(Rankings!AR2:AR651))/STDEV(Rankings!AR2:AR651)*-1,0)</f>
        <v>0.47686441955275594</v>
      </c>
    </row>
    <row r="574" spans="1:37" ht="20.100000000000001" customHeight="1">
      <c r="A574" s="26" t="s">
        <v>286</v>
      </c>
      <c r="B574" s="27" t="s">
        <v>217</v>
      </c>
      <c r="C574" s="128" t="s">
        <v>34</v>
      </c>
      <c r="D574" s="67">
        <f>(V574*Settings!$G$2)+(Y574*Settings!$G$5)+(Z574*Settings!$G$6)+(AA574*Settings!$G$7)+(AB574*Settings!$G$8)+(AC574*Settings!$G$9)+(AD574*Settings!$G$10)+(AE574*Settings!$G$11)+(AF574*Settings!$G$12)+(AG574*Settings!$G$13)+(AH574*Settings!$G$14)+(AI574*Settings!$G$15)+(AJ574*Settings!$G$16)+(AK574*Settings!$G$17)+(W574*Settings!$G$3)+(X574*Settings!$G$4)</f>
        <v>2.1640794733213555</v>
      </c>
      <c r="E574" s="67"/>
      <c r="F574" s="67"/>
      <c r="G574" s="67"/>
      <c r="H574" s="67"/>
      <c r="I574" s="67"/>
      <c r="J574" s="67"/>
      <c r="K574" s="72"/>
      <c r="L574" s="72"/>
      <c r="M574" s="67"/>
      <c r="N574" s="67"/>
      <c r="O574" s="67"/>
      <c r="P574" s="67"/>
      <c r="Q574" s="67"/>
      <c r="R574" s="72"/>
      <c r="S574" s="72"/>
      <c r="T574" s="67"/>
      <c r="U574" s="67"/>
      <c r="V574" s="118">
        <f>(VLOOKUP($A574,Pitchers!$A1:$S251,4,FALSE)-AVERAGE(Rankings!AC2:AC651))/STDEV(Rankings!AC2:AC651)</f>
        <v>-1.0117046060871</v>
      </c>
      <c r="W574" s="118">
        <f>(VLOOKUP($A574,Pitchers!$A1:$S251,5,FALSE)-AVERAGE(Rankings!AD2:AD651))/STDEV(Rankings!AD2:AD651)*-1</f>
        <v>0.98952374466367088</v>
      </c>
      <c r="X574" s="118">
        <f>(VLOOKUP($A574,Pitchers!$A1:$S251,6,FALSE)-AVERAGE(Rankings!AE2:AE651))/STDEV(Rankings!AE2:AE651)*-1</f>
        <v>-0.5318169743774932</v>
      </c>
      <c r="Y574" s="118">
        <f>(VLOOKUP($A574,Pitchers!$A1:$S251,7,FALSE)-AVERAGE(Rankings!AF2:AF651))/STDEV(Rankings!AF2:AF651)</f>
        <v>-0.81630030368016704</v>
      </c>
      <c r="Z574" s="118">
        <f>(VLOOKUP($A574,Pitchers!$A1:$S251,8,FALSE)-AVERAGE(Rankings!AG2:AG651))/STDEV(Rankings!AG2:AG651)</f>
        <v>-0.8091779461797074</v>
      </c>
      <c r="AA574" s="118">
        <f>(VLOOKUP($A574,Pitchers!$A1:$S251,9,FALSE)-AVERAGE(Rankings!AH2:AH651))/STDEV(Rankings!AH2:AH651)</f>
        <v>3.331850952895052</v>
      </c>
      <c r="AB574" s="118">
        <f>(VLOOKUP($A574,Pitchers!$A1:$S251,10,FALSE)-AVERAGE(Rankings!AI2:AI651))/STDEV(Rankings!AI2:AI651)*-1</f>
        <v>1.1114176420092241</v>
      </c>
      <c r="AC574" s="118">
        <f>(VLOOKUP($A574,Pitchers!$A1:$S251,11,FALSE)-AVERAGE(Rankings!AJ2:AJ651))/STDEV(Rankings!AJ2:AJ651)*-1</f>
        <v>1.0626154627626372</v>
      </c>
      <c r="AD574" s="118">
        <f>(VLOOKUP($A574,Pitchers!$A1:$S251,12,FALSE)-AVERAGE(Rankings!AK2:AK651))/STDEV(Rankings!AK2:AK651)*-1</f>
        <v>0.48455886245618168</v>
      </c>
      <c r="AE574" s="118">
        <f>IFERROR((VLOOKUP($A574,Pitchers!$A1:$S251,13,FALSE)-AVERAGE(Rankings!AL2:AL651))/STDEV(Rankings!AL2:AL651)*-1,0)</f>
        <v>1.3104602392653217</v>
      </c>
      <c r="AF574" s="118">
        <f>(VLOOKUP($A574,Pitchers!$A1:$S251,14,FALSE)-AVERAGE(Rankings!AM2:AM651))/STDEV(Rankings!AM2:AM651)</f>
        <v>1.5886078510052688</v>
      </c>
      <c r="AG574" s="118">
        <f>(VLOOKUP($A574,Pitchers!$A1:$S251,15,FALSE)-AVERAGE(Rankings!AN2:AN651))/STDEV(Rankings!AN2:AN651)</f>
        <v>-1.2302545831997735</v>
      </c>
      <c r="AH574" s="118">
        <f>(VLOOKUP($A574,Pitchers!$A1:$S251,16,FALSE)-AVERAGE(Rankings!AO2:AO651))/STDEV(Rankings!AO2:AO651)*-1</f>
        <v>1.0704657356788125</v>
      </c>
      <c r="AI574" s="118">
        <f>IFERROR((VLOOKUP($A574,Pitchers!$A1:$S251,17,FALSE)-AVERAGE(Rankings!AP2:AP651))/STDEV(Rankings!AP2:AP651),0)</f>
        <v>-1.1136479910031813</v>
      </c>
      <c r="AJ574" s="118">
        <f>(VLOOKUP($A574,Pitchers!$A1:$S251,18,FALSE)-AVERAGE(Rankings!AQ2:AQ651))/STDEV(Rankings!AQ2:AQ651)</f>
        <v>-0.37536989708517349</v>
      </c>
      <c r="AK574" s="118">
        <f>IFERROR((VLOOKUP($A574,Pitchers!$A1:$S251,19,FALSE)-AVERAGE(Rankings!AR2:AR651))/STDEV(Rankings!AR2:AR651)*-1,0)</f>
        <v>-1.8857218842163483</v>
      </c>
    </row>
    <row r="575" spans="1:37" ht="20.100000000000001" customHeight="1">
      <c r="A575" s="26" t="s">
        <v>255</v>
      </c>
      <c r="B575" s="27" t="s">
        <v>71</v>
      </c>
      <c r="C575" s="128" t="s">
        <v>34</v>
      </c>
      <c r="D575" s="67">
        <f>(V575*Settings!$G$2)+(Y575*Settings!$G$5)+(Z575*Settings!$G$6)+(AA575*Settings!$G$7)+(AB575*Settings!$G$8)+(AC575*Settings!$G$9)+(AD575*Settings!$G$10)+(AE575*Settings!$G$11)+(AF575*Settings!$G$12)+(AG575*Settings!$G$13)+(AH575*Settings!$G$14)+(AI575*Settings!$G$15)+(AJ575*Settings!$G$16)+(AK575*Settings!$G$17)+(W575*Settings!$G$3)+(X575*Settings!$G$4)</f>
        <v>2.7811580134460483</v>
      </c>
      <c r="E575" s="67"/>
      <c r="F575" s="67"/>
      <c r="G575" s="67"/>
      <c r="H575" s="67"/>
      <c r="I575" s="67"/>
      <c r="J575" s="67"/>
      <c r="K575" s="72"/>
      <c r="L575" s="72"/>
      <c r="M575" s="67"/>
      <c r="N575" s="67"/>
      <c r="O575" s="67"/>
      <c r="P575" s="67"/>
      <c r="Q575" s="67"/>
      <c r="R575" s="72"/>
      <c r="S575" s="72"/>
      <c r="T575" s="67"/>
      <c r="U575" s="67"/>
      <c r="V575" s="118">
        <f>(VLOOKUP($A575,Pitchers!$A1:$S251,4,FALSE)-AVERAGE(Rankings!AC2:AC651))/STDEV(Rankings!AC2:AC651)</f>
        <v>-1.0669567779932174</v>
      </c>
      <c r="W575" s="118">
        <f>(VLOOKUP($A575,Pitchers!$A1:$S251,5,FALSE)-AVERAGE(Rankings!AD2:AD651))/STDEV(Rankings!AD2:AD651)*-1</f>
        <v>0.73423297296612977</v>
      </c>
      <c r="X575" s="118">
        <f>(VLOOKUP($A575,Pitchers!$A1:$S251,6,FALSE)-AVERAGE(Rankings!AE2:AE651))/STDEV(Rankings!AE2:AE651)*-1</f>
        <v>1.5915151232709275</v>
      </c>
      <c r="Y575" s="118">
        <f>(VLOOKUP($A575,Pitchers!$A1:$S251,7,FALSE)-AVERAGE(Rankings!AF2:AF651))/STDEV(Rankings!AF2:AF651)</f>
        <v>-0.80915559041888341</v>
      </c>
      <c r="Z575" s="118">
        <f>(VLOOKUP($A575,Pitchers!$A1:$S251,8,FALSE)-AVERAGE(Rankings!AG2:AG651))/STDEV(Rankings!AG2:AG651)</f>
        <v>-0.82718400006050741</v>
      </c>
      <c r="AA575" s="118">
        <f>(VLOOKUP($A575,Pitchers!$A1:$S251,9,FALSE)-AVERAGE(Rankings!AH2:AH651))/STDEV(Rankings!AH2:AH651)</f>
        <v>2.0917495076883816</v>
      </c>
      <c r="AB575" s="118">
        <f>(VLOOKUP($A575,Pitchers!$A1:$S251,10,FALSE)-AVERAGE(Rankings!AI2:AI651))/STDEV(Rankings!AI2:AI651)*-1</f>
        <v>1.1214074007117329</v>
      </c>
      <c r="AC575" s="118">
        <f>(VLOOKUP($A575,Pitchers!$A1:$S251,11,FALSE)-AVERAGE(Rankings!AJ2:AJ651))/STDEV(Rankings!AJ2:AJ651)*-1</f>
        <v>1.1657510662040733</v>
      </c>
      <c r="AD575" s="118">
        <f>(VLOOKUP($A575,Pitchers!$A1:$S251,12,FALSE)-AVERAGE(Rankings!AK2:AK651))/STDEV(Rankings!AK2:AK651)*-1</f>
        <v>1.2339305998547736</v>
      </c>
      <c r="AE575" s="118">
        <f>IFERROR((VLOOKUP($A575,Pitchers!$A1:$S251,13,FALSE)-AVERAGE(Rankings!AL2:AL651))/STDEV(Rankings!AL2:AL651)*-1,0)</f>
        <v>0.73093379052704799</v>
      </c>
      <c r="AF575" s="118">
        <f>(VLOOKUP($A575,Pitchers!$A1:$S251,14,FALSE)-AVERAGE(Rankings!AM2:AM651))/STDEV(Rankings!AM2:AM651)</f>
        <v>1.3906626150178918</v>
      </c>
      <c r="AG575" s="118">
        <f>(VLOOKUP($A575,Pitchers!$A1:$S251,15,FALSE)-AVERAGE(Rankings!AN2:AN651))/STDEV(Rankings!AN2:AN651)</f>
        <v>-1.2302545831997735</v>
      </c>
      <c r="AH575" s="118">
        <f>(VLOOKUP($A575,Pitchers!$A1:$S251,16,FALSE)-AVERAGE(Rankings!AO2:AO651))/STDEV(Rankings!AO2:AO651)*-1</f>
        <v>1.0746817447694073</v>
      </c>
      <c r="AI575" s="118">
        <f>IFERROR((VLOOKUP($A575,Pitchers!$A1:$S251,17,FALSE)-AVERAGE(Rankings!AP2:AP651))/STDEV(Rankings!AP2:AP651),0)</f>
        <v>-1.1136479910031813</v>
      </c>
      <c r="AJ575" s="118">
        <f>(VLOOKUP($A575,Pitchers!$A1:$S251,18,FALSE)-AVERAGE(Rankings!AQ2:AQ651))/STDEV(Rankings!AQ2:AQ651)</f>
        <v>0.74233941036109741</v>
      </c>
      <c r="AK575" s="118">
        <f>IFERROR((VLOOKUP($A575,Pitchers!$A1:$S251,19,FALSE)-AVERAGE(Rankings!AR2:AR651))/STDEV(Rankings!AR2:AR651)*-1,0)</f>
        <v>-3.7757909272316317</v>
      </c>
    </row>
    <row r="576" spans="1:37" ht="20.100000000000001" customHeight="1">
      <c r="A576" s="26" t="s">
        <v>269</v>
      </c>
      <c r="B576" s="27" t="s">
        <v>101</v>
      </c>
      <c r="C576" s="128" t="s">
        <v>34</v>
      </c>
      <c r="D576" s="67">
        <f>(V576*Settings!$G$2)+(Y576*Settings!$G$5)+(Z576*Settings!$G$6)+(AA576*Settings!$G$7)+(AB576*Settings!$G$8)+(AC576*Settings!$G$9)+(AD576*Settings!$G$10)+(AE576*Settings!$G$11)+(AF576*Settings!$G$12)+(AG576*Settings!$G$13)+(AH576*Settings!$G$14)+(AI576*Settings!$G$15)+(AJ576*Settings!$G$16)+(AK576*Settings!$G$17)+(W576*Settings!$G$3)+(X576*Settings!$G$4)</f>
        <v>3.0724972204590353</v>
      </c>
      <c r="E576" s="67"/>
      <c r="F576" s="67"/>
      <c r="G576" s="67"/>
      <c r="H576" s="67"/>
      <c r="I576" s="67"/>
      <c r="J576" s="67"/>
      <c r="K576" s="72"/>
      <c r="L576" s="72"/>
      <c r="M576" s="67"/>
      <c r="N576" s="67"/>
      <c r="O576" s="67"/>
      <c r="P576" s="67"/>
      <c r="Q576" s="67"/>
      <c r="R576" s="72"/>
      <c r="S576" s="72"/>
      <c r="T576" s="67"/>
      <c r="U576" s="67"/>
      <c r="V576" s="118">
        <f>(VLOOKUP($A576,Pitchers!$A1:$S251,4,FALSE)-AVERAGE(Rankings!AC2:AC651))/STDEV(Rankings!AC2:AC651)</f>
        <v>-1.1502015510889179</v>
      </c>
      <c r="W576" s="118">
        <f>(VLOOKUP($A576,Pitchers!$A1:$S251,5,FALSE)-AVERAGE(Rankings!AD2:AD651))/STDEV(Rankings!AD2:AD651)*-1</f>
        <v>1.7906582568383775</v>
      </c>
      <c r="X576" s="118">
        <f>(VLOOKUP($A576,Pitchers!$A1:$S251,6,FALSE)-AVERAGE(Rankings!AE2:AE651))/STDEV(Rankings!AE2:AE651)*-1</f>
        <v>1.0753391051521037</v>
      </c>
      <c r="Y576" s="118">
        <f>(VLOOKUP($A576,Pitchers!$A1:$S251,7,FALSE)-AVERAGE(Rankings!AF2:AF651))/STDEV(Rankings!AF2:AF651)</f>
        <v>-0.78929610783406556</v>
      </c>
      <c r="Z576" s="118">
        <f>(VLOOKUP($A576,Pitchers!$A1:$S251,8,FALSE)-AVERAGE(Rankings!AG2:AG651))/STDEV(Rankings!AG2:AG651)</f>
        <v>-0.95161869384389275</v>
      </c>
      <c r="AA576" s="118">
        <f>(VLOOKUP($A576,Pitchers!$A1:$S251,9,FALSE)-AVERAGE(Rankings!AH2:AH651))/STDEV(Rankings!AH2:AH651)</f>
        <v>1.9474146601465125</v>
      </c>
      <c r="AB576" s="118">
        <f>(VLOOKUP($A576,Pitchers!$A1:$S251,10,FALSE)-AVERAGE(Rankings!AI2:AI651))/STDEV(Rankings!AI2:AI651)*-1</f>
        <v>1.3305568526309219</v>
      </c>
      <c r="AC576" s="118">
        <f>(VLOOKUP($A576,Pitchers!$A1:$S251,11,FALSE)-AVERAGE(Rankings!AJ2:AJ651))/STDEV(Rankings!AJ2:AJ651)*-1</f>
        <v>1.2326358030811968</v>
      </c>
      <c r="AD576" s="118">
        <f>(VLOOKUP($A576,Pitchers!$A1:$S251,12,FALSE)-AVERAGE(Rankings!AK2:AK651))/STDEV(Rankings!AK2:AK651)*-1</f>
        <v>1.1254068614584383</v>
      </c>
      <c r="AE576" s="118">
        <f>IFERROR((VLOOKUP($A576,Pitchers!$A1:$S251,13,FALSE)-AVERAGE(Rankings!AL2:AL651))/STDEV(Rankings!AL2:AL651)*-1,0)</f>
        <v>1.3684128841391492</v>
      </c>
      <c r="AF576" s="118">
        <f>(VLOOKUP($A576,Pitchers!$A1:$S251,14,FALSE)-AVERAGE(Rankings!AM2:AM651))/STDEV(Rankings!AM2:AM651)</f>
        <v>1.1869788091969524</v>
      </c>
      <c r="AG576" s="118">
        <f>(VLOOKUP($A576,Pitchers!$A1:$S251,15,FALSE)-AVERAGE(Rankings!AN2:AN651))/STDEV(Rankings!AN2:AN651)</f>
        <v>-1.2302545831997735</v>
      </c>
      <c r="AH576" s="118">
        <f>(VLOOKUP($A576,Pitchers!$A1:$S251,16,FALSE)-AVERAGE(Rankings!AO2:AO651))/STDEV(Rankings!AO2:AO651)*-1</f>
        <v>1.0995945257592843</v>
      </c>
      <c r="AI576" s="118">
        <f>IFERROR((VLOOKUP($A576,Pitchers!$A1:$S251,17,FALSE)-AVERAGE(Rankings!AP2:AP651))/STDEV(Rankings!AP2:AP651),0)</f>
        <v>-1.1136479910031813</v>
      </c>
      <c r="AJ576" s="118">
        <f>(VLOOKUP($A576,Pitchers!$A1:$S251,18,FALSE)-AVERAGE(Rankings!AQ2:AQ651))/STDEV(Rankings!AQ2:AQ651)</f>
        <v>0.66250303125779231</v>
      </c>
      <c r="AK576" s="118">
        <f>IFERROR((VLOOKUP($A576,Pitchers!$A1:$S251,19,FALSE)-AVERAGE(Rankings!AR2:AR651))/STDEV(Rankings!AR2:AR651)*-1,0)</f>
        <v>-1.4132046234625275</v>
      </c>
    </row>
    <row r="577" spans="1:37" ht="20.100000000000001" customHeight="1">
      <c r="A577" s="26" t="s">
        <v>289</v>
      </c>
      <c r="B577" s="27" t="s">
        <v>137</v>
      </c>
      <c r="C577" s="128" t="s">
        <v>34</v>
      </c>
      <c r="D577" s="67">
        <f>(V577*Settings!$G$2)+(Y577*Settings!$G$5)+(Z577*Settings!$G$6)+(AA577*Settings!$G$7)+(AB577*Settings!$G$8)+(AC577*Settings!$G$9)+(AD577*Settings!$G$10)+(AE577*Settings!$G$11)+(AF577*Settings!$G$12)+(AG577*Settings!$G$13)+(AH577*Settings!$G$14)+(AI577*Settings!$G$15)+(AJ577*Settings!$G$16)+(AK577*Settings!$G$17)+(W577*Settings!$G$3)+(X577*Settings!$G$4)</f>
        <v>2.9712051493357317</v>
      </c>
      <c r="E577" s="67"/>
      <c r="F577" s="67"/>
      <c r="G577" s="67"/>
      <c r="H577" s="67"/>
      <c r="I577" s="67"/>
      <c r="J577" s="67"/>
      <c r="K577" s="72"/>
      <c r="L577" s="72"/>
      <c r="M577" s="67"/>
      <c r="N577" s="67"/>
      <c r="O577" s="67"/>
      <c r="P577" s="67"/>
      <c r="Q577" s="67"/>
      <c r="R577" s="72"/>
      <c r="S577" s="72"/>
      <c r="T577" s="67"/>
      <c r="U577" s="67"/>
      <c r="V577" s="118">
        <f>(VLOOKUP($A577,Pitchers!$A1:$S251,4,FALSE)-AVERAGE(Rankings!AC2:AC651))/STDEV(Rankings!AC2:AC651)</f>
        <v>-1.0789486983882639</v>
      </c>
      <c r="W577" s="118">
        <f>(VLOOKUP($A577,Pitchers!$A1:$S251,5,FALSE)-AVERAGE(Rankings!AD2:AD651))/STDEV(Rankings!AD2:AD651)*-1</f>
        <v>1.1751116946770386</v>
      </c>
      <c r="X577" s="118">
        <f>(VLOOKUP($A577,Pitchers!$A1:$S251,6,FALSE)-AVERAGE(Rankings!AE2:AE651))/STDEV(Rankings!AE2:AE651)*-1</f>
        <v>0.63239445828693808</v>
      </c>
      <c r="Y577" s="118">
        <f>(VLOOKUP($A577,Pitchers!$A1:$S251,7,FALSE)-AVERAGE(Rankings!AF2:AF651))/STDEV(Rankings!AF2:AF651)</f>
        <v>-0.81947312042448683</v>
      </c>
      <c r="Z577" s="118">
        <f>(VLOOKUP($A577,Pitchers!$A1:$S251,8,FALSE)-AVERAGE(Rankings!AG2:AG651))/STDEV(Rankings!AG2:AG651)</f>
        <v>-1.113030105418207</v>
      </c>
      <c r="AA577" s="118">
        <f>(VLOOKUP($A577,Pitchers!$A1:$S251,9,FALSE)-AVERAGE(Rankings!AH2:AH651))/STDEV(Rankings!AH2:AH651)</f>
        <v>3.0962022222144494</v>
      </c>
      <c r="AB577" s="118">
        <f>(VLOOKUP($A577,Pitchers!$A1:$S251,10,FALSE)-AVERAGE(Rankings!AI2:AI651))/STDEV(Rankings!AI2:AI651)*-1</f>
        <v>1.1926829309962983</v>
      </c>
      <c r="AC577" s="118">
        <f>(VLOOKUP($A577,Pitchers!$A1:$S251,11,FALSE)-AVERAGE(Rankings!AJ2:AJ651))/STDEV(Rankings!AJ2:AJ651)*-1</f>
        <v>1.0914792712314876</v>
      </c>
      <c r="AD577" s="118">
        <f>(VLOOKUP($A577,Pitchers!$A1:$S251,12,FALSE)-AVERAGE(Rankings!AK2:AK651))/STDEV(Rankings!AK2:AK651)*-1</f>
        <v>1.1444240552976221</v>
      </c>
      <c r="AE577" s="118">
        <f>IFERROR((VLOOKUP($A577,Pitchers!$A1:$S251,13,FALSE)-AVERAGE(Rankings!AL2:AL651))/STDEV(Rankings!AL2:AL651)*-1,0)</f>
        <v>1.1607492400079344</v>
      </c>
      <c r="AF577" s="118">
        <f>(VLOOKUP($A577,Pitchers!$A1:$S251,14,FALSE)-AVERAGE(Rankings!AM2:AM651))/STDEV(Rankings!AM2:AM651)</f>
        <v>1.2592777044457417</v>
      </c>
      <c r="AG577" s="118">
        <f>(VLOOKUP($A577,Pitchers!$A1:$S251,15,FALSE)-AVERAGE(Rankings!AN2:AN651))/STDEV(Rankings!AN2:AN651)</f>
        <v>-1.2302545831997735</v>
      </c>
      <c r="AH577" s="118">
        <f>(VLOOKUP($A577,Pitchers!$A1:$S251,16,FALSE)-AVERAGE(Rankings!AO2:AO651))/STDEV(Rankings!AO2:AO651)*-1</f>
        <v>1.0817723055126798</v>
      </c>
      <c r="AI577" s="118">
        <f>IFERROR((VLOOKUP($A577,Pitchers!$A1:$S251,17,FALSE)-AVERAGE(Rankings!AP2:AP651))/STDEV(Rankings!AP2:AP651),0)</f>
        <v>-1.1136479910031813</v>
      </c>
      <c r="AJ577" s="118">
        <f>(VLOOKUP($A577,Pitchers!$A1:$S251,18,FALSE)-AVERAGE(Rankings!AQ2:AQ651))/STDEV(Rankings!AQ2:AQ651)</f>
        <v>-0.21569713887856334</v>
      </c>
      <c r="AK577" s="118">
        <f>IFERROR((VLOOKUP($A577,Pitchers!$A1:$S251,19,FALSE)-AVERAGE(Rankings!AR2:AR651))/STDEV(Rankings!AR2:AR651)*-1,0)</f>
        <v>-1.8857218842163483</v>
      </c>
    </row>
    <row r="578" spans="1:37" ht="20.100000000000001" customHeight="1">
      <c r="A578" s="26" t="s">
        <v>301</v>
      </c>
      <c r="B578" s="27" t="s">
        <v>117</v>
      </c>
      <c r="C578" s="128" t="s">
        <v>34</v>
      </c>
      <c r="D578" s="67">
        <f>(V578*Settings!$G$2)+(Y578*Settings!$G$5)+(Z578*Settings!$G$6)+(AA578*Settings!$G$7)+(AB578*Settings!$G$8)+(AC578*Settings!$G$9)+(AD578*Settings!$G$10)+(AE578*Settings!$G$11)+(AF578*Settings!$G$12)+(AG578*Settings!$G$13)+(AH578*Settings!$G$14)+(AI578*Settings!$G$15)+(AJ578*Settings!$G$16)+(AK578*Settings!$G$17)+(W578*Settings!$G$3)+(X578*Settings!$G$4)</f>
        <v>0.97939334336374007</v>
      </c>
      <c r="E578" s="67"/>
      <c r="F578" s="67"/>
      <c r="G578" s="67"/>
      <c r="H578" s="67"/>
      <c r="I578" s="67"/>
      <c r="J578" s="67"/>
      <c r="K578" s="72"/>
      <c r="L578" s="72"/>
      <c r="M578" s="67"/>
      <c r="N578" s="67"/>
      <c r="O578" s="67"/>
      <c r="P578" s="67"/>
      <c r="Q578" s="67"/>
      <c r="R578" s="72"/>
      <c r="S578" s="72"/>
      <c r="T578" s="67"/>
      <c r="U578" s="67"/>
      <c r="V578" s="118">
        <f>(VLOOKUP($A578,Pitchers!$A1:$S251,4,FALSE)-AVERAGE(Rankings!AC2:AC651))/STDEV(Rankings!AC2:AC651)</f>
        <v>-0.91728111827739245</v>
      </c>
      <c r="W578" s="118">
        <f>(VLOOKUP($A578,Pitchers!$A1:$S251,5,FALSE)-AVERAGE(Rankings!AD2:AD651))/STDEV(Rankings!AD2:AD651)*-1</f>
        <v>0.59257288435484545</v>
      </c>
      <c r="X578" s="118">
        <f>(VLOOKUP($A578,Pitchers!$A1:$S251,6,FALSE)-AVERAGE(Rankings!AE2:AE651))/STDEV(Rankings!AE2:AE651)*-1</f>
        <v>-8.8591858855007338E-3</v>
      </c>
      <c r="Y578" s="118">
        <f>(VLOOKUP($A578,Pitchers!$A1:$S251,7,FALSE)-AVERAGE(Rankings!AF2:AF651))/STDEV(Rankings!AF2:AF651)</f>
        <v>-0.82605377737566954</v>
      </c>
      <c r="Z578" s="118">
        <f>(VLOOKUP($A578,Pitchers!$A1:$S251,8,FALSE)-AVERAGE(Rankings!AG2:AG651))/STDEV(Rankings!AG2:AG651)</f>
        <v>-1.0673718973633213</v>
      </c>
      <c r="AA578" s="118">
        <f>(VLOOKUP($A578,Pitchers!$A1:$S251,9,FALSE)-AVERAGE(Rankings!AH2:AH651))/STDEV(Rankings!AH2:AH651)</f>
        <v>2.2891053196333861</v>
      </c>
      <c r="AB578" s="118">
        <f>(VLOOKUP($A578,Pitchers!$A1:$S251,10,FALSE)-AVERAGE(Rankings!AI2:AI651))/STDEV(Rankings!AI2:AI651)*-1</f>
        <v>0.97143392400740392</v>
      </c>
      <c r="AC578" s="118">
        <f>(VLOOKUP($A578,Pitchers!$A1:$S251,11,FALSE)-AVERAGE(Rankings!AJ2:AJ651))/STDEV(Rankings!AJ2:AJ651)*-1</f>
        <v>0.89309073976038644</v>
      </c>
      <c r="AD578" s="118">
        <f>(VLOOKUP($A578,Pitchers!$A1:$S251,12,FALSE)-AVERAGE(Rankings!AK2:AK651))/STDEV(Rankings!AK2:AK651)*-1</f>
        <v>0.87142516522602931</v>
      </c>
      <c r="AE578" s="118">
        <f>IFERROR((VLOOKUP($A578,Pitchers!$A1:$S251,13,FALSE)-AVERAGE(Rankings!AL2:AL651))/STDEV(Rankings!AL2:AL651)*-1,0)</f>
        <v>0.8758154027116164</v>
      </c>
      <c r="AF578" s="118">
        <f>(VLOOKUP($A578,Pitchers!$A1:$S251,14,FALSE)-AVERAGE(Rankings!AM2:AM651))/STDEV(Rankings!AM2:AM651)</f>
        <v>1.7845693838403012</v>
      </c>
      <c r="AG578" s="118">
        <f>(VLOOKUP($A578,Pitchers!$A1:$S251,15,FALSE)-AVERAGE(Rankings!AN2:AN651))/STDEV(Rankings!AN2:AN651)</f>
        <v>-1.2302545831997735</v>
      </c>
      <c r="AH578" s="118">
        <f>(VLOOKUP($A578,Pitchers!$A1:$S251,16,FALSE)-AVERAGE(Rankings!AO2:AO651))/STDEV(Rankings!AO2:AO651)*-1</f>
        <v>1.0624169910513137</v>
      </c>
      <c r="AI578" s="118">
        <f>IFERROR((VLOOKUP($A578,Pitchers!$A1:$S251,17,FALSE)-AVERAGE(Rankings!AP2:AP651))/STDEV(Rankings!AP2:AP651),0)</f>
        <v>-1.1136479910031813</v>
      </c>
      <c r="AJ578" s="118">
        <f>(VLOOKUP($A578,Pitchers!$A1:$S251,18,FALSE)-AVERAGE(Rankings!AQ2:AQ651))/STDEV(Rankings!AQ2:AQ651)</f>
        <v>1.2213576849809278</v>
      </c>
      <c r="AK578" s="118">
        <f>IFERROR((VLOOKUP($A578,Pitchers!$A1:$S251,19,FALSE)-AVERAGE(Rankings!AR2:AR651))/STDEV(Rankings!AR2:AR651)*-1,0)</f>
        <v>-1.4132046234625275</v>
      </c>
    </row>
    <row r="579" spans="1:37" ht="20.100000000000001" customHeight="1">
      <c r="A579" s="26" t="s">
        <v>288</v>
      </c>
      <c r="B579" s="27" t="s">
        <v>68</v>
      </c>
      <c r="C579" s="128" t="s">
        <v>34</v>
      </c>
      <c r="D579" s="67">
        <f>(V579*Settings!$G$2)+(Y579*Settings!$G$5)+(Z579*Settings!$G$6)+(AA579*Settings!$G$7)+(AB579*Settings!$G$8)+(AC579*Settings!$G$9)+(AD579*Settings!$G$10)+(AE579*Settings!$G$11)+(AF579*Settings!$G$12)+(AG579*Settings!$G$13)+(AH579*Settings!$G$14)+(AI579*Settings!$G$15)+(AJ579*Settings!$G$16)+(AK579*Settings!$G$17)+(W579*Settings!$G$3)+(X579*Settings!$G$4)</f>
        <v>1.7904247537838271</v>
      </c>
      <c r="E579" s="67"/>
      <c r="F579" s="67"/>
      <c r="G579" s="67"/>
      <c r="H579" s="67"/>
      <c r="I579" s="67"/>
      <c r="J579" s="67"/>
      <c r="K579" s="72"/>
      <c r="L579" s="72"/>
      <c r="M579" s="67"/>
      <c r="N579" s="67"/>
      <c r="O579" s="67"/>
      <c r="P579" s="67"/>
      <c r="Q579" s="67"/>
      <c r="R579" s="72"/>
      <c r="S579" s="72"/>
      <c r="T579" s="67"/>
      <c r="U579" s="67"/>
      <c r="V579" s="118">
        <f>(VLOOKUP($A579,Pitchers!$A1:$S251,4,FALSE)-AVERAGE(Rankings!AC2:AC651))/STDEV(Rankings!AC2:AC651)</f>
        <v>-1.052456518948204</v>
      </c>
      <c r="W579" s="118">
        <f>(VLOOKUP($A579,Pitchers!$A1:$S251,5,FALSE)-AVERAGE(Rankings!AD2:AD651))/STDEV(Rankings!AD2:AD651)*-1</f>
        <v>0.92225743426126272</v>
      </c>
      <c r="X579" s="118">
        <f>(VLOOKUP($A579,Pitchers!$A1:$S251,6,FALSE)-AVERAGE(Rankings!AE2:AE651))/STDEV(Rankings!AE2:AE651)*-1</f>
        <v>-0.12621370172522217</v>
      </c>
      <c r="Y579" s="118">
        <f>(VLOOKUP($A579,Pitchers!$A1:$S251,7,FALSE)-AVERAGE(Rankings!AF2:AF651))/STDEV(Rankings!AF2:AF651)</f>
        <v>-1.0373398702011294</v>
      </c>
      <c r="Z579" s="118">
        <f>(VLOOKUP($A579,Pitchers!$A1:$S251,8,FALSE)-AVERAGE(Rankings!AG2:AG651))/STDEV(Rankings!AG2:AG651)</f>
        <v>-0.80821333615037894</v>
      </c>
      <c r="AA579" s="118">
        <f>(VLOOKUP($A579,Pitchers!$A1:$S251,9,FALSE)-AVERAGE(Rankings!AH2:AH651))/STDEV(Rankings!AH2:AH651)</f>
        <v>2.8399342275992949</v>
      </c>
      <c r="AB579" s="118">
        <f>(VLOOKUP($A579,Pitchers!$A1:$S251,10,FALSE)-AVERAGE(Rankings!AI2:AI651))/STDEV(Rankings!AI2:AI651)*-1</f>
        <v>1.1355913329152945</v>
      </c>
      <c r="AC579" s="118">
        <f>(VLOOKUP($A579,Pitchers!$A1:$S251,11,FALSE)-AVERAGE(Rankings!AJ2:AJ651))/STDEV(Rankings!AJ2:AJ651)*-1</f>
        <v>1.063771903167358</v>
      </c>
      <c r="AD579" s="118">
        <f>(VLOOKUP($A579,Pitchers!$A1:$S251,12,FALSE)-AVERAGE(Rankings!AK2:AK651))/STDEV(Rankings!AK2:AK651)*-1</f>
        <v>0.82301776272628824</v>
      </c>
      <c r="AE579" s="118">
        <f>IFERROR((VLOOKUP($A579,Pitchers!$A1:$S251,13,FALSE)-AVERAGE(Rankings!AL2:AL651))/STDEV(Rankings!AL2:AL651)*-1,0)</f>
        <v>1.4408536902314335</v>
      </c>
      <c r="AF579" s="118">
        <f>(VLOOKUP($A579,Pitchers!$A1:$S251,14,FALSE)-AVERAGE(Rankings!AM2:AM651))/STDEV(Rankings!AM2:AM651)</f>
        <v>1.3694086526713589</v>
      </c>
      <c r="AG579" s="118">
        <f>(VLOOKUP($A579,Pitchers!$A1:$S251,15,FALSE)-AVERAGE(Rankings!AN2:AN651))/STDEV(Rankings!AN2:AN651)</f>
        <v>-1.2302545831997735</v>
      </c>
      <c r="AH579" s="118">
        <f>(VLOOKUP($A579,Pitchers!$A1:$S251,16,FALSE)-AVERAGE(Rankings!AO2:AO651))/STDEV(Rankings!AO2:AO651)*-1</f>
        <v>1.075448291876788</v>
      </c>
      <c r="AI579" s="118">
        <f>IFERROR((VLOOKUP($A579,Pitchers!$A1:$S251,17,FALSE)-AVERAGE(Rankings!AP2:AP651))/STDEV(Rankings!AP2:AP651),0)</f>
        <v>-1.1136479910031813</v>
      </c>
      <c r="AJ579" s="118">
        <f>(VLOOKUP($A579,Pitchers!$A1:$S251,18,FALSE)-AVERAGE(Rankings!AQ2:AQ651))/STDEV(Rankings!AQ2:AQ651)</f>
        <v>-0.21569713887856334</v>
      </c>
      <c r="AK579" s="118">
        <f>IFERROR((VLOOKUP($A579,Pitchers!$A1:$S251,19,FALSE)-AVERAGE(Rankings!AR2:AR651))/STDEV(Rankings!AR2:AR651)*-1,0)</f>
        <v>-4.7208254487392738</v>
      </c>
    </row>
    <row r="580" spans="1:37" ht="20.100000000000001" customHeight="1">
      <c r="A580" s="26" t="s">
        <v>347</v>
      </c>
      <c r="B580" s="27" t="s">
        <v>223</v>
      </c>
      <c r="C580" s="128" t="s">
        <v>34</v>
      </c>
      <c r="D580" s="67">
        <f>(V580*Settings!$G$2)+(Y580*Settings!$G$5)+(Z580*Settings!$G$6)+(AA580*Settings!$G$7)+(AB580*Settings!$G$8)+(AC580*Settings!$G$9)+(AD580*Settings!$G$10)+(AE580*Settings!$G$11)+(AF580*Settings!$G$12)+(AG580*Settings!$G$13)+(AH580*Settings!$G$14)+(AI580*Settings!$G$15)+(AJ580*Settings!$G$16)+(AK580*Settings!$G$17)+(W580*Settings!$G$3)+(X580*Settings!$G$4)</f>
        <v>1.7315664092713101</v>
      </c>
      <c r="E580" s="67"/>
      <c r="F580" s="67"/>
      <c r="G580" s="67"/>
      <c r="H580" s="67"/>
      <c r="I580" s="67"/>
      <c r="J580" s="67"/>
      <c r="K580" s="72"/>
      <c r="L580" s="72"/>
      <c r="M580" s="67"/>
      <c r="N580" s="67"/>
      <c r="O580" s="67"/>
      <c r="P580" s="67"/>
      <c r="Q580" s="67"/>
      <c r="R580" s="72"/>
      <c r="S580" s="72"/>
      <c r="T580" s="67"/>
      <c r="U580" s="67"/>
      <c r="V580" s="118">
        <f>(VLOOKUP($A580,Pitchers!$A1:$S251,4,FALSE)-AVERAGE(Rankings!AC2:AC651))/STDEV(Rankings!AC2:AC651)</f>
        <v>-0.9960589869279467</v>
      </c>
      <c r="W580" s="118">
        <f>(VLOOKUP($A580,Pitchers!$A1:$S251,5,FALSE)-AVERAGE(Rankings!AD2:AD651))/STDEV(Rankings!AD2:AD651)*-1</f>
        <v>0.11175334634653848</v>
      </c>
      <c r="X580" s="118">
        <f>(VLOOKUP($A580,Pitchers!$A1:$S251,6,FALSE)-AVERAGE(Rankings!AE2:AE651))/STDEV(Rankings!AE2:AE651)*-1</f>
        <v>0.66018970654933717</v>
      </c>
      <c r="Y580" s="118">
        <f>(VLOOKUP($A580,Pitchers!$A1:$S251,7,FALSE)-AVERAGE(Rankings!AF2:AF651))/STDEV(Rankings!AF2:AF651)</f>
        <v>-0.65049125085662751</v>
      </c>
      <c r="Z580" s="118">
        <f>(VLOOKUP($A580,Pitchers!$A1:$S251,8,FALSE)-AVERAGE(Rankings!AG2:AG651))/STDEV(Rankings!AG2:AG651)</f>
        <v>-0.82332555994319312</v>
      </c>
      <c r="AA580" s="118">
        <f>(VLOOKUP($A580,Pitchers!$A1:$S251,9,FALSE)-AVERAGE(Rankings!AH2:AH651))/STDEV(Rankings!AH2:AH651)</f>
        <v>2.433440167175255</v>
      </c>
      <c r="AB580" s="118">
        <f>(VLOOKUP($A580,Pitchers!$A1:$S251,10,FALSE)-AVERAGE(Rankings!AI2:AI651))/STDEV(Rankings!AI2:AI651)*-1</f>
        <v>0.96904451607347053</v>
      </c>
      <c r="AC580" s="118">
        <f>(VLOOKUP($A580,Pitchers!$A1:$S251,11,FALSE)-AVERAGE(Rankings!AJ2:AJ651))/STDEV(Rankings!AJ2:AJ651)*-1</f>
        <v>1.2300633132013075</v>
      </c>
      <c r="AD580" s="118">
        <f>(VLOOKUP($A580,Pitchers!$A1:$S251,12,FALSE)-AVERAGE(Rankings!AK2:AK651))/STDEV(Rankings!AK2:AK651)*-1</f>
        <v>0.36338318931559555</v>
      </c>
      <c r="AE580" s="118">
        <f>IFERROR((VLOOKUP($A580,Pitchers!$A1:$S251,13,FALSE)-AVERAGE(Rankings!AL2:AL651))/STDEV(Rankings!AL2:AL651)*-1,0)</f>
        <v>0.89030356393007337</v>
      </c>
      <c r="AF580" s="118">
        <f>(VLOOKUP($A580,Pitchers!$A1:$S251,14,FALSE)-AVERAGE(Rankings!AM2:AM651))/STDEV(Rankings!AM2:AM651)</f>
        <v>1.6279985278875095</v>
      </c>
      <c r="AG580" s="118">
        <f>(VLOOKUP($A580,Pitchers!$A1:$S251,15,FALSE)-AVERAGE(Rankings!AN2:AN651))/STDEV(Rankings!AN2:AN651)</f>
        <v>-1.2302545831997735</v>
      </c>
      <c r="AH580" s="118">
        <f>(VLOOKUP($A580,Pitchers!$A1:$S251,16,FALSE)-AVERAGE(Rankings!AO2:AO651))/STDEV(Rankings!AO2:AO651)*-1</f>
        <v>1.019873626591677</v>
      </c>
      <c r="AI580" s="118">
        <f>IFERROR((VLOOKUP($A580,Pitchers!$A1:$S251,17,FALSE)-AVERAGE(Rankings!AP2:AP651))/STDEV(Rankings!AP2:AP651),0)</f>
        <v>-1.1136479910031813</v>
      </c>
      <c r="AJ580" s="118">
        <f>(VLOOKUP($A580,Pitchers!$A1:$S251,18,FALSE)-AVERAGE(Rankings!AQ2:AQ651))/STDEV(Rankings!AQ2:AQ651)</f>
        <v>0.82217578946440251</v>
      </c>
      <c r="AK580" s="118">
        <f>IFERROR((VLOOKUP($A580,Pitchers!$A1:$S251,19,FALSE)-AVERAGE(Rankings!AR2:AR651))/STDEV(Rankings!AR2:AR651)*-1,0)</f>
        <v>-2.83075640572399</v>
      </c>
    </row>
    <row r="581" spans="1:37" ht="20.100000000000001" customHeight="1">
      <c r="A581" s="26" t="s">
        <v>382</v>
      </c>
      <c r="B581" s="27" t="s">
        <v>176</v>
      </c>
      <c r="C581" s="128" t="s">
        <v>34</v>
      </c>
      <c r="D581" s="67">
        <f>(V581*Settings!$G$2)+(Y581*Settings!$G$5)+(Z581*Settings!$G$6)+(AA581*Settings!$G$7)+(AB581*Settings!$G$8)+(AC581*Settings!$G$9)+(AD581*Settings!$G$10)+(AE581*Settings!$G$11)+(AF581*Settings!$G$12)+(AG581*Settings!$G$13)+(AH581*Settings!$G$14)+(AI581*Settings!$G$15)+(AJ581*Settings!$G$16)+(AK581*Settings!$G$17)+(W581*Settings!$G$3)+(X581*Settings!$G$4)</f>
        <v>-0.78052837480127746</v>
      </c>
      <c r="E581" s="67"/>
      <c r="F581" s="67"/>
      <c r="G581" s="67"/>
      <c r="H581" s="67"/>
      <c r="I581" s="67"/>
      <c r="J581" s="67"/>
      <c r="K581" s="72"/>
      <c r="L581" s="72"/>
      <c r="M581" s="67"/>
      <c r="N581" s="67"/>
      <c r="O581" s="67"/>
      <c r="P581" s="67"/>
      <c r="Q581" s="67"/>
      <c r="R581" s="72"/>
      <c r="S581" s="72"/>
      <c r="T581" s="67"/>
      <c r="U581" s="67"/>
      <c r="V581" s="118">
        <f>(VLOOKUP($A581,Pitchers!$A1:$S251,4,FALSE)-AVERAGE(Rankings!AC2:AC651))/STDEV(Rankings!AC2:AC651)</f>
        <v>-1.0488829953920871</v>
      </c>
      <c r="W581" s="118">
        <f>(VLOOKUP($A581,Pitchers!$A1:$S251,5,FALSE)-AVERAGE(Rankings!AD2:AD651))/STDEV(Rankings!AD2:AD651)*-1</f>
        <v>-0.62770202914362838</v>
      </c>
      <c r="X581" s="118">
        <f>(VLOOKUP($A581,Pitchers!$A1:$S251,6,FALSE)-AVERAGE(Rankings!AE2:AE651))/STDEV(Rankings!AE2:AE651)*-1</f>
        <v>-1.4381295846711064</v>
      </c>
      <c r="Y581" s="118">
        <f>(VLOOKUP($A581,Pitchers!$A1:$S251,7,FALSE)-AVERAGE(Rankings!AF2:AF651))/STDEV(Rankings!AF2:AF651)</f>
        <v>-0.9182534817309842</v>
      </c>
      <c r="Z581" s="118">
        <f>(VLOOKUP($A581,Pitchers!$A1:$S251,8,FALSE)-AVERAGE(Rankings!AG2:AG651))/STDEV(Rankings!AG2:AG651)</f>
        <v>-0.80869564116504333</v>
      </c>
      <c r="AA581" s="118">
        <f>(VLOOKUP($A581,Pitchers!$A1:$S251,9,FALSE)-AVERAGE(Rankings!AH2:AH651))/STDEV(Rankings!AH2:AH651)</f>
        <v>3.0122523619094848</v>
      </c>
      <c r="AB581" s="118">
        <f>(VLOOKUP($A581,Pitchers!$A1:$S251,10,FALSE)-AVERAGE(Rankings!AI2:AI651))/STDEV(Rankings!AI2:AI651)*-1</f>
        <v>0.91296968732605555</v>
      </c>
      <c r="AC581" s="118">
        <f>(VLOOKUP($A581,Pitchers!$A1:$S251,11,FALSE)-AVERAGE(Rankings!AJ2:AJ651))/STDEV(Rankings!AJ2:AJ651)*-1</f>
        <v>0.99252101374179835</v>
      </c>
      <c r="AD581" s="118">
        <f>(VLOOKUP($A581,Pitchers!$A1:$S251,12,FALSE)-AVERAGE(Rankings!AK2:AK651))/STDEV(Rankings!AK2:AK651)*-1</f>
        <v>0.51143440085701197</v>
      </c>
      <c r="AE581" s="118">
        <f>IFERROR((VLOOKUP($A581,Pitchers!$A1:$S251,13,FALSE)-AVERAGE(Rankings!AL2:AL651))/STDEV(Rankings!AL2:AL651)*-1,0)</f>
        <v>1.0786496597700121</v>
      </c>
      <c r="AF581" s="118">
        <f>(VLOOKUP($A581,Pitchers!$A1:$S251,14,FALSE)-AVERAGE(Rankings!AM2:AM651))/STDEV(Rankings!AM2:AM651)</f>
        <v>1.4834715839310855</v>
      </c>
      <c r="AG581" s="118">
        <f>(VLOOKUP($A581,Pitchers!$A1:$S251,15,FALSE)-AVERAGE(Rankings!AN2:AN651))/STDEV(Rankings!AN2:AN651)</f>
        <v>-1.2302545831997735</v>
      </c>
      <c r="AH581" s="118">
        <f>(VLOOKUP($A581,Pitchers!$A1:$S251,16,FALSE)-AVERAGE(Rankings!AO2:AO651))/STDEV(Rankings!AO2:AO651)*-1</f>
        <v>0.76442180305701135</v>
      </c>
      <c r="AI581" s="118">
        <f>IFERROR((VLOOKUP($A581,Pitchers!$A1:$S251,17,FALSE)-AVERAGE(Rankings!AP2:AP651))/STDEV(Rankings!AP2:AP651),0)</f>
        <v>-1.1136479910031813</v>
      </c>
      <c r="AJ581" s="118">
        <f>(VLOOKUP($A581,Pitchers!$A1:$S251,18,FALSE)-AVERAGE(Rankings!AQ2:AQ651))/STDEV(Rankings!AQ2:AQ651)</f>
        <v>-0.29553351798186839</v>
      </c>
      <c r="AK581" s="118">
        <f>IFERROR((VLOOKUP($A581,Pitchers!$A1:$S251,19,FALSE)-AVERAGE(Rankings!AR2:AR651))/STDEV(Rankings!AR2:AR651)*-1,0)</f>
        <v>-1.4132046234625275</v>
      </c>
    </row>
    <row r="582" spans="1:37" ht="20.100000000000001" customHeight="1">
      <c r="A582" s="26" t="s">
        <v>241</v>
      </c>
      <c r="B582" s="27" t="s">
        <v>114</v>
      </c>
      <c r="C582" s="128" t="s">
        <v>34</v>
      </c>
      <c r="D582" s="67">
        <f>(V582*Settings!$G$2)+(Y582*Settings!$G$5)+(Z582*Settings!$G$6)+(AA582*Settings!$G$7)+(AB582*Settings!$G$8)+(AC582*Settings!$G$9)+(AD582*Settings!$G$10)+(AE582*Settings!$G$11)+(AF582*Settings!$G$12)+(AG582*Settings!$G$13)+(AH582*Settings!$G$14)+(AI582*Settings!$G$15)+(AJ582*Settings!$G$16)+(AK582*Settings!$G$17)+(W582*Settings!$G$3)+(X582*Settings!$G$4)</f>
        <v>1.9927337799907143</v>
      </c>
      <c r="E582" s="67"/>
      <c r="F582" s="67"/>
      <c r="G582" s="67"/>
      <c r="H582" s="67"/>
      <c r="I582" s="67"/>
      <c r="J582" s="67"/>
      <c r="K582" s="72"/>
      <c r="L582" s="72"/>
      <c r="M582" s="67"/>
      <c r="N582" s="67"/>
      <c r="O582" s="67"/>
      <c r="P582" s="67"/>
      <c r="Q582" s="67"/>
      <c r="R582" s="72"/>
      <c r="S582" s="72"/>
      <c r="T582" s="67"/>
      <c r="U582" s="67"/>
      <c r="V582" s="118">
        <f>(VLOOKUP($A582,Pitchers!$A1:$S251,4,FALSE)-AVERAGE(Rankings!AC2:AC651))/STDEV(Rankings!AC2:AC651)</f>
        <v>-1.8146020460992922</v>
      </c>
      <c r="W582" s="118">
        <f>(VLOOKUP($A582,Pitchers!$A1:$S251,5,FALSE)-AVERAGE(Rankings!AD2:AD651))/STDEV(Rankings!AD2:AD651)*-1</f>
        <v>1.9501740576345614</v>
      </c>
      <c r="X582" s="118">
        <f>(VLOOKUP($A582,Pitchers!$A1:$S251,6,FALSE)-AVERAGE(Rankings!AE2:AE651))/STDEV(Rankings!AE2:AE651)*-1</f>
        <v>2.364992658264808</v>
      </c>
      <c r="Y582" s="118">
        <f>(VLOOKUP($A582,Pitchers!$A1:$S251,7,FALSE)-AVERAGE(Rankings!AF2:AF651))/STDEV(Rankings!AF2:AF651)</f>
        <v>-1.6498815206249295</v>
      </c>
      <c r="Z582" s="118">
        <f>(VLOOKUP($A582,Pitchers!$A1:$S251,8,FALSE)-AVERAGE(Rankings!AG2:AG651))/STDEV(Rankings!AG2:AG651)</f>
        <v>-1.4004838941581206</v>
      </c>
      <c r="AA582" s="118">
        <f>(VLOOKUP($A582,Pitchers!$A1:$S251,9,FALSE)-AVERAGE(Rankings!AH2:AH651))/STDEV(Rankings!AH2:AH651)</f>
        <v>0.72793247887439494</v>
      </c>
      <c r="AB582" s="118">
        <f>(VLOOKUP($A582,Pitchers!$A1:$S251,10,FALSE)-AVERAGE(Rankings!AI2:AI651))/STDEV(Rankings!AI2:AI651)*-1</f>
        <v>1.8309090416899063</v>
      </c>
      <c r="AC582" s="118">
        <f>(VLOOKUP($A582,Pitchers!$A1:$S251,11,FALSE)-AVERAGE(Rankings!AJ2:AJ651))/STDEV(Rankings!AJ2:AJ651)*-1</f>
        <v>1.7622855084433731</v>
      </c>
      <c r="AD582" s="118">
        <f>(VLOOKUP($A582,Pitchers!$A1:$S251,12,FALSE)-AVERAGE(Rankings!AK2:AK651))/STDEV(Rankings!AK2:AK651)*-1</f>
        <v>2.1413336463880723</v>
      </c>
      <c r="AE582" s="118">
        <f>IFERROR((VLOOKUP($A582,Pitchers!$A1:$S251,13,FALSE)-AVERAGE(Rankings!AL2:AL651))/STDEV(Rankings!AL2:AL651)*-1,0)</f>
        <v>1.5326120446149933</v>
      </c>
      <c r="AF582" s="118">
        <f>(VLOOKUP($A582,Pitchers!$A1:$S251,14,FALSE)-AVERAGE(Rankings!AM2:AM651))/STDEV(Rankings!AM2:AM651)</f>
        <v>-0.88719537620119204</v>
      </c>
      <c r="AG582" s="118">
        <f>(VLOOKUP($A582,Pitchers!$A1:$S251,15,FALSE)-AVERAGE(Rankings!AN2:AN651))/STDEV(Rankings!AN2:AN651)</f>
        <v>-1.2302545831997735</v>
      </c>
      <c r="AH582" s="118">
        <f>(VLOOKUP($A582,Pitchers!$A1:$S251,16,FALSE)-AVERAGE(Rankings!AO2:AO651))/STDEV(Rankings!AO2:AO651)*-1</f>
        <v>1.7354453513316928</v>
      </c>
      <c r="AI582" s="118">
        <f>IFERROR((VLOOKUP($A582,Pitchers!$A1:$S251,17,FALSE)-AVERAGE(Rankings!AP2:AP651))/STDEV(Rankings!AP2:AP651),0)</f>
        <v>-1.1136479910031813</v>
      </c>
      <c r="AJ582" s="118">
        <f>(VLOOKUP($A582,Pitchers!$A1:$S251,18,FALSE)-AVERAGE(Rankings!AQ2:AQ651))/STDEV(Rankings!AQ2:AQ651)</f>
        <v>-0.69471541349839372</v>
      </c>
      <c r="AK582" s="118">
        <f>IFERROR((VLOOKUP($A582,Pitchers!$A1:$S251,19,FALSE)-AVERAGE(Rankings!AR2:AR651))/STDEV(Rankings!AR2:AR651)*-1,0)</f>
        <v>-0.94068736270870656</v>
      </c>
    </row>
    <row r="583" spans="1:37" ht="20.100000000000001" customHeight="1">
      <c r="A583" s="26" t="s">
        <v>331</v>
      </c>
      <c r="B583" s="27" t="s">
        <v>123</v>
      </c>
      <c r="C583" s="128" t="s">
        <v>34</v>
      </c>
      <c r="D583" s="67">
        <f>(V583*Settings!$G$2)+(Y583*Settings!$G$5)+(Z583*Settings!$G$6)+(AA583*Settings!$G$7)+(AB583*Settings!$G$8)+(AC583*Settings!$G$9)+(AD583*Settings!$G$10)+(AE583*Settings!$G$11)+(AF583*Settings!$G$12)+(AG583*Settings!$G$13)+(AH583*Settings!$G$14)+(AI583*Settings!$G$15)+(AJ583*Settings!$G$16)+(AK583*Settings!$G$17)+(W583*Settings!$G$3)+(X583*Settings!$G$4)</f>
        <v>1.2699669248517642</v>
      </c>
      <c r="E583" s="67"/>
      <c r="F583" s="67"/>
      <c r="G583" s="67"/>
      <c r="H583" s="67"/>
      <c r="I583" s="67"/>
      <c r="J583" s="67"/>
      <c r="K583" s="72"/>
      <c r="L583" s="72"/>
      <c r="M583" s="67"/>
      <c r="N583" s="67"/>
      <c r="O583" s="67"/>
      <c r="P583" s="67"/>
      <c r="Q583" s="67"/>
      <c r="R583" s="72"/>
      <c r="S583" s="72"/>
      <c r="T583" s="67"/>
      <c r="U583" s="67"/>
      <c r="V583" s="118">
        <f>(VLOOKUP($A583,Pitchers!$A1:$S251,4,FALSE)-AVERAGE(Rankings!AC2:AC651))/STDEV(Rankings!AC2:AC651)</f>
        <v>-1.0172252418372552</v>
      </c>
      <c r="W583" s="118">
        <f>(VLOOKUP($A583,Pitchers!$A1:$S251,5,FALSE)-AVERAGE(Rankings!AD2:AD651))/STDEV(Rankings!AD2:AD651)*-1</f>
        <v>0.9754285268587729</v>
      </c>
      <c r="X583" s="118">
        <f>(VLOOKUP($A583,Pitchers!$A1:$S251,6,FALSE)-AVERAGE(Rankings!AE2:AE651))/STDEV(Rankings!AE2:AE651)*-1</f>
        <v>1.5933907530624685</v>
      </c>
      <c r="Y583" s="118">
        <f>(VLOOKUP($A583,Pitchers!$A1:$S251,7,FALSE)-AVERAGE(Rankings!AF2:AF651))/STDEV(Rankings!AF2:AF651)</f>
        <v>-0.82706437826460089</v>
      </c>
      <c r="Z583" s="118">
        <f>(VLOOKUP($A583,Pitchers!$A1:$S251,8,FALSE)-AVERAGE(Rankings!AG2:AG651))/STDEV(Rankings!AG2:AG651)</f>
        <v>-0.82268248659030729</v>
      </c>
      <c r="AA583" s="118">
        <f>(VLOOKUP($A583,Pitchers!$A1:$S251,9,FALSE)-AVERAGE(Rankings!AH2:AH651))/STDEV(Rankings!AH2:AH651)</f>
        <v>0.35089450978543107</v>
      </c>
      <c r="AB583" s="118">
        <f>(VLOOKUP($A583,Pitchers!$A1:$S251,10,FALSE)-AVERAGE(Rankings!AI2:AI651))/STDEV(Rankings!AI2:AI651)*-1</f>
        <v>1.113934146109856</v>
      </c>
      <c r="AC583" s="118">
        <f>(VLOOKUP($A583,Pitchers!$A1:$S251,11,FALSE)-AVERAGE(Rankings!AJ2:AJ651))/STDEV(Rankings!AJ2:AJ651)*-1</f>
        <v>1.1005891895217379</v>
      </c>
      <c r="AD583" s="118">
        <f>(VLOOKUP($A583,Pitchers!$A1:$S251,12,FALSE)-AVERAGE(Rankings!AK2:AK651))/STDEV(Rankings!AK2:AK651)*-1</f>
        <v>1.267800064915469</v>
      </c>
      <c r="AE583" s="118">
        <f>IFERROR((VLOOKUP($A583,Pitchers!$A1:$S251,13,FALSE)-AVERAGE(Rankings!AL2:AL651))/STDEV(Rankings!AL2:AL651)*-1,0)</f>
        <v>0.9482562088039006</v>
      </c>
      <c r="AF583" s="118">
        <f>(VLOOKUP($A583,Pitchers!$A1:$S251,14,FALSE)-AVERAGE(Rankings!AM2:AM651))/STDEV(Rankings!AM2:AM651)</f>
        <v>1.5621112446132577</v>
      </c>
      <c r="AG583" s="118">
        <f>(VLOOKUP($A583,Pitchers!$A1:$S251,15,FALSE)-AVERAGE(Rankings!AN2:AN651))/STDEV(Rankings!AN2:AN651)</f>
        <v>-1.2302545831997735</v>
      </c>
      <c r="AH583" s="118">
        <f>(VLOOKUP($A583,Pitchers!$A1:$S251,16,FALSE)-AVERAGE(Rankings!AO2:AO651))/STDEV(Rankings!AO2:AO651)*-1</f>
        <v>1.0631835381586945</v>
      </c>
      <c r="AI583" s="118">
        <f>IFERROR((VLOOKUP($A583,Pitchers!$A1:$S251,17,FALSE)-AVERAGE(Rankings!AP2:AP651))/STDEV(Rankings!AP2:AP651),0)</f>
        <v>-1.1136479910031813</v>
      </c>
      <c r="AJ583" s="118">
        <f>(VLOOKUP($A583,Pitchers!$A1:$S251,18,FALSE)-AVERAGE(Rankings!AQ2:AQ651))/STDEV(Rankings!AQ2:AQ651)</f>
        <v>1.9398850969106731</v>
      </c>
      <c r="AK583" s="118">
        <f>IFERROR((VLOOKUP($A583,Pitchers!$A1:$S251,19,FALSE)-AVERAGE(Rankings!AR2:AR651))/STDEV(Rankings!AR2:AR651)*-1,0)</f>
        <v>-0.46817010195488579</v>
      </c>
    </row>
    <row r="584" spans="1:37" ht="20.100000000000001" customHeight="1">
      <c r="A584" s="26" t="s">
        <v>411</v>
      </c>
      <c r="B584" s="27" t="s">
        <v>103</v>
      </c>
      <c r="C584" s="128" t="s">
        <v>34</v>
      </c>
      <c r="D584" s="67">
        <f>(V584*Settings!$G$2)+(Y584*Settings!$G$5)+(Z584*Settings!$G$6)+(AA584*Settings!$G$7)+(AB584*Settings!$G$8)+(AC584*Settings!$G$9)+(AD584*Settings!$G$10)+(AE584*Settings!$G$11)+(AF584*Settings!$G$12)+(AG584*Settings!$G$13)+(AH584*Settings!$G$14)+(AI584*Settings!$G$15)+(AJ584*Settings!$G$16)+(AK584*Settings!$G$17)+(W584*Settings!$G$3)+(X584*Settings!$G$4)</f>
        <v>0.17958220347167597</v>
      </c>
      <c r="E584" s="67"/>
      <c r="F584" s="67"/>
      <c r="G584" s="67"/>
      <c r="H584" s="67"/>
      <c r="I584" s="67"/>
      <c r="J584" s="67"/>
      <c r="K584" s="72"/>
      <c r="L584" s="72"/>
      <c r="M584" s="67"/>
      <c r="N584" s="67"/>
      <c r="O584" s="67"/>
      <c r="P584" s="67"/>
      <c r="Q584" s="67"/>
      <c r="R584" s="72"/>
      <c r="S584" s="72"/>
      <c r="T584" s="67"/>
      <c r="U584" s="67"/>
      <c r="V584" s="118">
        <f>(VLOOKUP($A584,Pitchers!$A1:$S251,4,FALSE)-AVERAGE(Rankings!AC2:AC651))/STDEV(Rankings!AC2:AC651)</f>
        <v>0.20171280603517738</v>
      </c>
      <c r="W584" s="118">
        <f>(VLOOKUP($A584,Pitchers!$A1:$S251,5,FALSE)-AVERAGE(Rankings!AD2:AD651))/STDEV(Rankings!AD2:AD651)*-1</f>
        <v>1.3501477416759507E-2</v>
      </c>
      <c r="X584" s="118">
        <f>(VLOOKUP($A584,Pitchers!$A1:$S251,6,FALSE)-AVERAGE(Rankings!AE2:AE651))/STDEV(Rankings!AE2:AE651)*-1</f>
        <v>0.2799883599560653</v>
      </c>
      <c r="Y584" s="118">
        <f>(VLOOKUP($A584,Pitchers!$A1:$S251,7,FALSE)-AVERAGE(Rankings!AF2:AF651))/STDEV(Rankings!AF2:AF651)</f>
        <v>0.12394631173938388</v>
      </c>
      <c r="Z584" s="118">
        <f>(VLOOKUP($A584,Pitchers!$A1:$S251,8,FALSE)-AVERAGE(Rankings!AG2:AG651))/STDEV(Rankings!AG2:AG651)</f>
        <v>0.17858272385274798</v>
      </c>
      <c r="AA584" s="118">
        <f>(VLOOKUP($A584,Pitchers!$A1:$S251,9,FALSE)-AVERAGE(Rankings!AH2:AH651))/STDEV(Rankings!AH2:AH651)</f>
        <v>-0.41643666949328068</v>
      </c>
      <c r="AB584" s="118">
        <f>(VLOOKUP($A584,Pitchers!$A1:$S251,10,FALSE)-AVERAGE(Rankings!AI2:AI651))/STDEV(Rankings!AI2:AI651)*-1</f>
        <v>-0.16281090484543345</v>
      </c>
      <c r="AC584" s="118">
        <f>(VLOOKUP($A584,Pitchers!$A1:$S251,11,FALSE)-AVERAGE(Rankings!AJ2:AJ651))/STDEV(Rankings!AJ2:AJ651)*-1</f>
        <v>-0.28685608624831854</v>
      </c>
      <c r="AD584" s="118">
        <f>(VLOOKUP($A584,Pitchers!$A1:$S251,12,FALSE)-AVERAGE(Rankings!AK2:AK651))/STDEV(Rankings!AK2:AK651)*-1</f>
        <v>0.33289281241640789</v>
      </c>
      <c r="AE584" s="118">
        <f>IFERROR((VLOOKUP($A584,Pitchers!$A1:$S251,13,FALSE)-AVERAGE(Rankings!AL2:AL651))/STDEV(Rankings!AL2:AL651)*-1,0)</f>
        <v>-9.0062011852173204E-2</v>
      </c>
      <c r="AF584" s="118">
        <f>(VLOOKUP($A584,Pitchers!$A1:$S251,14,FALSE)-AVERAGE(Rankings!AM2:AM651))/STDEV(Rankings!AM2:AM651)</f>
        <v>-0.64029518027563503</v>
      </c>
      <c r="AG584" s="118">
        <f>(VLOOKUP($A584,Pitchers!$A1:$S251,15,FALSE)-AVERAGE(Rankings!AN2:AN651))/STDEV(Rankings!AN2:AN651)</f>
        <v>0.300403780966015</v>
      </c>
      <c r="AH584" s="118">
        <f>(VLOOKUP($A584,Pitchers!$A1:$S251,16,FALSE)-AVERAGE(Rankings!AO2:AO651))/STDEV(Rankings!AO2:AO651)*-1</f>
        <v>4.8658441540150303E-2</v>
      </c>
      <c r="AI584" s="118">
        <f>IFERROR((VLOOKUP($A584,Pitchers!$A1:$S251,17,FALSE)-AVERAGE(Rankings!AP2:AP651))/STDEV(Rankings!AP2:AP651),0)</f>
        <v>0.10981831774808683</v>
      </c>
      <c r="AJ584" s="118">
        <f>(VLOOKUP($A584,Pitchers!$A1:$S251,18,FALSE)-AVERAGE(Rankings!AQ2:AQ651))/STDEV(Rankings!AQ2:AQ651)</f>
        <v>0.34315751484457208</v>
      </c>
      <c r="AK584" s="118">
        <f>IFERROR((VLOOKUP($A584,Pitchers!$A1:$S251,19,FALSE)-AVERAGE(Rankings!AR2:AR651))/STDEV(Rankings!AR2:AR651)*-1,0)</f>
        <v>0.47686441955275594</v>
      </c>
    </row>
    <row r="585" spans="1:37" ht="20.100000000000001" customHeight="1">
      <c r="A585" s="26" t="s">
        <v>352</v>
      </c>
      <c r="B585" s="27" t="s">
        <v>101</v>
      </c>
      <c r="C585" s="128" t="s">
        <v>34</v>
      </c>
      <c r="D585" s="67">
        <f>(V585*Settings!$G$2)+(Y585*Settings!$G$5)+(Z585*Settings!$G$6)+(AA585*Settings!$G$7)+(AB585*Settings!$G$8)+(AC585*Settings!$G$9)+(AD585*Settings!$G$10)+(AE585*Settings!$G$11)+(AF585*Settings!$G$12)+(AG585*Settings!$G$13)+(AH585*Settings!$G$14)+(AI585*Settings!$G$15)+(AJ585*Settings!$G$16)+(AK585*Settings!$G$17)+(W585*Settings!$G$3)+(X585*Settings!$G$4)</f>
        <v>1.3727206620167185</v>
      </c>
      <c r="E585" s="67"/>
      <c r="F585" s="67"/>
      <c r="G585" s="67"/>
      <c r="H585" s="67"/>
      <c r="I585" s="67"/>
      <c r="J585" s="67"/>
      <c r="K585" s="72"/>
      <c r="L585" s="72"/>
      <c r="M585" s="67"/>
      <c r="N585" s="67"/>
      <c r="O585" s="67"/>
      <c r="P585" s="67"/>
      <c r="Q585" s="67"/>
      <c r="R585" s="72"/>
      <c r="S585" s="72"/>
      <c r="T585" s="67"/>
      <c r="U585" s="67"/>
      <c r="V585" s="118">
        <f>(VLOOKUP($A585,Pitchers!$A1:$S251,4,FALSE)-AVERAGE(Rankings!AC2:AC651))/STDEV(Rankings!AC2:AC651)</f>
        <v>-1.0675981796571357</v>
      </c>
      <c r="W585" s="118">
        <f>(VLOOKUP($A585,Pitchers!$A1:$S251,5,FALSE)-AVERAGE(Rankings!AD2:AD651))/STDEV(Rankings!AD2:AD651)*-1</f>
        <v>1.2042321532629716</v>
      </c>
      <c r="X585" s="118">
        <f>(VLOOKUP($A585,Pitchers!$A1:$S251,6,FALSE)-AVERAGE(Rankings!AE2:AE651))/STDEV(Rankings!AE2:AE651)*-1</f>
        <v>1.3664778314977508</v>
      </c>
      <c r="Y585" s="118">
        <f>(VLOOKUP($A585,Pitchers!$A1:$S251,7,FALSE)-AVERAGE(Rankings!AF2:AF651))/STDEV(Rankings!AF2:AF651)</f>
        <v>-0.85362202953187238</v>
      </c>
      <c r="Z585" s="118">
        <f>(VLOOKUP($A585,Pitchers!$A1:$S251,8,FALSE)-AVERAGE(Rankings!AG2:AG651))/STDEV(Rankings!AG2:AG651)</f>
        <v>-1.1120654953888782</v>
      </c>
      <c r="AA585" s="118">
        <f>(VLOOKUP($A585,Pitchers!$A1:$S251,9,FALSE)-AVERAGE(Rankings!AH2:AH651))/STDEV(Rankings!AH2:AH651)</f>
        <v>0.76769820217674667</v>
      </c>
      <c r="AB585" s="118">
        <f>(VLOOKUP($A585,Pitchers!$A1:$S251,10,FALSE)-AVERAGE(Rankings!AI2:AI651))/STDEV(Rankings!AI2:AI651)*-1</f>
        <v>1.187599084328355</v>
      </c>
      <c r="AC585" s="118">
        <f>(VLOOKUP($A585,Pitchers!$A1:$S251,11,FALSE)-AVERAGE(Rankings!AJ2:AJ651))/STDEV(Rankings!AJ2:AJ651)*-1</f>
        <v>1.1923727963372404</v>
      </c>
      <c r="AD585" s="118">
        <f>(VLOOKUP($A585,Pitchers!$A1:$S251,12,FALSE)-AVERAGE(Rankings!AK2:AK651))/STDEV(Rankings!AK2:AK651)*-1</f>
        <v>1.0574321810001972</v>
      </c>
      <c r="AE585" s="118">
        <f>IFERROR((VLOOKUP($A585,Pitchers!$A1:$S251,13,FALSE)-AVERAGE(Rankings!AL2:AL651))/STDEV(Rankings!AL2:AL651)*-1,0)</f>
        <v>1.0641614985515553</v>
      </c>
      <c r="AF585" s="118">
        <f>(VLOOKUP($A585,Pitchers!$A1:$S251,14,FALSE)-AVERAGE(Rankings!AM2:AM651))/STDEV(Rankings!AM2:AM651)</f>
        <v>1.5252710432126004</v>
      </c>
      <c r="AG585" s="118">
        <f>(VLOOKUP($A585,Pitchers!$A1:$S251,15,FALSE)-AVERAGE(Rankings!AN2:AN651))/STDEV(Rankings!AN2:AN651)</f>
        <v>-1.2302545831997735</v>
      </c>
      <c r="AH585" s="118">
        <f>(VLOOKUP($A585,Pitchers!$A1:$S251,16,FALSE)-AVERAGE(Rankings!AO2:AO651))/STDEV(Rankings!AO2:AO651)*-1</f>
        <v>1.0800475745210731</v>
      </c>
      <c r="AI585" s="118">
        <f>IFERROR((VLOOKUP($A585,Pitchers!$A1:$S251,17,FALSE)-AVERAGE(Rankings!AP2:AP651))/STDEV(Rankings!AP2:AP651),0)</f>
        <v>-1.1136479910031813</v>
      </c>
      <c r="AJ585" s="118">
        <f>(VLOOKUP($A585,Pitchers!$A1:$S251,18,FALSE)-AVERAGE(Rankings!AQ2:AQ651))/STDEV(Rankings!AQ2:AQ651)</f>
        <v>1.7802123387040631</v>
      </c>
      <c r="AK585" s="118">
        <f>IFERROR((VLOOKUP($A585,Pitchers!$A1:$S251,19,FALSE)-AVERAGE(Rankings!AR2:AR651))/STDEV(Rankings!AR2:AR651)*-1,0)</f>
        <v>-1.8857218842163483</v>
      </c>
    </row>
    <row r="586" spans="1:37" ht="20.100000000000001" customHeight="1">
      <c r="A586" s="26" t="s">
        <v>358</v>
      </c>
      <c r="B586" s="27" t="s">
        <v>81</v>
      </c>
      <c r="C586" s="128" t="s">
        <v>34</v>
      </c>
      <c r="D586" s="67">
        <f>(V586*Settings!$G$2)+(Y586*Settings!$G$5)+(Z586*Settings!$G$6)+(AA586*Settings!$G$7)+(AB586*Settings!$G$8)+(AC586*Settings!$G$9)+(AD586*Settings!$G$10)+(AE586*Settings!$G$11)+(AF586*Settings!$G$12)+(AG586*Settings!$G$13)+(AH586*Settings!$G$14)+(AI586*Settings!$G$15)+(AJ586*Settings!$G$16)+(AK586*Settings!$G$17)+(W586*Settings!$G$3)+(X586*Settings!$G$4)</f>
        <v>1.2857448881208757</v>
      </c>
      <c r="E586" s="67"/>
      <c r="F586" s="67"/>
      <c r="G586" s="67"/>
      <c r="H586" s="67"/>
      <c r="I586" s="67"/>
      <c r="J586" s="67"/>
      <c r="K586" s="72"/>
      <c r="L586" s="72"/>
      <c r="M586" s="67"/>
      <c r="N586" s="67"/>
      <c r="O586" s="67"/>
      <c r="P586" s="67"/>
      <c r="Q586" s="67"/>
      <c r="R586" s="72"/>
      <c r="S586" s="72"/>
      <c r="T586" s="67"/>
      <c r="U586" s="67"/>
      <c r="V586" s="118">
        <f>(VLOOKUP($A586,Pitchers!$A1:$S251,4,FALSE)-AVERAGE(Rankings!AC2:AC651))/STDEV(Rankings!AC2:AC651)</f>
        <v>-1.0467755327820694</v>
      </c>
      <c r="W586" s="118">
        <f>(VLOOKUP($A586,Pitchers!$A1:$S251,5,FALSE)-AVERAGE(Rankings!AD2:AD651))/STDEV(Rankings!AD2:AD651)*-1</f>
        <v>1.2957152683861153</v>
      </c>
      <c r="X586" s="118">
        <f>(VLOOKUP($A586,Pitchers!$A1:$S251,6,FALSE)-AVERAGE(Rankings!AE2:AE651))/STDEV(Rankings!AE2:AE651)*-1</f>
        <v>0.88517650326104225</v>
      </c>
      <c r="Y586" s="118">
        <f>(VLOOKUP($A586,Pitchers!$A1:$S251,7,FALSE)-AVERAGE(Rankings!AF2:AF651))/STDEV(Rankings!AF2:AF651)</f>
        <v>-0.82722889468838046</v>
      </c>
      <c r="Z586" s="118">
        <f>(VLOOKUP($A586,Pitchers!$A1:$S251,8,FALSE)-AVERAGE(Rankings!AG2:AG651))/STDEV(Rankings!AG2:AG651)</f>
        <v>-0.82236094991386444</v>
      </c>
      <c r="AA586" s="118">
        <f>(VLOOKUP($A586,Pitchers!$A1:$S251,9,FALSE)-AVERAGE(Rankings!AH2:AH651))/STDEV(Rankings!AH2:AH651)</f>
        <v>0.75444296107596287</v>
      </c>
      <c r="AB586" s="118">
        <f>(VLOOKUP($A586,Pitchers!$A1:$S251,10,FALSE)-AVERAGE(Rankings!AI2:AI651))/STDEV(Rankings!AI2:AI651)*-1</f>
        <v>1.1838624570274165</v>
      </c>
      <c r="AC586" s="118">
        <f>(VLOOKUP($A586,Pitchers!$A1:$S251,11,FALSE)-AVERAGE(Rankings!AJ2:AJ651))/STDEV(Rankings!AJ2:AJ651)*-1</f>
        <v>1.1300430186052419</v>
      </c>
      <c r="AD586" s="118">
        <f>(VLOOKUP($A586,Pitchers!$A1:$S251,12,FALSE)-AVERAGE(Rankings!AK2:AK651))/STDEV(Rankings!AK2:AK651)*-1</f>
        <v>0.99040050188935458</v>
      </c>
      <c r="AE586" s="118">
        <f>IFERROR((VLOOKUP($A586,Pitchers!$A1:$S251,13,FALSE)-AVERAGE(Rankings!AL2:AL651))/STDEV(Rankings!AL2:AL651)*-1,0)</f>
        <v>1.1728227076899815</v>
      </c>
      <c r="AF586" s="118">
        <f>(VLOOKUP($A586,Pitchers!$A1:$S251,14,FALSE)-AVERAGE(Rankings!AM2:AM651))/STDEV(Rankings!AM2:AM651)</f>
        <v>1.3821610300792788</v>
      </c>
      <c r="AG586" s="118">
        <f>(VLOOKUP($A586,Pitchers!$A1:$S251,15,FALSE)-AVERAGE(Rankings!AN2:AN651))/STDEV(Rankings!AN2:AN651)</f>
        <v>-1.2302545831997735</v>
      </c>
      <c r="AH586" s="118">
        <f>(VLOOKUP($A586,Pitchers!$A1:$S251,16,FALSE)-AVERAGE(Rankings!AO2:AO651))/STDEV(Rankings!AO2:AO651)*-1</f>
        <v>1.1214411183196384</v>
      </c>
      <c r="AI586" s="118">
        <f>IFERROR((VLOOKUP($A586,Pitchers!$A1:$S251,17,FALSE)-AVERAGE(Rankings!AP2:AP651))/STDEV(Rankings!AP2:AP651),0)</f>
        <v>-1.1136479910031813</v>
      </c>
      <c r="AJ586" s="118">
        <f>(VLOOKUP($A586,Pitchers!$A1:$S251,18,FALSE)-AVERAGE(Rankings!AQ2:AQ651))/STDEV(Rankings!AQ2:AQ651)</f>
        <v>1.6205395804974529</v>
      </c>
      <c r="AK586" s="118">
        <f>IFERROR((VLOOKUP($A586,Pitchers!$A1:$S251,19,FALSE)-AVERAGE(Rankings!AR2:AR651))/STDEV(Rankings!AR2:AR651)*-1,0)</f>
        <v>-2.3582391449701694</v>
      </c>
    </row>
    <row r="587" spans="1:37" ht="20.100000000000001" customHeight="1">
      <c r="A587" s="26" t="s">
        <v>364</v>
      </c>
      <c r="B587" s="27" t="s">
        <v>73</v>
      </c>
      <c r="C587" s="128" t="s">
        <v>34</v>
      </c>
      <c r="D587" s="67">
        <f>(V587*Settings!$G$2)+(Y587*Settings!$G$5)+(Z587*Settings!$G$6)+(AA587*Settings!$G$7)+(AB587*Settings!$G$8)+(AC587*Settings!$G$9)+(AD587*Settings!$G$10)+(AE587*Settings!$G$11)+(AF587*Settings!$G$12)+(AG587*Settings!$G$13)+(AH587*Settings!$G$14)+(AI587*Settings!$G$15)+(AJ587*Settings!$G$16)+(AK587*Settings!$G$17)+(W587*Settings!$G$3)+(X587*Settings!$G$4)</f>
        <v>1.8651999718485666</v>
      </c>
      <c r="E587" s="67"/>
      <c r="F587" s="67"/>
      <c r="G587" s="67"/>
      <c r="H587" s="67"/>
      <c r="I587" s="67"/>
      <c r="J587" s="67"/>
      <c r="K587" s="72"/>
      <c r="L587" s="72"/>
      <c r="M587" s="67"/>
      <c r="N587" s="67"/>
      <c r="O587" s="67"/>
      <c r="P587" s="67"/>
      <c r="Q587" s="67"/>
      <c r="R587" s="72"/>
      <c r="S587" s="72"/>
      <c r="T587" s="67"/>
      <c r="U587" s="67"/>
      <c r="V587" s="118">
        <f>(VLOOKUP($A587,Pitchers!$A1:$S251,4,FALSE)-AVERAGE(Rankings!AC2:AC651))/STDEV(Rankings!AC2:AC651)</f>
        <v>-1.0459737807021714</v>
      </c>
      <c r="W587" s="118">
        <f>(VLOOKUP($A587,Pitchers!$A1:$S251,5,FALSE)-AVERAGE(Rankings!AD2:AD651))/STDEV(Rankings!AD2:AD651)*-1</f>
        <v>1.5729525979383308</v>
      </c>
      <c r="X587" s="118">
        <f>(VLOOKUP($A587,Pitchers!$A1:$S251,6,FALSE)-AVERAGE(Rankings!AE2:AE651))/STDEV(Rankings!AE2:AE651)*-1</f>
        <v>1.1478789805640019</v>
      </c>
      <c r="Y587" s="118">
        <f>(VLOOKUP($A587,Pitchers!$A1:$S251,7,FALSE)-AVERAGE(Rankings!AF2:AF651))/STDEV(Rankings!AF2:AF651)</f>
        <v>-0.76176310919724377</v>
      </c>
      <c r="Z587" s="118">
        <f>(VLOOKUP($A587,Pitchers!$A1:$S251,8,FALSE)-AVERAGE(Rankings!AG2:AG651))/STDEV(Rankings!AG2:AG651)</f>
        <v>-0.82621939003117872</v>
      </c>
      <c r="AA587" s="118">
        <f>(VLOOKUP($A587,Pitchers!$A1:$S251,9,FALSE)-AVERAGE(Rankings!AH2:AH651))/STDEV(Rankings!AH2:AH651)</f>
        <v>0.73235089257465624</v>
      </c>
      <c r="AB587" s="118">
        <f>(VLOOKUP($A587,Pitchers!$A1:$S251,10,FALSE)-AVERAGE(Rankings!AI2:AI651))/STDEV(Rankings!AI2:AI651)*-1</f>
        <v>1.2226013686371451</v>
      </c>
      <c r="AC587" s="118">
        <f>(VLOOKUP($A587,Pitchers!$A1:$S251,11,FALSE)-AVERAGE(Rankings!AJ2:AJ651))/STDEV(Rankings!AJ2:AJ651)*-1</f>
        <v>1.1185966186809635</v>
      </c>
      <c r="AD587" s="118">
        <f>(VLOOKUP($A587,Pitchers!$A1:$S251,12,FALSE)-AVERAGE(Rankings!AK2:AK651))/STDEV(Rankings!AK2:AK651)*-1</f>
        <v>1.1324793715639196</v>
      </c>
      <c r="AE587" s="118">
        <f>IFERROR((VLOOKUP($A587,Pitchers!$A1:$S251,13,FALSE)-AVERAGE(Rankings!AL2:AL651))/STDEV(Rankings!AL2:AL651)*-1,0)</f>
        <v>1.2235312719545808</v>
      </c>
      <c r="AF587" s="118">
        <f>(VLOOKUP($A587,Pitchers!$A1:$S251,14,FALSE)-AVERAGE(Rankings!AM2:AM651))/STDEV(Rankings!AM2:AM651)</f>
        <v>1.6842506815646667</v>
      </c>
      <c r="AG587" s="118">
        <f>(VLOOKUP($A587,Pitchers!$A1:$S251,15,FALSE)-AVERAGE(Rankings!AN2:AN651))/STDEV(Rankings!AN2:AN651)</f>
        <v>-1.2302545831997735</v>
      </c>
      <c r="AH587" s="118">
        <f>(VLOOKUP($A587,Pitchers!$A1:$S251,16,FALSE)-AVERAGE(Rankings!AO2:AO651))/STDEV(Rankings!AO2:AO651)*-1</f>
        <v>1.0777479331989304</v>
      </c>
      <c r="AI587" s="118">
        <f>IFERROR((VLOOKUP($A587,Pitchers!$A1:$S251,17,FALSE)-AVERAGE(Rankings!AP2:AP651))/STDEV(Rankings!AP2:AP651),0)</f>
        <v>-1.1136479910031813</v>
      </c>
      <c r="AJ587" s="118">
        <f>(VLOOKUP($A587,Pitchers!$A1:$S251,18,FALSE)-AVERAGE(Rankings!AQ2:AQ651))/STDEV(Rankings!AQ2:AQ651)</f>
        <v>2.8979216461503339</v>
      </c>
      <c r="AK587" s="118">
        <f>IFERROR((VLOOKUP($A587,Pitchers!$A1:$S251,19,FALSE)-AVERAGE(Rankings!AR2:AR651))/STDEV(Rankings!AR2:AR651)*-1,0)</f>
        <v>0.47686441955275594</v>
      </c>
    </row>
    <row r="588" spans="1:37" ht="20.100000000000001" customHeight="1">
      <c r="A588" s="26" t="s">
        <v>443</v>
      </c>
      <c r="B588" s="27" t="s">
        <v>91</v>
      </c>
      <c r="C588" s="128" t="s">
        <v>34</v>
      </c>
      <c r="D588" s="67">
        <f>(V588*Settings!$G$2)+(Y588*Settings!$G$5)+(Z588*Settings!$G$6)+(AA588*Settings!$G$7)+(AB588*Settings!$G$8)+(AC588*Settings!$G$9)+(AD588*Settings!$G$10)+(AE588*Settings!$G$11)+(AF588*Settings!$G$12)+(AG588*Settings!$G$13)+(AH588*Settings!$G$14)+(AI588*Settings!$G$15)+(AJ588*Settings!$G$16)+(AK588*Settings!$G$17)+(W588*Settings!$G$3)+(X588*Settings!$G$4)</f>
        <v>-0.70276912272136416</v>
      </c>
      <c r="E588" s="67"/>
      <c r="F588" s="67"/>
      <c r="G588" s="67"/>
      <c r="H588" s="67"/>
      <c r="I588" s="67"/>
      <c r="J588" s="67"/>
      <c r="K588" s="72"/>
      <c r="L588" s="72"/>
      <c r="M588" s="67"/>
      <c r="N588" s="67"/>
      <c r="O588" s="67"/>
      <c r="P588" s="67"/>
      <c r="Q588" s="67"/>
      <c r="R588" s="72"/>
      <c r="S588" s="72"/>
      <c r="T588" s="67"/>
      <c r="U588" s="67"/>
      <c r="V588" s="118">
        <f>(VLOOKUP($A588,Pitchers!$A1:$S251,4,FALSE)-AVERAGE(Rankings!AC2:AC651))/STDEV(Rankings!AC2:AC651)</f>
        <v>-1.1433064832017945</v>
      </c>
      <c r="W588" s="118">
        <f>(VLOOKUP($A588,Pitchers!$A1:$S251,5,FALSE)-AVERAGE(Rankings!AD2:AD651))/STDEV(Rankings!AD2:AD651)*-1</f>
        <v>5.4528617525571317E-2</v>
      </c>
      <c r="X588" s="118">
        <f>(VLOOKUP($A588,Pitchers!$A1:$S251,6,FALSE)-AVERAGE(Rankings!AE2:AE651))/STDEV(Rankings!AE2:AE651)*-1</f>
        <v>-0.33914131791937568</v>
      </c>
      <c r="Y588" s="118">
        <f>(VLOOKUP($A588,Pitchers!$A1:$S251,7,FALSE)-AVERAGE(Rankings!AF2:AF651))/STDEV(Rankings!AF2:AF651)</f>
        <v>-0.87999166202911006</v>
      </c>
      <c r="Z588" s="118">
        <f>(VLOOKUP($A588,Pitchers!$A1:$S251,8,FALSE)-AVERAGE(Rankings!AG2:AG651))/STDEV(Rankings!AG2:AG651)</f>
        <v>-0.82429016997252169</v>
      </c>
      <c r="AA588" s="118">
        <f>(VLOOKUP($A588,Pitchers!$A1:$S251,9,FALSE)-AVERAGE(Rankings!AH2:AH651))/STDEV(Rankings!AH2:AH651)</f>
        <v>1.286125409674072</v>
      </c>
      <c r="AB588" s="118">
        <f>(VLOOKUP($A588,Pitchers!$A1:$S251,10,FALSE)-AVERAGE(Rankings!AI2:AI651))/STDEV(Rankings!AI2:AI651)*-1</f>
        <v>1.0973099675056812</v>
      </c>
      <c r="AC588" s="118">
        <f>(VLOOKUP($A588,Pitchers!$A1:$S251,11,FALSE)-AVERAGE(Rankings!AJ2:AJ651))/STDEV(Rankings!AJ2:AJ651)*-1</f>
        <v>1.1865197918398773</v>
      </c>
      <c r="AD588" s="118">
        <f>(VLOOKUP($A588,Pitchers!$A1:$S251,12,FALSE)-AVERAGE(Rankings!AK2:AK651))/STDEV(Rankings!AK2:AK651)*-1</f>
        <v>0.71873753039324184</v>
      </c>
      <c r="AE588" s="118">
        <f>IFERROR((VLOOKUP($A588,Pitchers!$A1:$S251,13,FALSE)-AVERAGE(Rankings!AL2:AL651))/STDEV(Rankings!AL2:AL651)*-1,0)</f>
        <v>1.0641614985515553</v>
      </c>
      <c r="AF588" s="118">
        <f>(VLOOKUP($A588,Pitchers!$A1:$S251,14,FALSE)-AVERAGE(Rankings!AM2:AM651))/STDEV(Rankings!AM2:AM651)</f>
        <v>1.2581087365166821</v>
      </c>
      <c r="AG588" s="118">
        <f>(VLOOKUP($A588,Pitchers!$A1:$S251,15,FALSE)-AVERAGE(Rankings!AN2:AN651))/STDEV(Rankings!AN2:AN651)</f>
        <v>-1.2302545831997735</v>
      </c>
      <c r="AH588" s="118">
        <f>(VLOOKUP($A588,Pitchers!$A1:$S251,16,FALSE)-AVERAGE(Rankings!AO2:AO651))/STDEV(Rankings!AO2:AO651)*-1</f>
        <v>0.96813169684347</v>
      </c>
      <c r="AI588" s="118">
        <f>IFERROR((VLOOKUP($A588,Pitchers!$A1:$S251,17,FALSE)-AVERAGE(Rankings!AP2:AP651))/STDEV(Rankings!AP2:AP651),0)</f>
        <v>-1.1136479910031813</v>
      </c>
      <c r="AJ588" s="118">
        <f>(VLOOKUP($A588,Pitchers!$A1:$S251,18,FALSE)-AVERAGE(Rankings!AQ2:AQ651))/STDEV(Rankings!AQ2:AQ651)</f>
        <v>0.50283027305118222</v>
      </c>
      <c r="AK588" s="118">
        <f>IFERROR((VLOOKUP($A588,Pitchers!$A1:$S251,19,FALSE)-AVERAGE(Rankings!AR2:AR651))/STDEV(Rankings!AR2:AR651)*-1,0)</f>
        <v>-2.83075640572399</v>
      </c>
    </row>
    <row r="589" spans="1:37" ht="20.100000000000001" customHeight="1">
      <c r="A589" s="26" t="s">
        <v>462</v>
      </c>
      <c r="B589" s="27" t="s">
        <v>156</v>
      </c>
      <c r="C589" s="128" t="s">
        <v>34</v>
      </c>
      <c r="D589" s="67">
        <f>(V589*Settings!$G$2)+(Y589*Settings!$G$5)+(Z589*Settings!$G$6)+(AA589*Settings!$G$7)+(AB589*Settings!$G$8)+(AC589*Settings!$G$9)+(AD589*Settings!$G$10)+(AE589*Settings!$G$11)+(AF589*Settings!$G$12)+(AG589*Settings!$G$13)+(AH589*Settings!$G$14)+(AI589*Settings!$G$15)+(AJ589*Settings!$G$16)+(AK589*Settings!$G$17)+(W589*Settings!$G$3)+(X589*Settings!$G$4)</f>
        <v>-1.698842066507825</v>
      </c>
      <c r="E589" s="67"/>
      <c r="F589" s="67"/>
      <c r="G589" s="67"/>
      <c r="H589" s="67"/>
      <c r="I589" s="67"/>
      <c r="J589" s="67"/>
      <c r="K589" s="72"/>
      <c r="L589" s="72"/>
      <c r="M589" s="67"/>
      <c r="N589" s="67"/>
      <c r="O589" s="67"/>
      <c r="P589" s="67"/>
      <c r="Q589" s="67"/>
      <c r="R589" s="72"/>
      <c r="S589" s="72"/>
      <c r="T589" s="67"/>
      <c r="U589" s="67"/>
      <c r="V589" s="118">
        <f>(VLOOKUP($A589,Pitchers!$A1:$S251,4,FALSE)-AVERAGE(Rankings!AC2:AC651))/STDEV(Rankings!AC2:AC651)</f>
        <v>-0.94312044245239246</v>
      </c>
      <c r="W589" s="118">
        <f>(VLOOKUP($A589,Pitchers!$A1:$S251,5,FALSE)-AVERAGE(Rankings!AD2:AD651))/STDEV(Rankings!AD2:AD651)*-1</f>
        <v>-0.45513812547032756</v>
      </c>
      <c r="X589" s="118">
        <f>(VLOOKUP($A589,Pitchers!$A1:$S251,6,FALSE)-AVERAGE(Rankings!AE2:AE651))/STDEV(Rankings!AE2:AE651)*-1</f>
        <v>-0.9685817332569292</v>
      </c>
      <c r="Y589" s="118">
        <f>(VLOOKUP($A589,Pitchers!$A1:$S251,7,FALSE)-AVERAGE(Rankings!AF2:AF651))/STDEV(Rankings!AF2:AF651)</f>
        <v>-1.0001826607732038</v>
      </c>
      <c r="Z589" s="118">
        <f>(VLOOKUP($A589,Pitchers!$A1:$S251,8,FALSE)-AVERAGE(Rankings!AG2:AG651))/STDEV(Rankings!AG2:AG651)</f>
        <v>-1.0942202098462996</v>
      </c>
      <c r="AA589" s="118">
        <f>(VLOOKUP($A589,Pitchers!$A1:$S251,9,FALSE)-AVERAGE(Rankings!AH2:AH651))/STDEV(Rankings!AH2:AH651)</f>
        <v>1.8192806628389351</v>
      </c>
      <c r="AB589" s="118">
        <f>(VLOOKUP($A589,Pitchers!$A1:$S251,10,FALSE)-AVERAGE(Rankings!AI2:AI651))/STDEV(Rankings!AI2:AI651)*-1</f>
        <v>0.83335664850606261</v>
      </c>
      <c r="AC589" s="118">
        <f>(VLOOKUP($A589,Pitchers!$A1:$S251,11,FALSE)-AVERAGE(Rankings!AJ2:AJ651))/STDEV(Rankings!AJ2:AJ651)*-1</f>
        <v>0.81445279223936473</v>
      </c>
      <c r="AD589" s="118">
        <f>(VLOOKUP($A589,Pitchers!$A1:$S251,12,FALSE)-AVERAGE(Rankings!AK2:AK651))/STDEV(Rankings!AK2:AK651)*-1</f>
        <v>0.81956009111916384</v>
      </c>
      <c r="AE589" s="118">
        <f>IFERROR((VLOOKUP($A589,Pitchers!$A1:$S251,13,FALSE)-AVERAGE(Rankings!AL2:AL651))/STDEV(Rankings!AL2:AL651)*-1,0)</f>
        <v>0.98206191831363332</v>
      </c>
      <c r="AF589" s="118">
        <f>(VLOOKUP($A589,Pitchers!$A1:$S251,14,FALSE)-AVERAGE(Rankings!AM2:AM651))/STDEV(Rankings!AM2:AM651)</f>
        <v>1.4409636592380199</v>
      </c>
      <c r="AG589" s="118">
        <f>(VLOOKUP($A589,Pitchers!$A1:$S251,15,FALSE)-AVERAGE(Rankings!AN2:AN651))/STDEV(Rankings!AN2:AN651)</f>
        <v>-1.2044729028196861</v>
      </c>
      <c r="AH589" s="118">
        <f>(VLOOKUP($A589,Pitchers!$A1:$S251,16,FALSE)-AVERAGE(Rankings!AO2:AO651))/STDEV(Rankings!AO2:AO651)*-1</f>
        <v>0.97848008279311138</v>
      </c>
      <c r="AI589" s="118">
        <f>IFERROR((VLOOKUP($A589,Pitchers!$A1:$S251,17,FALSE)-AVERAGE(Rankings!AP2:AP651))/STDEV(Rankings!AP2:AP651),0)</f>
        <v>-1.1136479910031813</v>
      </c>
      <c r="AJ589" s="118">
        <f>(VLOOKUP($A589,Pitchers!$A1:$S251,18,FALSE)-AVERAGE(Rankings!AQ2:AQ651))/STDEV(Rankings!AQ2:AQ651)</f>
        <v>-0.1358607597752583</v>
      </c>
      <c r="AK589" s="118">
        <f>IFERROR((VLOOKUP($A589,Pitchers!$A1:$S251,19,FALSE)-AVERAGE(Rankings!AR2:AR651))/STDEV(Rankings!AR2:AR651)*-1,0)</f>
        <v>4.3471587989350928E-3</v>
      </c>
    </row>
    <row r="590" spans="1:37" ht="20.100000000000001" customHeight="1">
      <c r="A590" s="26" t="s">
        <v>445</v>
      </c>
      <c r="B590" s="27" t="s">
        <v>217</v>
      </c>
      <c r="C590" s="128" t="s">
        <v>34</v>
      </c>
      <c r="D590" s="67">
        <f>(V590*Settings!$G$2)+(Y590*Settings!$G$5)+(Z590*Settings!$G$6)+(AA590*Settings!$G$7)+(AB590*Settings!$G$8)+(AC590*Settings!$G$9)+(AD590*Settings!$G$10)+(AE590*Settings!$G$11)+(AF590*Settings!$G$12)+(AG590*Settings!$G$13)+(AH590*Settings!$G$14)+(AI590*Settings!$G$15)+(AJ590*Settings!$G$16)+(AK590*Settings!$G$17)+(W590*Settings!$G$3)+(X590*Settings!$G$4)</f>
        <v>-0.12290115788625844</v>
      </c>
      <c r="E590" s="67"/>
      <c r="F590" s="67"/>
      <c r="G590" s="67"/>
      <c r="H590" s="67"/>
      <c r="I590" s="67"/>
      <c r="J590" s="67"/>
      <c r="K590" s="72"/>
      <c r="L590" s="72"/>
      <c r="M590" s="67"/>
      <c r="N590" s="67"/>
      <c r="O590" s="67"/>
      <c r="P590" s="67"/>
      <c r="Q590" s="67"/>
      <c r="R590" s="72"/>
      <c r="S590" s="72"/>
      <c r="T590" s="67"/>
      <c r="U590" s="67"/>
      <c r="V590" s="118">
        <f>(VLOOKUP($A590,Pitchers!$A1:$S251,4,FALSE)-AVERAGE(Rankings!AC2:AC651))/STDEV(Rankings!AC2:AC651)</f>
        <v>-1.05520538322214</v>
      </c>
      <c r="W590" s="118">
        <f>(VLOOKUP($A590,Pitchers!$A1:$S251,5,FALSE)-AVERAGE(Rankings!AD2:AD651))/STDEV(Rankings!AD2:AD651)*-1</f>
        <v>0.56460334095714948</v>
      </c>
      <c r="X590" s="118">
        <f>(VLOOKUP($A590,Pitchers!$A1:$S251,6,FALSE)-AVERAGE(Rankings!AE2:AE651))/STDEV(Rankings!AE2:AE651)*-1</f>
        <v>0.60053237706779206</v>
      </c>
      <c r="Y590" s="118">
        <f>(VLOOKUP($A590,Pitchers!$A1:$S251,7,FALSE)-AVERAGE(Rankings!AF2:AF651))/STDEV(Rankings!AF2:AF651)</f>
        <v>-0.82187035974241773</v>
      </c>
      <c r="Z590" s="118">
        <f>(VLOOKUP($A590,Pitchers!$A1:$S251,8,FALSE)-AVERAGE(Rankings!AG2:AG651))/STDEV(Rankings!AG2:AG651)</f>
        <v>-0.82589785335473587</v>
      </c>
      <c r="AA590" s="118">
        <f>(VLOOKUP($A590,Pitchers!$A1:$S251,9,FALSE)-AVERAGE(Rankings!AH2:AH651))/STDEV(Rankings!AH2:AH651)</f>
        <v>0.35973133718595363</v>
      </c>
      <c r="AB590" s="118">
        <f>(VLOOKUP($A590,Pitchers!$A1:$S251,10,FALSE)-AVERAGE(Rankings!AI2:AI651))/STDEV(Rankings!AI2:AI651)*-1</f>
        <v>1.0874473049698712</v>
      </c>
      <c r="AC590" s="118">
        <f>(VLOOKUP($A590,Pitchers!$A1:$S251,11,FALSE)-AVERAGE(Rankings!AJ2:AJ651))/STDEV(Rankings!AJ2:AJ651)*-1</f>
        <v>0.99018453210777058</v>
      </c>
      <c r="AD590" s="118">
        <f>(VLOOKUP($A590,Pitchers!$A1:$S251,12,FALSE)-AVERAGE(Rankings!AK2:AK651))/STDEV(Rankings!AK2:AK651)*-1</f>
        <v>1.3738877164976944</v>
      </c>
      <c r="AE590" s="118">
        <f>IFERROR((VLOOKUP($A590,Pitchers!$A1:$S251,13,FALSE)-AVERAGE(Rankings!AL2:AL651))/STDEV(Rankings!AL2:AL651)*-1,0)</f>
        <v>1.1655786270807533</v>
      </c>
      <c r="AF590" s="118">
        <f>(VLOOKUP($A590,Pitchers!$A1:$S251,14,FALSE)-AVERAGE(Rankings!AM2:AM651))/STDEV(Rankings!AM2:AM651)</f>
        <v>1.4877223764003926</v>
      </c>
      <c r="AG590" s="118">
        <f>(VLOOKUP($A590,Pitchers!$A1:$S251,15,FALSE)-AVERAGE(Rankings!AN2:AN651))/STDEV(Rankings!AN2:AN651)</f>
        <v>-1.2302545831997735</v>
      </c>
      <c r="AH590" s="118">
        <f>(VLOOKUP($A590,Pitchers!$A1:$S251,16,FALSE)-AVERAGE(Rankings!AO2:AO651))/STDEV(Rankings!AO2:AO651)*-1</f>
        <v>0.72207007537421997</v>
      </c>
      <c r="AI590" s="118">
        <f>IFERROR((VLOOKUP($A590,Pitchers!$A1:$S251,17,FALSE)-AVERAGE(Rankings!AP2:AP651))/STDEV(Rankings!AP2:AP651),0)</f>
        <v>-1.1136479910031813</v>
      </c>
      <c r="AJ590" s="118">
        <f>(VLOOKUP($A590,Pitchers!$A1:$S251,18,FALSE)-AVERAGE(Rankings!AQ2:AQ651))/STDEV(Rankings!AQ2:AQ651)</f>
        <v>1.0616849267743176</v>
      </c>
      <c r="AK590" s="118">
        <f>IFERROR((VLOOKUP($A590,Pitchers!$A1:$S251,19,FALSE)-AVERAGE(Rankings!AR2:AR651))/STDEV(Rankings!AR2:AR651)*-1,0)</f>
        <v>-0.46817010195488579</v>
      </c>
    </row>
    <row r="591" spans="1:37" ht="20.100000000000001" customHeight="1">
      <c r="A591" s="26" t="s">
        <v>407</v>
      </c>
      <c r="B591" s="27" t="s">
        <v>63</v>
      </c>
      <c r="C591" s="128" t="s">
        <v>34</v>
      </c>
      <c r="D591" s="67">
        <f>(V591*Settings!$G$2)+(Y591*Settings!$G$5)+(Z591*Settings!$G$6)+(AA591*Settings!$G$7)+(AB591*Settings!$G$8)+(AC591*Settings!$G$9)+(AD591*Settings!$G$10)+(AE591*Settings!$G$11)+(AF591*Settings!$G$12)+(AG591*Settings!$G$13)+(AH591*Settings!$G$14)+(AI591*Settings!$G$15)+(AJ591*Settings!$G$16)+(AK591*Settings!$G$17)+(W591*Settings!$G$3)+(X591*Settings!$G$4)</f>
        <v>-0.5504186468218657</v>
      </c>
      <c r="E591" s="67"/>
      <c r="F591" s="67"/>
      <c r="G591" s="67"/>
      <c r="H591" s="67"/>
      <c r="I591" s="67"/>
      <c r="J591" s="67"/>
      <c r="K591" s="72"/>
      <c r="L591" s="72"/>
      <c r="M591" s="67"/>
      <c r="N591" s="67"/>
      <c r="O591" s="67"/>
      <c r="P591" s="67"/>
      <c r="Q591" s="67"/>
      <c r="R591" s="72"/>
      <c r="S591" s="72"/>
      <c r="T591" s="67"/>
      <c r="U591" s="67"/>
      <c r="V591" s="118">
        <f>(VLOOKUP($A591,Pitchers!$A1:$S251,4,FALSE)-AVERAGE(Rankings!AC2:AC651))/STDEV(Rankings!AC2:AC651)</f>
        <v>-1.0438434108898709</v>
      </c>
      <c r="W591" s="118">
        <f>(VLOOKUP($A591,Pitchers!$A1:$S251,5,FALSE)-AVERAGE(Rankings!AD2:AD651))/STDEV(Rankings!AD2:AD651)*-1</f>
        <v>0.94272095848976356</v>
      </c>
      <c r="X591" s="118">
        <f>(VLOOKUP($A591,Pitchers!$A1:$S251,6,FALSE)-AVERAGE(Rankings!AE2:AE651))/STDEV(Rankings!AE2:AE651)*-1</f>
        <v>0.2890790624125788</v>
      </c>
      <c r="Y591" s="118">
        <f>(VLOOKUP($A591,Pitchers!$A1:$S251,7,FALSE)-AVERAGE(Rankings!AF2:AF651))/STDEV(Rankings!AF2:AF651)</f>
        <v>-0.87942760571900869</v>
      </c>
      <c r="Z591" s="118">
        <f>(VLOOKUP($A591,Pitchers!$A1:$S251,8,FALSE)-AVERAGE(Rankings!AG2:AG651))/STDEV(Rankings!AG2:AG651)</f>
        <v>-0.83393627026580741</v>
      </c>
      <c r="AA591" s="118">
        <f>(VLOOKUP($A591,Pitchers!$A1:$S251,9,FALSE)-AVERAGE(Rankings!AH2:AH651))/STDEV(Rankings!AH2:AH651)</f>
        <v>-6.8854791739392046E-2</v>
      </c>
      <c r="AB591" s="118">
        <f>(VLOOKUP($A591,Pitchers!$A1:$S251,10,FALSE)-AVERAGE(Rankings!AI2:AI651))/STDEV(Rankings!AI2:AI651)*-1</f>
        <v>1.1313209017142221</v>
      </c>
      <c r="AC591" s="118">
        <f>(VLOOKUP($A591,Pitchers!$A1:$S251,11,FALSE)-AVERAGE(Rankings!AJ2:AJ651))/STDEV(Rankings!AJ2:AJ651)*-1</f>
        <v>1.1161421329240049</v>
      </c>
      <c r="AD591" s="118">
        <f>(VLOOKUP($A591,Pitchers!$A1:$S251,12,FALSE)-AVERAGE(Rankings!AK2:AK651))/STDEV(Rankings!AK2:AK651)*-1</f>
        <v>0.78176145377764494</v>
      </c>
      <c r="AE591" s="118">
        <f>IFERROR((VLOOKUP($A591,Pitchers!$A1:$S251,13,FALSE)-AVERAGE(Rankings!AL2:AL651))/STDEV(Rankings!AL2:AL651)*-1,0)</f>
        <v>1.093137820988469</v>
      </c>
      <c r="AF591" s="118">
        <f>(VLOOKUP($A591,Pitchers!$A1:$S251,14,FALSE)-AVERAGE(Rankings!AM2:AM651))/STDEV(Rankings!AM2:AM651)</f>
        <v>1.3970388037218517</v>
      </c>
      <c r="AG591" s="118">
        <f>(VLOOKUP($A591,Pitchers!$A1:$S251,15,FALSE)-AVERAGE(Rankings!AN2:AN651))/STDEV(Rankings!AN2:AN651)</f>
        <v>-1.2302545831997735</v>
      </c>
      <c r="AH591" s="118">
        <f>(VLOOKUP($A591,Pitchers!$A1:$S251,16,FALSE)-AVERAGE(Rankings!AO2:AO651))/STDEV(Rankings!AO2:AO651)*-1</f>
        <v>1.1965627348429608</v>
      </c>
      <c r="AI591" s="118">
        <f>IFERROR((VLOOKUP($A591,Pitchers!$A1:$S251,17,FALSE)-AVERAGE(Rankings!AP2:AP651))/STDEV(Rankings!AP2:AP651),0)</f>
        <v>-1.1136479910031813</v>
      </c>
      <c r="AJ591" s="118">
        <f>(VLOOKUP($A591,Pitchers!$A1:$S251,18,FALSE)-AVERAGE(Rankings!AQ2:AQ651))/STDEV(Rankings!AQ2:AQ651)</f>
        <v>1.9398850969106731</v>
      </c>
      <c r="AK591" s="118">
        <f>IFERROR((VLOOKUP($A591,Pitchers!$A1:$S251,19,FALSE)-AVERAGE(Rankings!AR2:AR651))/STDEV(Rankings!AR2:AR651)*-1,0)</f>
        <v>0.47686441955275594</v>
      </c>
    </row>
    <row r="592" spans="1:37" ht="20.100000000000001" customHeight="1">
      <c r="A592" s="26" t="s">
        <v>450</v>
      </c>
      <c r="B592" s="27" t="s">
        <v>158</v>
      </c>
      <c r="C592" s="128" t="s">
        <v>34</v>
      </c>
      <c r="D592" s="67">
        <f>(V592*Settings!$G$2)+(Y592*Settings!$G$5)+(Z592*Settings!$G$6)+(AA592*Settings!$G$7)+(AB592*Settings!$G$8)+(AC592*Settings!$G$9)+(AD592*Settings!$G$10)+(AE592*Settings!$G$11)+(AF592*Settings!$G$12)+(AG592*Settings!$G$13)+(AH592*Settings!$G$14)+(AI592*Settings!$G$15)+(AJ592*Settings!$G$16)+(AK592*Settings!$G$17)+(W592*Settings!$G$3)+(X592*Settings!$G$4)</f>
        <v>-0.86758527493429294</v>
      </c>
      <c r="E592" s="67"/>
      <c r="F592" s="67"/>
      <c r="G592" s="67"/>
      <c r="H592" s="67"/>
      <c r="I592" s="67"/>
      <c r="J592" s="67"/>
      <c r="K592" s="72"/>
      <c r="L592" s="72"/>
      <c r="M592" s="67"/>
      <c r="N592" s="67"/>
      <c r="O592" s="67"/>
      <c r="P592" s="67"/>
      <c r="Q592" s="67"/>
      <c r="R592" s="72"/>
      <c r="S592" s="72"/>
      <c r="T592" s="67"/>
      <c r="U592" s="67"/>
      <c r="V592" s="118">
        <f>(VLOOKUP($A592,Pitchers!$A1:$S251,4,FALSE)-AVERAGE(Rankings!AC2:AC651))/STDEV(Rankings!AC2:AC651)</f>
        <v>-1.0569463305956333</v>
      </c>
      <c r="W592" s="118">
        <f>(VLOOKUP($A592,Pitchers!$A1:$S251,5,FALSE)-AVERAGE(Rankings!AD2:AD651))/STDEV(Rankings!AD2:AD651)*-1</f>
        <v>4.4090398758479463E-2</v>
      </c>
      <c r="X592" s="118">
        <f>(VLOOKUP($A592,Pitchers!$A1:$S251,6,FALSE)-AVERAGE(Rankings!AE2:AE651))/STDEV(Rankings!AE2:AE651)*-1</f>
        <v>0.1445616409604959</v>
      </c>
      <c r="Y592" s="118">
        <f>(VLOOKUP($A592,Pitchers!$A1:$S251,7,FALSE)-AVERAGE(Rankings!AF2:AF651))/STDEV(Rankings!AF2:AF651)</f>
        <v>-0.91508066498666407</v>
      </c>
      <c r="Z592" s="118">
        <f>(VLOOKUP($A592,Pitchers!$A1:$S251,8,FALSE)-AVERAGE(Rankings!AG2:AG651))/STDEV(Rankings!AG2:AG651)</f>
        <v>-1.3020936711666065</v>
      </c>
      <c r="AA592" s="118">
        <f>(VLOOKUP($A592,Pitchers!$A1:$S251,9,FALSE)-AVERAGE(Rankings!AH2:AH651))/STDEV(Rankings!AH2:AH651)</f>
        <v>1.1609370215000021</v>
      </c>
      <c r="AB592" s="118">
        <f>(VLOOKUP($A592,Pitchers!$A1:$S251,10,FALSE)-AVERAGE(Rankings!AI2:AI651))/STDEV(Rankings!AI2:AI651)*-1</f>
        <v>1.015663390018511</v>
      </c>
      <c r="AC592" s="118">
        <f>(VLOOKUP($A592,Pitchers!$A1:$S251,11,FALSE)-AVERAGE(Rankings!AJ2:AJ651))/STDEV(Rankings!AJ2:AJ651)*-1</f>
        <v>1.0675244342765546</v>
      </c>
      <c r="AD592" s="118">
        <f>(VLOOKUP($A592,Pitchers!$A1:$S251,12,FALSE)-AVERAGE(Rankings!AK2:AK651))/STDEV(Rankings!AK2:AK651)*-1</f>
        <v>0.93900692845618783</v>
      </c>
      <c r="AE592" s="118">
        <f>IFERROR((VLOOKUP($A592,Pitchers!$A1:$S251,13,FALSE)-AVERAGE(Rankings!AL2:AL651))/STDEV(Rankings!AL2:AL651)*-1,0)</f>
        <v>0.83718030612906469</v>
      </c>
      <c r="AF592" s="118">
        <f>(VLOOKUP($A592,Pitchers!$A1:$S251,14,FALSE)-AVERAGE(Rankings!AM2:AM651))/STDEV(Rankings!AM2:AM651)</f>
        <v>1.4748991524513175</v>
      </c>
      <c r="AG592" s="118">
        <f>(VLOOKUP($A592,Pitchers!$A1:$S251,15,FALSE)-AVERAGE(Rankings!AN2:AN651))/STDEV(Rankings!AN2:AN651)</f>
        <v>-1.2302545831997735</v>
      </c>
      <c r="AH592" s="118">
        <f>(VLOOKUP($A592,Pitchers!$A1:$S251,16,FALSE)-AVERAGE(Rankings!AO2:AO651))/STDEV(Rankings!AO2:AO651)*-1</f>
        <v>1.0700824621251219</v>
      </c>
      <c r="AI592" s="118">
        <f>IFERROR((VLOOKUP($A592,Pitchers!$A1:$S251,17,FALSE)-AVERAGE(Rankings!AP2:AP651))/STDEV(Rankings!AP2:AP651),0)</f>
        <v>-1.1136479910031813</v>
      </c>
      <c r="AJ592" s="118">
        <f>(VLOOKUP($A592,Pitchers!$A1:$S251,18,FALSE)-AVERAGE(Rankings!AQ2:AQ651))/STDEV(Rankings!AQ2:AQ651)</f>
        <v>1.3810304431875378</v>
      </c>
      <c r="AK592" s="118">
        <f>IFERROR((VLOOKUP($A592,Pitchers!$A1:$S251,19,FALSE)-AVERAGE(Rankings!AR2:AR651))/STDEV(Rankings!AR2:AR651)*-1,0)</f>
        <v>-3.7757909272316317</v>
      </c>
    </row>
    <row r="593" spans="1:37" ht="20.100000000000001" customHeight="1">
      <c r="A593" s="26" t="s">
        <v>417</v>
      </c>
      <c r="B593" s="27" t="s">
        <v>81</v>
      </c>
      <c r="C593" s="128" t="s">
        <v>34</v>
      </c>
      <c r="D593" s="67">
        <f>(V593*Settings!$G$2)+(Y593*Settings!$G$5)+(Z593*Settings!$G$6)+(AA593*Settings!$G$7)+(AB593*Settings!$G$8)+(AC593*Settings!$G$9)+(AD593*Settings!$G$10)+(AE593*Settings!$G$11)+(AF593*Settings!$G$12)+(AG593*Settings!$G$13)+(AH593*Settings!$G$14)+(AI593*Settings!$G$15)+(AJ593*Settings!$G$16)+(AK593*Settings!$G$17)+(W593*Settings!$G$3)+(X593*Settings!$G$4)</f>
        <v>-0.23254154174402752</v>
      </c>
      <c r="E593" s="67"/>
      <c r="F593" s="67"/>
      <c r="G593" s="67"/>
      <c r="H593" s="67"/>
      <c r="I593" s="67"/>
      <c r="J593" s="67"/>
      <c r="K593" s="72"/>
      <c r="L593" s="72"/>
      <c r="M593" s="67"/>
      <c r="N593" s="67"/>
      <c r="O593" s="67"/>
      <c r="P593" s="67"/>
      <c r="Q593" s="67"/>
      <c r="R593" s="72"/>
      <c r="S593" s="72"/>
      <c r="T593" s="67"/>
      <c r="U593" s="67"/>
      <c r="V593" s="118">
        <f>(VLOOKUP($A593,Pitchers!$A1:$S251,4,FALSE)-AVERAGE(Rankings!AC2:AC651))/STDEV(Rankings!AC2:AC651)</f>
        <v>-1.2786536878897272</v>
      </c>
      <c r="W593" s="118">
        <f>(VLOOKUP($A593,Pitchers!$A1:$S251,5,FALSE)-AVERAGE(Rankings!AD2:AD651))/STDEV(Rankings!AD2:AD651)*-1</f>
        <v>0.11655432544005828</v>
      </c>
      <c r="X593" s="118">
        <f>(VLOOKUP($A593,Pitchers!$A1:$S251,6,FALSE)-AVERAGE(Rankings!AE2:AE651))/STDEV(Rankings!AE2:AE651)*-1</f>
        <v>0.68253545882885391</v>
      </c>
      <c r="Y593" s="118">
        <f>(VLOOKUP($A593,Pitchers!$A1:$S251,7,FALSE)-AVERAGE(Rankings!AF2:AF651))/STDEV(Rankings!AF2:AF651)</f>
        <v>-1.102171092343402</v>
      </c>
      <c r="Z593" s="118">
        <f>(VLOOKUP($A593,Pitchers!$A1:$S251,8,FALSE)-AVERAGE(Rankings!AG2:AG651))/STDEV(Rankings!AG2:AG651)</f>
        <v>-1.0609411638344641</v>
      </c>
      <c r="AA593" s="118">
        <f>(VLOOKUP($A593,Pitchers!$A1:$S251,9,FALSE)-AVERAGE(Rankings!AH2:AH651))/STDEV(Rankings!AH2:AH651)</f>
        <v>1.1314809301649267</v>
      </c>
      <c r="AB593" s="118">
        <f>(VLOOKUP($A593,Pitchers!$A1:$S251,10,FALSE)-AVERAGE(Rankings!AI2:AI651))/STDEV(Rankings!AI2:AI651)*-1</f>
        <v>1.2302017194057202</v>
      </c>
      <c r="AC593" s="118">
        <f>(VLOOKUP($A593,Pitchers!$A1:$S251,11,FALSE)-AVERAGE(Rankings!AJ2:AJ651))/STDEV(Rankings!AJ2:AJ651)*-1</f>
        <v>1.2605083769174295</v>
      </c>
      <c r="AD593" s="118">
        <f>(VLOOKUP($A593,Pitchers!$A1:$S251,12,FALSE)-AVERAGE(Rankings!AK2:AK651))/STDEV(Rankings!AK2:AK651)*-1</f>
        <v>1.3967554991720852</v>
      </c>
      <c r="AE593" s="118">
        <f>IFERROR((VLOOKUP($A593,Pitchers!$A1:$S251,13,FALSE)-AVERAGE(Rankings!AL2:AL651))/STDEV(Rankings!AL2:AL651)*-1,0)</f>
        <v>1.0013794666049092</v>
      </c>
      <c r="AF593" s="118">
        <f>(VLOOKUP($A593,Pitchers!$A1:$S251,14,FALSE)-AVERAGE(Rankings!AM2:AM651))/STDEV(Rankings!AM2:AM651)</f>
        <v>0.82665330088206523</v>
      </c>
      <c r="AG593" s="118">
        <f>(VLOOKUP($A593,Pitchers!$A1:$S251,15,FALSE)-AVERAGE(Rankings!AN2:AN651))/STDEV(Rankings!AN2:AN651)</f>
        <v>-1.2302545831997735</v>
      </c>
      <c r="AH593" s="118">
        <f>(VLOOKUP($A593,Pitchers!$A1:$S251,16,FALSE)-AVERAGE(Rankings!AO2:AO651))/STDEV(Rankings!AO2:AO651)*-1</f>
        <v>1.2942974910340181</v>
      </c>
      <c r="AI593" s="118">
        <f>IFERROR((VLOOKUP($A593,Pitchers!$A1:$S251,17,FALSE)-AVERAGE(Rankings!AP2:AP651))/STDEV(Rankings!AP2:AP651),0)</f>
        <v>-1.1136479910031813</v>
      </c>
      <c r="AJ593" s="118">
        <f>(VLOOKUP($A593,Pitchers!$A1:$S251,18,FALSE)-AVERAGE(Rankings!AQ2:AQ651))/STDEV(Rankings!AQ2:AQ651)</f>
        <v>1.3011940640842328</v>
      </c>
      <c r="AK593" s="118">
        <f>IFERROR((VLOOKUP($A593,Pitchers!$A1:$S251,19,FALSE)-AVERAGE(Rankings!AR2:AR651))/STDEV(Rankings!AR2:AR651)*-1,0)</f>
        <v>-0.46817010195488579</v>
      </c>
    </row>
    <row r="594" spans="1:37" ht="20.100000000000001" customHeight="1">
      <c r="A594" s="26" t="s">
        <v>500</v>
      </c>
      <c r="B594" s="27" t="s">
        <v>86</v>
      </c>
      <c r="C594" s="128" t="s">
        <v>34</v>
      </c>
      <c r="D594" s="67">
        <f>(V594*Settings!$G$2)+(Y594*Settings!$G$5)+(Z594*Settings!$G$6)+(AA594*Settings!$G$7)+(AB594*Settings!$G$8)+(AC594*Settings!$G$9)+(AD594*Settings!$G$10)+(AE594*Settings!$G$11)+(AF594*Settings!$G$12)+(AG594*Settings!$G$13)+(AH594*Settings!$G$14)+(AI594*Settings!$G$15)+(AJ594*Settings!$G$16)+(AK594*Settings!$G$17)+(W594*Settings!$G$3)+(X594*Settings!$G$4)</f>
        <v>-1.1716276446837299</v>
      </c>
      <c r="E594" s="67"/>
      <c r="F594" s="67"/>
      <c r="G594" s="67"/>
      <c r="H594" s="67"/>
      <c r="I594" s="67"/>
      <c r="J594" s="67"/>
      <c r="K594" s="72"/>
      <c r="L594" s="72"/>
      <c r="M594" s="67"/>
      <c r="N594" s="67"/>
      <c r="O594" s="67"/>
      <c r="P594" s="67"/>
      <c r="Q594" s="67"/>
      <c r="R594" s="72"/>
      <c r="S594" s="72"/>
      <c r="T594" s="67"/>
      <c r="U594" s="67"/>
      <c r="V594" s="118">
        <f>(VLOOKUP($A594,Pitchers!$A1:$S251,4,FALSE)-AVERAGE(Rankings!AC2:AC651))/STDEV(Rankings!AC2:AC651)</f>
        <v>-1.1427796175492904</v>
      </c>
      <c r="W594" s="118">
        <f>(VLOOKUP($A594,Pitchers!$A1:$S251,5,FALSE)-AVERAGE(Rankings!AD2:AD651))/STDEV(Rankings!AD2:AD651)*-1</f>
        <v>-0.1718314566959302</v>
      </c>
      <c r="X594" s="118">
        <f>(VLOOKUP($A594,Pitchers!$A1:$S251,6,FALSE)-AVERAGE(Rankings!AE2:AE651))/STDEV(Rankings!AE2:AE651)*-1</f>
        <v>-0.5532192518242679</v>
      </c>
      <c r="Y594" s="118">
        <f>(VLOOKUP($A594,Pitchers!$A1:$S251,7,FALSE)-AVERAGE(Rankings!AF2:AF651))/STDEV(Rankings!AF2:AF651)</f>
        <v>-1.0011932616621355</v>
      </c>
      <c r="Z594" s="118">
        <f>(VLOOKUP($A594,Pitchers!$A1:$S251,8,FALSE)-AVERAGE(Rankings!AG2:AG651))/STDEV(Rankings!AG2:AG651)</f>
        <v>-1.4001623574816779</v>
      </c>
      <c r="AA594" s="118">
        <f>(VLOOKUP($A594,Pitchers!$A1:$S251,9,FALSE)-AVERAGE(Rankings!AH2:AH651))/STDEV(Rankings!AH2:AH651)</f>
        <v>1.9547786829802816</v>
      </c>
      <c r="AB594" s="118">
        <f>(VLOOKUP($A594,Pitchers!$A1:$S251,10,FALSE)-AVERAGE(Rankings!AI2:AI651))/STDEV(Rankings!AI2:AI651)*-1</f>
        <v>1.0670610798314184</v>
      </c>
      <c r="AC594" s="118">
        <f>(VLOOKUP($A594,Pitchers!$A1:$S251,11,FALSE)-AVERAGE(Rankings!AJ2:AJ651))/STDEV(Rankings!AJ2:AJ651)*-1</f>
        <v>1.183286478871576</v>
      </c>
      <c r="AD594" s="118">
        <f>(VLOOKUP($A594,Pitchers!$A1:$S251,12,FALSE)-AVERAGE(Rankings!AK2:AK651))/STDEV(Rankings!AK2:AK651)*-1</f>
        <v>0.64644076042609577</v>
      </c>
      <c r="AE594" s="118">
        <f>IFERROR((VLOOKUP($A594,Pitchers!$A1:$S251,13,FALSE)-AVERAGE(Rankings!AL2:AL651))/STDEV(Rankings!AL2:AL651)*-1,0)</f>
        <v>1.0786496597700121</v>
      </c>
      <c r="AF594" s="118">
        <f>(VLOOKUP($A594,Pitchers!$A1:$S251,14,FALSE)-AVERAGE(Rankings!AM2:AM651))/STDEV(Rankings!AM2:AM651)</f>
        <v>1.1872621953615723</v>
      </c>
      <c r="AG594" s="118">
        <f>(VLOOKUP($A594,Pitchers!$A1:$S251,15,FALSE)-AVERAGE(Rankings!AN2:AN651))/STDEV(Rankings!AN2:AN651)</f>
        <v>-1.2302545831997735</v>
      </c>
      <c r="AH594" s="118">
        <f>(VLOOKUP($A594,Pitchers!$A1:$S251,16,FALSE)-AVERAGE(Rankings!AO2:AO651))/STDEV(Rankings!AO2:AO651)*-1</f>
        <v>1.0750650183230976</v>
      </c>
      <c r="AI594" s="118">
        <f>IFERROR((VLOOKUP($A594,Pitchers!$A1:$S251,17,FALSE)-AVERAGE(Rankings!AP2:AP651))/STDEV(Rankings!AP2:AP651),0)</f>
        <v>-1.1136479910031813</v>
      </c>
      <c r="AJ594" s="118">
        <f>(VLOOKUP($A594,Pitchers!$A1:$S251,18,FALSE)-AVERAGE(Rankings!AQ2:AQ651))/STDEV(Rankings!AQ2:AQ651)</f>
        <v>0.34315751484457208</v>
      </c>
      <c r="AK594" s="118">
        <f>IFERROR((VLOOKUP($A594,Pitchers!$A1:$S251,19,FALSE)-AVERAGE(Rankings!AR2:AR651))/STDEV(Rankings!AR2:AR651)*-1,0)</f>
        <v>-2.83075640572399</v>
      </c>
    </row>
    <row r="595" spans="1:37" ht="20.100000000000001" customHeight="1">
      <c r="A595" s="26" t="s">
        <v>432</v>
      </c>
      <c r="B595" s="27" t="s">
        <v>73</v>
      </c>
      <c r="C595" s="128" t="s">
        <v>34</v>
      </c>
      <c r="D595" s="67">
        <f>(V595*Settings!$G$2)+(Y595*Settings!$G$5)+(Z595*Settings!$G$6)+(AA595*Settings!$G$7)+(AB595*Settings!$G$8)+(AC595*Settings!$G$9)+(AD595*Settings!$G$10)+(AE595*Settings!$G$11)+(AF595*Settings!$G$12)+(AG595*Settings!$G$13)+(AH595*Settings!$G$14)+(AI595*Settings!$G$15)+(AJ595*Settings!$G$16)+(AK595*Settings!$G$17)+(W595*Settings!$G$3)+(X595*Settings!$G$4)</f>
        <v>-0.31451328394510625</v>
      </c>
      <c r="E595" s="67"/>
      <c r="F595" s="67"/>
      <c r="G595" s="67"/>
      <c r="H595" s="67"/>
      <c r="I595" s="67"/>
      <c r="J595" s="67"/>
      <c r="K595" s="72"/>
      <c r="L595" s="72"/>
      <c r="M595" s="67"/>
      <c r="N595" s="67"/>
      <c r="O595" s="67"/>
      <c r="P595" s="67"/>
      <c r="Q595" s="67"/>
      <c r="R595" s="72"/>
      <c r="S595" s="72"/>
      <c r="T595" s="67"/>
      <c r="U595" s="67"/>
      <c r="V595" s="118">
        <f>(VLOOKUP($A595,Pitchers!$A1:$S251,4,FALSE)-AVERAGE(Rankings!AC2:AC651))/STDEV(Rankings!AC2:AC651)</f>
        <v>-1.0174084994555179</v>
      </c>
      <c r="W595" s="118">
        <f>(VLOOKUP($A595,Pitchers!$A1:$S251,5,FALSE)-AVERAGE(Rankings!AD2:AD651))/STDEV(Rankings!AD2:AD651)*-1</f>
        <v>0.9309493318529598</v>
      </c>
      <c r="X595" s="118">
        <f>(VLOOKUP($A595,Pitchers!$A1:$S251,6,FALSE)-AVERAGE(Rankings!AE2:AE651))/STDEV(Rankings!AE2:AE651)*-1</f>
        <v>0.85997547747573588</v>
      </c>
      <c r="Y595" s="118">
        <f>(VLOOKUP($A595,Pitchers!$A1:$S251,7,FALSE)-AVERAGE(Rankings!AF2:AF651))/STDEV(Rankings!AF2:AF651)</f>
        <v>-0.94991114213542194</v>
      </c>
      <c r="Z595" s="118">
        <f>(VLOOKUP($A595,Pitchers!$A1:$S251,8,FALSE)-AVERAGE(Rankings!AG2:AG651))/STDEV(Rankings!AG2:AG651)</f>
        <v>-0.8164125213996718</v>
      </c>
      <c r="AA595" s="118">
        <f>(VLOOKUP($A595,Pitchers!$A1:$S251,9,FALSE)-AVERAGE(Rankings!AH2:AH651))/STDEV(Rankings!AH2:AH651)</f>
        <v>-0.33911442973870803</v>
      </c>
      <c r="AB595" s="118">
        <f>(VLOOKUP($A595,Pitchers!$A1:$S251,10,FALSE)-AVERAGE(Rankings!AI2:AI651))/STDEV(Rankings!AI2:AI651)*-1</f>
        <v>1.1076301762416063</v>
      </c>
      <c r="AC595" s="118">
        <f>(VLOOKUP($A595,Pitchers!$A1:$S251,11,FALSE)-AVERAGE(Rankings!AJ2:AJ651))/STDEV(Rankings!AJ2:AJ651)*-1</f>
        <v>0.97970576599152381</v>
      </c>
      <c r="AD595" s="118">
        <f>(VLOOKUP($A595,Pitchers!$A1:$S251,12,FALSE)-AVERAGE(Rankings!AK2:AK651))/STDEV(Rankings!AK2:AK651)*-1</f>
        <v>1.3654007043711163</v>
      </c>
      <c r="AE595" s="118">
        <f>IFERROR((VLOOKUP($A595,Pitchers!$A1:$S251,13,FALSE)-AVERAGE(Rankings!AL2:AL651))/STDEV(Rankings!AL2:AL651)*-1,0)</f>
        <v>1.0786496597700121</v>
      </c>
      <c r="AF595" s="118">
        <f>(VLOOKUP($A595,Pitchers!$A1:$S251,14,FALSE)-AVERAGE(Rankings!AM2:AM651))/STDEV(Rankings!AM2:AM651)</f>
        <v>1.129947343567089</v>
      </c>
      <c r="AG595" s="118">
        <f>(VLOOKUP($A595,Pitchers!$A1:$S251,15,FALSE)-AVERAGE(Rankings!AN2:AN651))/STDEV(Rankings!AN2:AN651)</f>
        <v>-1.1580658781355289</v>
      </c>
      <c r="AH595" s="118">
        <f>(VLOOKUP($A595,Pitchers!$A1:$S251,16,FALSE)-AVERAGE(Rankings!AO2:AO651))/STDEV(Rankings!AO2:AO651)*-1</f>
        <v>1.4073631893726923</v>
      </c>
      <c r="AI595" s="118">
        <f>IFERROR((VLOOKUP($A595,Pitchers!$A1:$S251,17,FALSE)-AVERAGE(Rankings!AP2:AP651))/STDEV(Rankings!AP2:AP651),0)</f>
        <v>-1.1136479910031813</v>
      </c>
      <c r="AJ595" s="118">
        <f>(VLOOKUP($A595,Pitchers!$A1:$S251,18,FALSE)-AVERAGE(Rankings!AQ2:AQ651))/STDEV(Rankings!AQ2:AQ651)</f>
        <v>1.8600487178073681</v>
      </c>
      <c r="AK595" s="118">
        <f>IFERROR((VLOOKUP($A595,Pitchers!$A1:$S251,19,FALSE)-AVERAGE(Rankings!AR2:AR651))/STDEV(Rankings!AR2:AR651)*-1,0)</f>
        <v>-0.94068736270870656</v>
      </c>
    </row>
    <row r="596" spans="1:37" ht="20.100000000000001" customHeight="1">
      <c r="A596" s="26" t="s">
        <v>488</v>
      </c>
      <c r="B596" s="27" t="s">
        <v>76</v>
      </c>
      <c r="C596" s="128" t="s">
        <v>34</v>
      </c>
      <c r="D596" s="67">
        <f>(V596*Settings!$G$2)+(Y596*Settings!$G$5)+(Z596*Settings!$G$6)+(AA596*Settings!$G$7)+(AB596*Settings!$G$8)+(AC596*Settings!$G$9)+(AD596*Settings!$G$10)+(AE596*Settings!$G$11)+(AF596*Settings!$G$12)+(AG596*Settings!$G$13)+(AH596*Settings!$G$14)+(AI596*Settings!$G$15)+(AJ596*Settings!$G$16)+(AK596*Settings!$G$17)+(W596*Settings!$G$3)+(X596*Settings!$G$4)</f>
        <v>-0.87090424170065817</v>
      </c>
      <c r="E596" s="67"/>
      <c r="F596" s="67"/>
      <c r="G596" s="67"/>
      <c r="H596" s="67"/>
      <c r="I596" s="67"/>
      <c r="J596" s="67"/>
      <c r="K596" s="72"/>
      <c r="L596" s="72"/>
      <c r="M596" s="67"/>
      <c r="N596" s="67"/>
      <c r="O596" s="67"/>
      <c r="P596" s="67"/>
      <c r="Q596" s="67"/>
      <c r="R596" s="72"/>
      <c r="S596" s="72"/>
      <c r="T596" s="67"/>
      <c r="U596" s="67"/>
      <c r="V596" s="118">
        <f>(VLOOKUP($A596,Pitchers!$A1:$S251,4,FALSE)-AVERAGE(Rankings!AC2:AC651))/STDEV(Rankings!AC2:AC651)</f>
        <v>-1.0775399054478716</v>
      </c>
      <c r="W596" s="118">
        <f>(VLOOKUP($A596,Pitchers!$A1:$S251,5,FALSE)-AVERAGE(Rankings!AD2:AD651))/STDEV(Rankings!AD2:AD651)*-1</f>
        <v>0.77574524384396804</v>
      </c>
      <c r="X596" s="118">
        <f>(VLOOKUP($A596,Pitchers!$A1:$S251,6,FALSE)-AVERAGE(Rankings!AE2:AE651))/STDEV(Rankings!AE2:AE651)*-1</f>
        <v>2.690566246557893E-2</v>
      </c>
      <c r="Y596" s="118">
        <f>(VLOOKUP($A596,Pitchers!$A1:$S251,7,FALSE)-AVERAGE(Rankings!AF2:AF651))/STDEV(Rankings!AF2:AF651)</f>
        <v>-0.63678938299041588</v>
      </c>
      <c r="Z596" s="118">
        <f>(VLOOKUP($A596,Pitchers!$A1:$S251,8,FALSE)-AVERAGE(Rankings!AG2:AG651))/STDEV(Rankings!AG2:AG651)</f>
        <v>-0.88248830840867876</v>
      </c>
      <c r="AA596" s="118">
        <f>(VLOOKUP($A596,Pitchers!$A1:$S251,9,FALSE)-AVERAGE(Rankings!AH2:AH651))/STDEV(Rankings!AH2:AH651)</f>
        <v>-0.15427745661111042</v>
      </c>
      <c r="AB596" s="118">
        <f>(VLOOKUP($A596,Pitchers!$A1:$S251,10,FALSE)-AVERAGE(Rankings!AI2:AI651))/STDEV(Rankings!AI2:AI651)*-1</f>
        <v>1.1362013945154479</v>
      </c>
      <c r="AC596" s="118">
        <f>(VLOOKUP($A596,Pitchers!$A1:$S251,11,FALSE)-AVERAGE(Rankings!AJ2:AJ651))/STDEV(Rankings!AJ2:AJ651)*-1</f>
        <v>1.2624436445334928</v>
      </c>
      <c r="AD596" s="118">
        <f>(VLOOKUP($A596,Pitchers!$A1:$S251,12,FALSE)-AVERAGE(Rankings!AK2:AK651))/STDEV(Rankings!AK2:AK651)*-1</f>
        <v>0.32864930635311895</v>
      </c>
      <c r="AE596" s="118">
        <f>IFERROR((VLOOKUP($A596,Pitchers!$A1:$S251,13,FALSE)-AVERAGE(Rankings!AL2:AL651))/STDEV(Rankings!AL2:AL651)*-1,0)</f>
        <v>1.0786496597700121</v>
      </c>
      <c r="AF596" s="118">
        <f>(VLOOKUP($A596,Pitchers!$A1:$S251,14,FALSE)-AVERAGE(Rankings!AM2:AM651))/STDEV(Rankings!AM2:AM651)</f>
        <v>1.3205245392743337</v>
      </c>
      <c r="AG596" s="118">
        <f>(VLOOKUP($A596,Pitchers!$A1:$S251,15,FALSE)-AVERAGE(Rankings!AN2:AN651))/STDEV(Rankings!AN2:AN651)</f>
        <v>-1.2302545831997735</v>
      </c>
      <c r="AH596" s="118">
        <f>(VLOOKUP($A596,Pitchers!$A1:$S251,16,FALSE)-AVERAGE(Rankings!AO2:AO651))/STDEV(Rankings!AO2:AO651)*-1</f>
        <v>1.0788977538600018</v>
      </c>
      <c r="AI596" s="118">
        <f>IFERROR((VLOOKUP($A596,Pitchers!$A1:$S251,17,FALSE)-AVERAGE(Rankings!AP2:AP651))/STDEV(Rankings!AP2:AP651),0)</f>
        <v>-1.1136479910031813</v>
      </c>
      <c r="AJ596" s="118">
        <f>(VLOOKUP($A596,Pitchers!$A1:$S251,18,FALSE)-AVERAGE(Rankings!AQ2:AQ651))/STDEV(Rankings!AQ2:AQ651)</f>
        <v>1.540703201394148</v>
      </c>
      <c r="AK596" s="118">
        <f>IFERROR((VLOOKUP($A596,Pitchers!$A1:$S251,19,FALSE)-AVERAGE(Rankings!AR2:AR651))/STDEV(Rankings!AR2:AR651)*-1,0)</f>
        <v>-0.46817010195488579</v>
      </c>
    </row>
    <row r="597" spans="1:37" ht="20.100000000000001" customHeight="1">
      <c r="A597" s="26" t="s">
        <v>465</v>
      </c>
      <c r="B597" s="27" t="s">
        <v>71</v>
      </c>
      <c r="C597" s="128" t="s">
        <v>34</v>
      </c>
      <c r="D597" s="67">
        <f>(V597*Settings!$G$2)+(Y597*Settings!$G$5)+(Z597*Settings!$G$6)+(AA597*Settings!$G$7)+(AB597*Settings!$G$8)+(AC597*Settings!$G$9)+(AD597*Settings!$G$10)+(AE597*Settings!$G$11)+(AF597*Settings!$G$12)+(AG597*Settings!$G$13)+(AH597*Settings!$G$14)+(AI597*Settings!$G$15)+(AJ597*Settings!$G$16)+(AK597*Settings!$G$17)+(W597*Settings!$G$3)+(X597*Settings!$G$4)</f>
        <v>-2.3970356229740686</v>
      </c>
      <c r="E597" s="67"/>
      <c r="F597" s="67"/>
      <c r="G597" s="67"/>
      <c r="H597" s="67"/>
      <c r="I597" s="67"/>
      <c r="J597" s="67"/>
      <c r="K597" s="72"/>
      <c r="L597" s="72"/>
      <c r="M597" s="67"/>
      <c r="N597" s="67"/>
      <c r="O597" s="67"/>
      <c r="P597" s="67"/>
      <c r="Q597" s="67"/>
      <c r="R597" s="72"/>
      <c r="S597" s="72"/>
      <c r="T597" s="67"/>
      <c r="U597" s="67"/>
      <c r="V597" s="118">
        <f>(VLOOKUP($A597,Pitchers!$A1:$S251,4,FALSE)-AVERAGE(Rankings!AC2:AC651))/STDEV(Rankings!AC2:AC651)</f>
        <v>-1.0667277059703895</v>
      </c>
      <c r="W597" s="118">
        <f>(VLOOKUP($A597,Pitchers!$A1:$S251,5,FALSE)-AVERAGE(Rankings!AD2:AD651))/STDEV(Rankings!AD2:AD651)*-1</f>
        <v>-0.14500196416972047</v>
      </c>
      <c r="X597" s="118">
        <f>(VLOOKUP($A597,Pitchers!$A1:$S251,6,FALSE)-AVERAGE(Rankings!AE2:AE651))/STDEV(Rankings!AE2:AE651)*-1</f>
        <v>0.24022061861263239</v>
      </c>
      <c r="Y597" s="118">
        <f>(VLOOKUP($A597,Pitchers!$A1:$S251,7,FALSE)-AVERAGE(Rankings!AF2:AF651))/STDEV(Rankings!AF2:AF651)</f>
        <v>-1.0367288091985196</v>
      </c>
      <c r="Z597" s="118">
        <f>(VLOOKUP($A597,Pitchers!$A1:$S251,8,FALSE)-AVERAGE(Rankings!AG2:AG651))/STDEV(Rankings!AG2:AG651)</f>
        <v>-1.1024193950955925</v>
      </c>
      <c r="AA597" s="118">
        <f>(VLOOKUP($A597,Pitchers!$A1:$S251,9,FALSE)-AVERAGE(Rankings!AH2:AH651))/STDEV(Rankings!AH2:AH651)</f>
        <v>-0.35310607312286874</v>
      </c>
      <c r="AB597" s="118">
        <f>(VLOOKUP($A597,Pitchers!$A1:$S251,10,FALSE)-AVERAGE(Rankings!AI2:AI651))/STDEV(Rankings!AI2:AI651)*-1</f>
        <v>0.99832747288082424</v>
      </c>
      <c r="AC597" s="118">
        <f>(VLOOKUP($A597,Pitchers!$A1:$S251,11,FALSE)-AVERAGE(Rankings!AJ2:AJ651))/STDEV(Rankings!AJ2:AJ651)*-1</f>
        <v>1.0286774770077665</v>
      </c>
      <c r="AD597" s="118">
        <f>(VLOOKUP($A597,Pitchers!$A1:$S251,12,FALSE)-AVERAGE(Rankings!AK2:AK651))/STDEV(Rankings!AK2:AK651)*-1</f>
        <v>1.1473316427854312</v>
      </c>
      <c r="AE597" s="118">
        <f>IFERROR((VLOOKUP($A597,Pitchers!$A1:$S251,13,FALSE)-AVERAGE(Rankings!AL2:AL651))/STDEV(Rankings!AL2:AL651)*-1,0)</f>
        <v>0.8758154027116164</v>
      </c>
      <c r="AF597" s="118">
        <f>(VLOOKUP($A597,Pitchers!$A1:$S251,14,FALSE)-AVERAGE(Rankings!AM2:AM651))/STDEV(Rankings!AM2:AM651)</f>
        <v>1.1837907148449722</v>
      </c>
      <c r="AG597" s="118">
        <f>(VLOOKUP($A597,Pitchers!$A1:$S251,15,FALSE)-AVERAGE(Rankings!AN2:AN651))/STDEV(Rankings!AN2:AN651)</f>
        <v>-1.2293951938537706</v>
      </c>
      <c r="AH597" s="118">
        <f>(VLOOKUP($A597,Pitchers!$A1:$S251,16,FALSE)-AVERAGE(Rankings!AO2:AO651))/STDEV(Rankings!AO2:AO651)*-1</f>
        <v>1.087329772041191</v>
      </c>
      <c r="AI597" s="118">
        <f>IFERROR((VLOOKUP($A597,Pitchers!$A1:$S251,17,FALSE)-AVERAGE(Rankings!AP2:AP651))/STDEV(Rankings!AP2:AP651),0)</f>
        <v>-1.1136479910031813</v>
      </c>
      <c r="AJ597" s="118">
        <f>(VLOOKUP($A597,Pitchers!$A1:$S251,18,FALSE)-AVERAGE(Rankings!AQ2:AQ651))/STDEV(Rankings!AQ2:AQ651)</f>
        <v>0.58266665215448732</v>
      </c>
      <c r="AK597" s="118">
        <f>IFERROR((VLOOKUP($A597,Pitchers!$A1:$S251,19,FALSE)-AVERAGE(Rankings!AR2:AR651))/STDEV(Rankings!AR2:AR651)*-1,0)</f>
        <v>0.47686441955275594</v>
      </c>
    </row>
    <row r="598" spans="1:37" ht="20.100000000000001" customHeight="1">
      <c r="A598" s="26" t="s">
        <v>557</v>
      </c>
      <c r="B598" s="27" t="s">
        <v>258</v>
      </c>
      <c r="C598" s="128" t="s">
        <v>34</v>
      </c>
      <c r="D598" s="67">
        <f>(V598*Settings!$G$2)+(Y598*Settings!$G$5)+(Z598*Settings!$G$6)+(AA598*Settings!$G$7)+(AB598*Settings!$G$8)+(AC598*Settings!$G$9)+(AD598*Settings!$G$10)+(AE598*Settings!$G$11)+(AF598*Settings!$G$12)+(AG598*Settings!$G$13)+(AH598*Settings!$G$14)+(AI598*Settings!$G$15)+(AJ598*Settings!$G$16)+(AK598*Settings!$G$17)+(W598*Settings!$G$3)+(X598*Settings!$G$4)</f>
        <v>-0.58872247456139304</v>
      </c>
      <c r="E598" s="67"/>
      <c r="F598" s="67"/>
      <c r="G598" s="67"/>
      <c r="H598" s="67"/>
      <c r="I598" s="67"/>
      <c r="J598" s="67"/>
      <c r="K598" s="72"/>
      <c r="L598" s="72"/>
      <c r="M598" s="67"/>
      <c r="N598" s="67"/>
      <c r="O598" s="67"/>
      <c r="P598" s="67"/>
      <c r="Q598" s="67"/>
      <c r="R598" s="72"/>
      <c r="S598" s="72"/>
      <c r="T598" s="67"/>
      <c r="U598" s="67"/>
      <c r="V598" s="118">
        <f>(VLOOKUP($A598,Pitchers!$A1:$S251,4,FALSE)-AVERAGE(Rankings!AC2:AC651))/STDEV(Rankings!AC2:AC651)</f>
        <v>-1.0491578818194804</v>
      </c>
      <c r="W598" s="118">
        <f>(VLOOKUP($A598,Pitchers!$A1:$S251,5,FALSE)-AVERAGE(Rankings!AD2:AD651))/STDEV(Rankings!AD2:AD651)*-1</f>
        <v>0.12407539761608548</v>
      </c>
      <c r="X598" s="118">
        <f>(VLOOKUP($A598,Pitchers!$A1:$S251,6,FALSE)-AVERAGE(Rankings!AE2:AE651))/STDEV(Rankings!AE2:AE651)*-1</f>
        <v>-0.78878698989477436</v>
      </c>
      <c r="Y598" s="118">
        <f>(VLOOKUP($A598,Pitchers!$A1:$S251,7,FALSE)-AVERAGE(Rankings!AF2:AF651))/STDEV(Rankings!AF2:AF651)</f>
        <v>-0.88934559583829043</v>
      </c>
      <c r="Z598" s="118">
        <f>(VLOOKUP($A598,Pitchers!$A1:$S251,8,FALSE)-AVERAGE(Rankings!AG2:AG651))/STDEV(Rankings!AG2:AG651)</f>
        <v>-1.1057955301982425</v>
      </c>
      <c r="AA598" s="118">
        <f>(VLOOKUP($A598,Pitchers!$A1:$S251,9,FALSE)-AVERAGE(Rankings!AH2:AH651))/STDEV(Rankings!AH2:AH651)</f>
        <v>2.0711302437538288</v>
      </c>
      <c r="AB598" s="118">
        <f>(VLOOKUP($A598,Pitchers!$A1:$S251,10,FALSE)-AVERAGE(Rankings!AI2:AI651))/STDEV(Rankings!AI2:AI651)*-1</f>
        <v>1.0197558865862053</v>
      </c>
      <c r="AC598" s="118">
        <f>(VLOOKUP($A598,Pitchers!$A1:$S251,11,FALSE)-AVERAGE(Rankings!AJ2:AJ651))/STDEV(Rankings!AJ2:AJ651)*-1</f>
        <v>1.0572108739324109</v>
      </c>
      <c r="AD598" s="118">
        <f>(VLOOKUP($A598,Pitchers!$A1:$S251,12,FALSE)-AVERAGE(Rankings!AK2:AK651))/STDEV(Rankings!AK2:AK651)*-1</f>
        <v>0.56141347226908278</v>
      </c>
      <c r="AE598" s="118">
        <f>IFERROR((VLOOKUP($A598,Pitchers!$A1:$S251,13,FALSE)-AVERAGE(Rankings!AL2:AL651))/STDEV(Rankings!AL2:AL651)*-1,0)</f>
        <v>1.2669957556099514</v>
      </c>
      <c r="AF598" s="118">
        <f>(VLOOKUP($A598,Pitchers!$A1:$S251,14,FALSE)-AVERAGE(Rankings!AM2:AM651))/STDEV(Rankings!AM2:AM651)</f>
        <v>1.4855969801657387</v>
      </c>
      <c r="AG598" s="118">
        <f>(VLOOKUP($A598,Pitchers!$A1:$S251,15,FALSE)-AVERAGE(Rankings!AN2:AN651))/STDEV(Rankings!AN2:AN651)</f>
        <v>-1.2302545831997735</v>
      </c>
      <c r="AH598" s="118">
        <f>(VLOOKUP($A598,Pitchers!$A1:$S251,16,FALSE)-AVERAGE(Rankings!AO2:AO651))/STDEV(Rankings!AO2:AO651)*-1</f>
        <v>0.97886335634680177</v>
      </c>
      <c r="AI598" s="118">
        <f>IFERROR((VLOOKUP($A598,Pitchers!$A1:$S251,17,FALSE)-AVERAGE(Rankings!AP2:AP651))/STDEV(Rankings!AP2:AP651),0)</f>
        <v>-1.1136479910031813</v>
      </c>
      <c r="AJ598" s="118">
        <f>(VLOOKUP($A598,Pitchers!$A1:$S251,18,FALSE)-AVERAGE(Rankings!AQ2:AQ651))/STDEV(Rankings!AQ2:AQ651)</f>
        <v>0.18348475663796196</v>
      </c>
      <c r="AK598" s="118">
        <f>IFERROR((VLOOKUP($A598,Pitchers!$A1:$S251,19,FALSE)-AVERAGE(Rankings!AR2:AR651))/STDEV(Rankings!AR2:AR651)*-1,0)</f>
        <v>-2.83075640572399</v>
      </c>
    </row>
    <row r="599" spans="1:37" ht="20.100000000000001" customHeight="1">
      <c r="A599" s="26" t="s">
        <v>512</v>
      </c>
      <c r="B599" s="27" t="s">
        <v>114</v>
      </c>
      <c r="C599" s="128" t="s">
        <v>34</v>
      </c>
      <c r="D599" s="67">
        <f>(V599*Settings!$G$2)+(Y599*Settings!$G$5)+(Z599*Settings!$G$6)+(AA599*Settings!$G$7)+(AB599*Settings!$G$8)+(AC599*Settings!$G$9)+(AD599*Settings!$G$10)+(AE599*Settings!$G$11)+(AF599*Settings!$G$12)+(AG599*Settings!$G$13)+(AH599*Settings!$G$14)+(AI599*Settings!$G$15)+(AJ599*Settings!$G$16)+(AK599*Settings!$G$17)+(W599*Settings!$G$3)+(X599*Settings!$G$4)</f>
        <v>-1.9282657225302695</v>
      </c>
      <c r="E599" s="67"/>
      <c r="F599" s="67"/>
      <c r="G599" s="67"/>
      <c r="H599" s="67"/>
      <c r="I599" s="67"/>
      <c r="J599" s="67"/>
      <c r="K599" s="72"/>
      <c r="L599" s="72"/>
      <c r="M599" s="67"/>
      <c r="N599" s="67"/>
      <c r="O599" s="67"/>
      <c r="P599" s="67"/>
      <c r="Q599" s="67"/>
      <c r="R599" s="72"/>
      <c r="S599" s="72"/>
      <c r="T599" s="67"/>
      <c r="U599" s="67"/>
      <c r="V599" s="118">
        <f>(VLOOKUP($A599,Pitchers!$A1:$S251,4,FALSE)-AVERAGE(Rankings!AC2:AC651))/STDEV(Rankings!AC2:AC651)</f>
        <v>-1.0553428264358371</v>
      </c>
      <c r="W599" s="118">
        <f>(VLOOKUP($A599,Pitchers!$A1:$S251,5,FALSE)-AVERAGE(Rankings!AD2:AD651))/STDEV(Rankings!AD2:AD651)*-1</f>
        <v>-0.15842177568721355</v>
      </c>
      <c r="X599" s="118">
        <f>(VLOOKUP($A599,Pitchers!$A1:$S251,6,FALSE)-AVERAGE(Rankings!AE2:AE651))/STDEV(Rankings!AE2:AE651)*-1</f>
        <v>-0.71999387701506756</v>
      </c>
      <c r="Y599" s="118">
        <f>(VLOOKUP($A599,Pitchers!$A1:$S251,7,FALSE)-AVERAGE(Rankings!AF2:AF651))/STDEV(Rankings!AF2:AF651)</f>
        <v>-1.1077764019250342</v>
      </c>
      <c r="Z599" s="118">
        <f>(VLOOKUP($A599,Pitchers!$A1:$S251,8,FALSE)-AVERAGE(Rankings!AG2:AG651))/STDEV(Rankings!AG2:AG651)</f>
        <v>-1.1059562985364639</v>
      </c>
      <c r="AA599" s="118">
        <f>(VLOOKUP($A599,Pitchers!$A1:$S251,9,FALSE)-AVERAGE(Rankings!AH2:AH651))/STDEV(Rankings!AH2:AH651)</f>
        <v>1.1638826306335095</v>
      </c>
      <c r="AB599" s="118">
        <f>(VLOOKUP($A599,Pitchers!$A1:$S251,10,FALSE)-AVERAGE(Rankings!AI2:AI651))/STDEV(Rankings!AI2:AI651)*-1</f>
        <v>0.98561785621096598</v>
      </c>
      <c r="AC599" s="118">
        <f>(VLOOKUP($A599,Pitchers!$A1:$S251,11,FALSE)-AVERAGE(Rankings!AJ2:AJ651))/STDEV(Rankings!AJ2:AJ651)*-1</f>
        <v>0.96346839867625889</v>
      </c>
      <c r="AD599" s="118">
        <f>(VLOOKUP($A599,Pitchers!$A1:$S251,12,FALSE)-AVERAGE(Rankings!AK2:AK651))/STDEV(Rankings!AK2:AK651)*-1</f>
        <v>0.92886966397166371</v>
      </c>
      <c r="AE599" s="118">
        <f>IFERROR((VLOOKUP($A599,Pitchers!$A1:$S251,13,FALSE)-AVERAGE(Rankings!AL2:AL651))/STDEV(Rankings!AL2:AL651)*-1,0)</f>
        <v>1.0834790468428313</v>
      </c>
      <c r="AF599" s="118">
        <f>(VLOOKUP($A599,Pitchers!$A1:$S251,14,FALSE)-AVERAGE(Rankings!AM2:AM651))/STDEV(Rankings!AM2:AM651)</f>
        <v>1.3346938475053556</v>
      </c>
      <c r="AG599" s="118">
        <f>(VLOOKUP($A599,Pitchers!$A1:$S251,15,FALSE)-AVERAGE(Rankings!AN2:AN651))/STDEV(Rankings!AN2:AN651)</f>
        <v>-1.2293951938537706</v>
      </c>
      <c r="AH599" s="118">
        <f>(VLOOKUP($A599,Pitchers!$A1:$S251,16,FALSE)-AVERAGE(Rankings!AO2:AO651))/STDEV(Rankings!AO2:AO651)*-1</f>
        <v>1.0704657356788125</v>
      </c>
      <c r="AI599" s="118">
        <f>IFERROR((VLOOKUP($A599,Pitchers!$A1:$S251,17,FALSE)-AVERAGE(Rankings!AP2:AP651))/STDEV(Rankings!AP2:AP651),0)</f>
        <v>-1.1136479910031813</v>
      </c>
      <c r="AJ599" s="118">
        <f>(VLOOKUP($A599,Pitchers!$A1:$S251,18,FALSE)-AVERAGE(Rankings!AQ2:AQ651))/STDEV(Rankings!AQ2:AQ651)</f>
        <v>1.3011940640842328</v>
      </c>
      <c r="AK599" s="118">
        <f>IFERROR((VLOOKUP($A599,Pitchers!$A1:$S251,19,FALSE)-AVERAGE(Rankings!AR2:AR651))/STDEV(Rankings!AR2:AR651)*-1,0)</f>
        <v>-0.94068736270870656</v>
      </c>
    </row>
    <row r="600" spans="1:37" ht="20.100000000000001" customHeight="1">
      <c r="A600" s="26" t="s">
        <v>513</v>
      </c>
      <c r="B600" s="27" t="s">
        <v>78</v>
      </c>
      <c r="C600" s="128" t="s">
        <v>34</v>
      </c>
      <c r="D600" s="67">
        <f>(V600*Settings!$G$2)+(Y600*Settings!$G$5)+(Z600*Settings!$G$6)+(AA600*Settings!$G$7)+(AB600*Settings!$G$8)+(AC600*Settings!$G$9)+(AD600*Settings!$G$10)+(AE600*Settings!$G$11)+(AF600*Settings!$G$12)+(AG600*Settings!$G$13)+(AH600*Settings!$G$14)+(AI600*Settings!$G$15)+(AJ600*Settings!$G$16)+(AK600*Settings!$G$17)+(W600*Settings!$G$3)+(X600*Settings!$G$4)</f>
        <v>-0.82233434797882321</v>
      </c>
      <c r="E600" s="67"/>
      <c r="F600" s="67"/>
      <c r="G600" s="67"/>
      <c r="H600" s="67"/>
      <c r="I600" s="67"/>
      <c r="J600" s="67"/>
      <c r="K600" s="72"/>
      <c r="L600" s="72"/>
      <c r="M600" s="67"/>
      <c r="N600" s="67"/>
      <c r="O600" s="67"/>
      <c r="P600" s="67"/>
      <c r="Q600" s="67"/>
      <c r="R600" s="72"/>
      <c r="S600" s="72"/>
      <c r="T600" s="67"/>
      <c r="U600" s="67"/>
      <c r="V600" s="118">
        <f>(VLOOKUP($A600,Pitchers!$A1:$S251,4,FALSE)-AVERAGE(Rankings!AC2:AC651))/STDEV(Rankings!AC2:AC651)</f>
        <v>-1.0597410092741351</v>
      </c>
      <c r="W600" s="118">
        <f>(VLOOKUP($A600,Pitchers!$A1:$S251,5,FALSE)-AVERAGE(Rankings!AD2:AD651))/STDEV(Rankings!AD2:AD651)*-1</f>
        <v>0.31647273118594726</v>
      </c>
      <c r="X600" s="118">
        <f>(VLOOKUP($A600,Pitchers!$A1:$S251,6,FALSE)-AVERAGE(Rankings!AE2:AE651))/STDEV(Rankings!AE2:AE651)*-1</f>
        <v>0.60514712543640847</v>
      </c>
      <c r="Y600" s="118">
        <f>(VLOOKUP($A600,Pitchers!$A1:$S251,7,FALSE)-AVERAGE(Rankings!AF2:AF651))/STDEV(Rankings!AF2:AF651)</f>
        <v>-0.84967363536116303</v>
      </c>
      <c r="Z600" s="118">
        <f>(VLOOKUP($A600,Pitchers!$A1:$S251,8,FALSE)-AVERAGE(Rankings!AG2:AG651))/STDEV(Rankings!AG2:AG651)</f>
        <v>-0.82027096151698586</v>
      </c>
      <c r="AA600" s="118">
        <f>(VLOOKUP($A600,Pitchers!$A1:$S251,9,FALSE)-AVERAGE(Rankings!AH2:AH651))/STDEV(Rankings!AH2:AH651)</f>
        <v>-7.400960772303021E-2</v>
      </c>
      <c r="AB600" s="118">
        <f>(VLOOKUP($A600,Pitchers!$A1:$S251,10,FALSE)-AVERAGE(Rankings!AI2:AI651))/STDEV(Rankings!AI2:AI651)*-1</f>
        <v>1.0565375172287754</v>
      </c>
      <c r="AC600" s="118">
        <f>(VLOOKUP($A600,Pitchers!$A1:$S251,11,FALSE)-AVERAGE(Rankings!AJ2:AJ651))/STDEV(Rankings!AJ2:AJ651)*-1</f>
        <v>1.0996215557137061</v>
      </c>
      <c r="AD600" s="118">
        <f>(VLOOKUP($A600,Pitchers!$A1:$S251,12,FALSE)-AVERAGE(Rankings!AK2:AK651))/STDEV(Rankings!AK2:AK651)*-1</f>
        <v>1.0295350578063533</v>
      </c>
      <c r="AE600" s="118">
        <f>IFERROR((VLOOKUP($A600,Pitchers!$A1:$S251,13,FALSE)-AVERAGE(Rankings!AL2:AL651))/STDEV(Rankings!AL2:AL651)*-1,0)</f>
        <v>1.0158676278233658</v>
      </c>
      <c r="AF600" s="118">
        <f>(VLOOKUP($A600,Pitchers!$A1:$S251,14,FALSE)-AVERAGE(Rankings!AM2:AM651))/STDEV(Rankings!AM2:AM651)</f>
        <v>1.5673538886587361</v>
      </c>
      <c r="AG600" s="118">
        <f>(VLOOKUP($A600,Pitchers!$A1:$S251,15,FALSE)-AVERAGE(Rankings!AN2:AN651))/STDEV(Rankings!AN2:AN651)</f>
        <v>-1.2302545831997735</v>
      </c>
      <c r="AH600" s="118">
        <f>(VLOOKUP($A600,Pitchers!$A1:$S251,16,FALSE)-AVERAGE(Rankings!AO2:AO651))/STDEV(Rankings!AO2:AO651)*-1</f>
        <v>1.06816609435667</v>
      </c>
      <c r="AI600" s="118">
        <f>IFERROR((VLOOKUP($A600,Pitchers!$A1:$S251,17,FALSE)-AVERAGE(Rankings!AP2:AP651))/STDEV(Rankings!AP2:AP651),0)</f>
        <v>-1.1136479910031813</v>
      </c>
      <c r="AJ600" s="118">
        <f>(VLOOKUP($A600,Pitchers!$A1:$S251,18,FALSE)-AVERAGE(Rankings!AQ2:AQ651))/STDEV(Rankings!AQ2:AQ651)</f>
        <v>2.2592306133238935</v>
      </c>
      <c r="AK600" s="118">
        <f>IFERROR((VLOOKUP($A600,Pitchers!$A1:$S251,19,FALSE)-AVERAGE(Rankings!AR2:AR651))/STDEV(Rankings!AR2:AR651)*-1,0)</f>
        <v>4.3471587989350928E-3</v>
      </c>
    </row>
    <row r="601" spans="1:37" ht="20.100000000000001" customHeight="1">
      <c r="A601" s="26" t="s">
        <v>556</v>
      </c>
      <c r="B601" s="27" t="s">
        <v>306</v>
      </c>
      <c r="C601" s="128" t="s">
        <v>34</v>
      </c>
      <c r="D601" s="67">
        <f>(V601*Settings!$G$2)+(Y601*Settings!$G$5)+(Z601*Settings!$G$6)+(AA601*Settings!$G$7)+(AB601*Settings!$G$8)+(AC601*Settings!$G$9)+(AD601*Settings!$G$10)+(AE601*Settings!$G$11)+(AF601*Settings!$G$12)+(AG601*Settings!$G$13)+(AH601*Settings!$G$14)+(AI601*Settings!$G$15)+(AJ601*Settings!$G$16)+(AK601*Settings!$G$17)+(W601*Settings!$G$3)+(X601*Settings!$G$4)</f>
        <v>-1.2202768933556181</v>
      </c>
      <c r="E601" s="67"/>
      <c r="F601" s="67"/>
      <c r="G601" s="67"/>
      <c r="H601" s="67"/>
      <c r="I601" s="67"/>
      <c r="J601" s="67"/>
      <c r="K601" s="72"/>
      <c r="L601" s="72"/>
      <c r="M601" s="67"/>
      <c r="N601" s="67"/>
      <c r="O601" s="67"/>
      <c r="P601" s="67"/>
      <c r="Q601" s="67"/>
      <c r="R601" s="72"/>
      <c r="S601" s="72"/>
      <c r="T601" s="67"/>
      <c r="U601" s="67"/>
      <c r="V601" s="118">
        <f>(VLOOKUP($A601,Pitchers!$A1:$S251,4,FALSE)-AVERAGE(Rankings!AC2:AC651))/STDEV(Rankings!AC2:AC651)</f>
        <v>-0.99262290658552643</v>
      </c>
      <c r="W601" s="118">
        <f>(VLOOKUP($A601,Pitchers!$A1:$S251,5,FALSE)-AVERAGE(Rankings!AD2:AD651))/STDEV(Rankings!AD2:AD651)*-1</f>
        <v>-0.38502589486840155</v>
      </c>
      <c r="X601" s="118">
        <f>(VLOOKUP($A601,Pitchers!$A1:$S251,6,FALSE)-AVERAGE(Rankings!AE2:AE651))/STDEV(Rankings!AE2:AE651)*-1</f>
        <v>-0.95875471059144213</v>
      </c>
      <c r="Y601" s="118">
        <f>(VLOOKUP($A601,Pitchers!$A1:$S251,7,FALSE)-AVERAGE(Rankings!AF2:AF651))/STDEV(Rankings!AF2:AF651)</f>
        <v>-0.94699685119989818</v>
      </c>
      <c r="Z601" s="118">
        <f>(VLOOKUP($A601,Pitchers!$A1:$S251,8,FALSE)-AVERAGE(Rankings!AG2:AG651))/STDEV(Rankings!AG2:AG651)</f>
        <v>-1.0934163681551925</v>
      </c>
      <c r="AA601" s="118">
        <f>(VLOOKUP($A601,Pitchers!$A1:$S251,9,FALSE)-AVERAGE(Rankings!AH2:AH651))/STDEV(Rankings!AH2:AH651)</f>
        <v>2.1639169314593163</v>
      </c>
      <c r="AB601" s="118">
        <f>(VLOOKUP($A601,Pitchers!$A1:$S251,10,FALSE)-AVERAGE(Rankings!AI2:AI651))/STDEV(Rankings!AI2:AI651)*-1</f>
        <v>0.89243094678756441</v>
      </c>
      <c r="AC601" s="118">
        <f>(VLOOKUP($A601,Pitchers!$A1:$S251,11,FALSE)-AVERAGE(Rankings!AJ2:AJ651))/STDEV(Rankings!AJ2:AJ651)*-1</f>
        <v>0.90913930047896241</v>
      </c>
      <c r="AD601" s="118">
        <f>(VLOOKUP($A601,Pitchers!$A1:$S251,12,FALSE)-AVERAGE(Rankings!AK2:AK651))/STDEV(Rankings!AK2:AK651)*-1</f>
        <v>0.73115371480064284</v>
      </c>
      <c r="AE601" s="118">
        <f>IFERROR((VLOOKUP($A601,Pitchers!$A1:$S251,13,FALSE)-AVERAGE(Rankings!AL2:AL651))/STDEV(Rankings!AL2:AL651)*-1,0)</f>
        <v>0.92893866051262486</v>
      </c>
      <c r="AF601" s="118">
        <f>(VLOOKUP($A601,Pitchers!$A1:$S251,14,FALSE)-AVERAGE(Rankings!AM2:AM651))/STDEV(Rankings!AM2:AM651)</f>
        <v>1.6471270939993889</v>
      </c>
      <c r="AG601" s="118">
        <f>(VLOOKUP($A601,Pitchers!$A1:$S251,15,FALSE)-AVERAGE(Rankings!AN2:AN651))/STDEV(Rankings!AN2:AN651)</f>
        <v>-1.2302545831997735</v>
      </c>
      <c r="AH601" s="118">
        <f>(VLOOKUP($A601,Pitchers!$A1:$S251,16,FALSE)-AVERAGE(Rankings!AO2:AO651))/STDEV(Rankings!AO2:AO651)*-1</f>
        <v>0.89377662742752839</v>
      </c>
      <c r="AI601" s="118">
        <f>IFERROR((VLOOKUP($A601,Pitchers!$A1:$S251,17,FALSE)-AVERAGE(Rankings!AP2:AP651))/STDEV(Rankings!AP2:AP651),0)</f>
        <v>-1.1136479910031813</v>
      </c>
      <c r="AJ601" s="118">
        <f>(VLOOKUP($A601,Pitchers!$A1:$S251,18,FALSE)-AVERAGE(Rankings!AQ2:AQ651))/STDEV(Rankings!AQ2:AQ651)</f>
        <v>1.6205395804974529</v>
      </c>
      <c r="AK601" s="118">
        <f>IFERROR((VLOOKUP($A601,Pitchers!$A1:$S251,19,FALSE)-AVERAGE(Rankings!AR2:AR651))/STDEV(Rankings!AR2:AR651)*-1,0)</f>
        <v>-1.4132046234625275</v>
      </c>
    </row>
    <row r="602" spans="1:37" ht="20.100000000000001" customHeight="1">
      <c r="A602" s="26" t="s">
        <v>439</v>
      </c>
      <c r="B602" s="27" t="s">
        <v>94</v>
      </c>
      <c r="C602" s="128" t="s">
        <v>34</v>
      </c>
      <c r="D602" s="67">
        <f>(V602*Settings!$G$2)+(Y602*Settings!$G$5)+(Z602*Settings!$G$6)+(AA602*Settings!$G$7)+(AB602*Settings!$G$8)+(AC602*Settings!$G$9)+(AD602*Settings!$G$10)+(AE602*Settings!$G$11)+(AF602*Settings!$G$12)+(AG602*Settings!$G$13)+(AH602*Settings!$G$14)+(AI602*Settings!$G$15)+(AJ602*Settings!$G$16)+(AK602*Settings!$G$17)+(W602*Settings!$G$3)+(X602*Settings!$G$4)</f>
        <v>-0.9312199377433894</v>
      </c>
      <c r="E602" s="67"/>
      <c r="F602" s="67"/>
      <c r="G602" s="67"/>
      <c r="H602" s="67"/>
      <c r="I602" s="67"/>
      <c r="J602" s="67"/>
      <c r="K602" s="72"/>
      <c r="L602" s="72"/>
      <c r="M602" s="67"/>
      <c r="N602" s="67"/>
      <c r="O602" s="67"/>
      <c r="P602" s="67"/>
      <c r="Q602" s="67"/>
      <c r="R602" s="72"/>
      <c r="S602" s="72"/>
      <c r="T602" s="67"/>
      <c r="U602" s="67"/>
      <c r="V602" s="118">
        <f>(VLOOKUP($A602,Pitchers!$A1:$S251,4,FALSE)-AVERAGE(Rankings!AC2:AC651))/STDEV(Rankings!AC2:AC651)</f>
        <v>-1.1009052517763291</v>
      </c>
      <c r="W602" s="118">
        <f>(VLOOKUP($A602,Pitchers!$A1:$S251,5,FALSE)-AVERAGE(Rankings!AD2:AD651))/STDEV(Rankings!AD2:AD651)*-1</f>
        <v>0.30204556006143335</v>
      </c>
      <c r="X602" s="118">
        <f>(VLOOKUP($A602,Pitchers!$A1:$S251,6,FALSE)-AVERAGE(Rankings!AE2:AE651))/STDEV(Rankings!AE2:AE651)*-1</f>
        <v>1.0338491017593918</v>
      </c>
      <c r="Y602" s="118">
        <f>(VLOOKUP($A602,Pitchers!$A1:$S251,7,FALSE)-AVERAGE(Rankings!AF2:AF651))/STDEV(Rankings!AF2:AF651)</f>
        <v>-1.0105471954713159</v>
      </c>
      <c r="Z602" s="118">
        <f>(VLOOKUP($A602,Pitchers!$A1:$S251,8,FALSE)-AVERAGE(Rankings!AG2:AG651))/STDEV(Rankings!AG2:AG651)</f>
        <v>-1.109653970315557</v>
      </c>
      <c r="AA602" s="118">
        <f>(VLOOKUP($A602,Pitchers!$A1:$S251,9,FALSE)-AVERAGE(Rankings!AH2:AH651))/STDEV(Rankings!AH2:AH651)</f>
        <v>-0.14691343377734162</v>
      </c>
      <c r="AB602" s="118">
        <f>(VLOOKUP($A602,Pitchers!$A1:$S251,10,FALSE)-AVERAGE(Rankings!AI2:AI651))/STDEV(Rankings!AI2:AI651)*-1</f>
        <v>1.0916160592375845</v>
      </c>
      <c r="AC602" s="118">
        <f>(VLOOKUP($A602,Pitchers!$A1:$S251,11,FALSE)-AVERAGE(Rankings!AJ2:AJ651))/STDEV(Rankings!AJ2:AJ651)*-1</f>
        <v>1.0634650924477382</v>
      </c>
      <c r="AD602" s="118">
        <f>(VLOOKUP($A602,Pitchers!$A1:$S251,12,FALSE)-AVERAGE(Rankings!AK2:AK651))/STDEV(Rankings!AK2:AK651)*-1</f>
        <v>1.4822542880027969</v>
      </c>
      <c r="AE602" s="118">
        <f>IFERROR((VLOOKUP($A602,Pitchers!$A1:$S251,13,FALSE)-AVERAGE(Rankings!AL2:AL651))/STDEV(Rankings!AL2:AL651)*-1,0)</f>
        <v>0.85649785442034065</v>
      </c>
      <c r="AF602" s="118">
        <f>(VLOOKUP($A602,Pitchers!$A1:$S251,14,FALSE)-AVERAGE(Rankings!AM2:AM651))/STDEV(Rankings!AM2:AM651)</f>
        <v>1.2617219101155925</v>
      </c>
      <c r="AG602" s="118">
        <f>(VLOOKUP($A602,Pitchers!$A1:$S251,15,FALSE)-AVERAGE(Rankings!AN2:AN651))/STDEV(Rankings!AN2:AN651)</f>
        <v>-1.1185339682193949</v>
      </c>
      <c r="AH602" s="118">
        <f>(VLOOKUP($A602,Pitchers!$A1:$S251,16,FALSE)-AVERAGE(Rankings!AO2:AO651))/STDEV(Rankings!AO2:AO651)*-1</f>
        <v>1.0823472158432155</v>
      </c>
      <c r="AI602" s="118">
        <f>IFERROR((VLOOKUP($A602,Pitchers!$A1:$S251,17,FALSE)-AVERAGE(Rankings!AP2:AP651))/STDEV(Rankings!AP2:AP651),0)</f>
        <v>-1.1136479910031813</v>
      </c>
      <c r="AJ602" s="118">
        <f>(VLOOKUP($A602,Pitchers!$A1:$S251,18,FALSE)-AVERAGE(Rankings!AQ2:AQ651))/STDEV(Rankings!AQ2:AQ651)</f>
        <v>1.540703201394148</v>
      </c>
      <c r="AK602" s="118">
        <f>IFERROR((VLOOKUP($A602,Pitchers!$A1:$S251,19,FALSE)-AVERAGE(Rankings!AR2:AR651))/STDEV(Rankings!AR2:AR651)*-1,0)</f>
        <v>0.47686441955275594</v>
      </c>
    </row>
    <row r="603" spans="1:37" ht="20.100000000000001" customHeight="1">
      <c r="A603" s="26" t="s">
        <v>495</v>
      </c>
      <c r="B603" s="27" t="s">
        <v>81</v>
      </c>
      <c r="C603" s="128" t="s">
        <v>34</v>
      </c>
      <c r="D603" s="67">
        <f>(V603*Settings!$G$2)+(Y603*Settings!$G$5)+(Z603*Settings!$G$6)+(AA603*Settings!$G$7)+(AB603*Settings!$G$8)+(AC603*Settings!$G$9)+(AD603*Settings!$G$10)+(AE603*Settings!$G$11)+(AF603*Settings!$G$12)+(AG603*Settings!$G$13)+(AH603*Settings!$G$14)+(AI603*Settings!$G$15)+(AJ603*Settings!$G$16)+(AK603*Settings!$G$17)+(W603*Settings!$G$3)+(X603*Settings!$G$4)</f>
        <v>0.17699379578414631</v>
      </c>
      <c r="E603" s="67"/>
      <c r="F603" s="67"/>
      <c r="G603" s="67"/>
      <c r="H603" s="67"/>
      <c r="I603" s="67"/>
      <c r="J603" s="67"/>
      <c r="K603" s="72"/>
      <c r="L603" s="72"/>
      <c r="M603" s="67"/>
      <c r="N603" s="67"/>
      <c r="O603" s="67"/>
      <c r="P603" s="67"/>
      <c r="Q603" s="67"/>
      <c r="R603" s="72"/>
      <c r="S603" s="72"/>
      <c r="T603" s="67"/>
      <c r="U603" s="67"/>
      <c r="V603" s="118">
        <f>(VLOOKUP($A603,Pitchers!$A1:$S251,4,FALSE)-AVERAGE(Rankings!AC2:AC651))/STDEV(Rankings!AC2:AC651)</f>
        <v>-1.1124275745245784</v>
      </c>
      <c r="W603" s="118">
        <f>(VLOOKUP($A603,Pitchers!$A1:$S251,5,FALSE)-AVERAGE(Rankings!AD2:AD651))/STDEV(Rankings!AD2:AD651)*-1</f>
        <v>0.98729660509161454</v>
      </c>
      <c r="X603" s="118">
        <f>(VLOOKUP($A603,Pitchers!$A1:$S251,6,FALSE)-AVERAGE(Rankings!AE2:AE651))/STDEV(Rankings!AE2:AE651)*-1</f>
        <v>0.58260884019066306</v>
      </c>
      <c r="Y603" s="118">
        <f>(VLOOKUP($A603,Pitchers!$A1:$S251,7,FALSE)-AVERAGE(Rankings!AF2:AF651))/STDEV(Rankings!AF2:AF651)</f>
        <v>-0.7316918571649661</v>
      </c>
      <c r="Z603" s="118">
        <f>(VLOOKUP($A603,Pitchers!$A1:$S251,8,FALSE)-AVERAGE(Rankings!AG2:AG651))/STDEV(Rankings!AG2:AG651)</f>
        <v>-0.82654092670762169</v>
      </c>
      <c r="AA603" s="118">
        <f>(VLOOKUP($A603,Pitchers!$A1:$S251,9,FALSE)-AVERAGE(Rankings!AH2:AH651))/STDEV(Rankings!AH2:AH651)</f>
        <v>0.16532113437445659</v>
      </c>
      <c r="AB603" s="118">
        <f>(VLOOKUP($A603,Pitchers!$A1:$S251,10,FALSE)-AVERAGE(Rankings!AI2:AI651))/STDEV(Rankings!AI2:AI651)*-1</f>
        <v>1.1943606003967198</v>
      </c>
      <c r="AC603" s="118">
        <f>(VLOOKUP($A603,Pitchers!$A1:$S251,11,FALSE)-AVERAGE(Rankings!AJ2:AJ651))/STDEV(Rankings!AJ2:AJ651)*-1</f>
        <v>1.2412501040551382</v>
      </c>
      <c r="AD603" s="118">
        <f>(VLOOKUP($A603,Pitchers!$A1:$S251,12,FALSE)-AVERAGE(Rankings!AK2:AK651))/STDEV(Rankings!AK2:AK651)*-1</f>
        <v>0.76030817312435073</v>
      </c>
      <c r="AE603" s="118">
        <f>IFERROR((VLOOKUP($A603,Pitchers!$A1:$S251,13,FALSE)-AVERAGE(Rankings!AL2:AL651))/STDEV(Rankings!AL2:AL651)*-1,0)</f>
        <v>1.0158676278233658</v>
      </c>
      <c r="AF603" s="118">
        <f>(VLOOKUP($A603,Pitchers!$A1:$S251,14,FALSE)-AVERAGE(Rankings!AM2:AM651))/STDEV(Rankings!AM2:AM651)</f>
        <v>1.3382361745631108</v>
      </c>
      <c r="AG603" s="118">
        <f>(VLOOKUP($A603,Pitchers!$A1:$S251,15,FALSE)-AVERAGE(Rankings!AN2:AN651))/STDEV(Rankings!AN2:AN651)</f>
        <v>-1.2302545831997735</v>
      </c>
      <c r="AH603" s="118">
        <f>(VLOOKUP($A603,Pitchers!$A1:$S251,16,FALSE)-AVERAGE(Rankings!AO2:AO651))/STDEV(Rankings!AO2:AO651)*-1</f>
        <v>1.4221192211897737</v>
      </c>
      <c r="AI603" s="118">
        <f>IFERROR((VLOOKUP($A603,Pitchers!$A1:$S251,17,FALSE)-AVERAGE(Rankings!AP2:AP651))/STDEV(Rankings!AP2:AP651),0)</f>
        <v>-1.1136479910031813</v>
      </c>
      <c r="AJ603" s="118">
        <f>(VLOOKUP($A603,Pitchers!$A1:$S251,18,FALSE)-AVERAGE(Rankings!AQ2:AQ651))/STDEV(Rankings!AQ2:AQ651)</f>
        <v>1.7802123387040631</v>
      </c>
      <c r="AK603" s="118">
        <f>IFERROR((VLOOKUP($A603,Pitchers!$A1:$S251,19,FALSE)-AVERAGE(Rankings!AR2:AR651))/STDEV(Rankings!AR2:AR651)*-1,0)</f>
        <v>-0.94068736270870656</v>
      </c>
    </row>
    <row r="604" spans="1:37" ht="20.100000000000001" customHeight="1">
      <c r="A604" s="26" t="s">
        <v>506</v>
      </c>
      <c r="B604" s="27" t="s">
        <v>95</v>
      </c>
      <c r="C604" s="128" t="s">
        <v>34</v>
      </c>
      <c r="D604" s="67">
        <f>(V604*Settings!$G$2)+(Y604*Settings!$G$5)+(Z604*Settings!$G$6)+(AA604*Settings!$G$7)+(AB604*Settings!$G$8)+(AC604*Settings!$G$9)+(AD604*Settings!$G$10)+(AE604*Settings!$G$11)+(AF604*Settings!$G$12)+(AG604*Settings!$G$13)+(AH604*Settings!$G$14)+(AI604*Settings!$G$15)+(AJ604*Settings!$G$16)+(AK604*Settings!$G$17)+(W604*Settings!$G$3)+(X604*Settings!$G$4)</f>
        <v>-0.82110475520741677</v>
      </c>
      <c r="E604" s="67"/>
      <c r="F604" s="67"/>
      <c r="G604" s="67"/>
      <c r="H604" s="67"/>
      <c r="I604" s="67"/>
      <c r="J604" s="67"/>
      <c r="K604" s="72"/>
      <c r="L604" s="72"/>
      <c r="M604" s="67"/>
      <c r="N604" s="67"/>
      <c r="O604" s="67"/>
      <c r="P604" s="67"/>
      <c r="Q604" s="67"/>
      <c r="R604" s="72"/>
      <c r="S604" s="72"/>
      <c r="T604" s="67"/>
      <c r="U604" s="67"/>
      <c r="V604" s="118">
        <f>(VLOOKUP($A604,Pitchers!$A1:$S251,4,FALSE)-AVERAGE(Rankings!AC2:AC651))/STDEV(Rankings!AC2:AC651)</f>
        <v>-1.0233872792513288</v>
      </c>
      <c r="W604" s="118">
        <f>(VLOOKUP($A604,Pitchers!$A1:$S251,5,FALSE)-AVERAGE(Rankings!AD2:AD651))/STDEV(Rankings!AD2:AD651)*-1</f>
        <v>0.67781080557285056</v>
      </c>
      <c r="X604" s="118">
        <f>(VLOOKUP($A604,Pitchers!$A1:$S251,6,FALSE)-AVERAGE(Rankings!AE2:AE651))/STDEV(Rankings!AE2:AE651)*-1</f>
        <v>-0.16038561151282174</v>
      </c>
      <c r="Y604" s="118">
        <f>(VLOOKUP($A604,Pitchers!$A1:$S251,7,FALSE)-AVERAGE(Rankings!AF2:AF651))/STDEV(Rankings!AF2:AF651)</f>
        <v>-0.83705287542264561</v>
      </c>
      <c r="Z604" s="118">
        <f>(VLOOKUP($A604,Pitchers!$A1:$S251,8,FALSE)-AVERAGE(Rankings!AG2:AG651))/STDEV(Rankings!AG2:AG651)</f>
        <v>-0.80966025119437179</v>
      </c>
      <c r="AA604" s="118">
        <f>(VLOOKUP($A604,Pitchers!$A1:$S251,9,FALSE)-AVERAGE(Rankings!AH2:AH651))/STDEV(Rankings!AH2:AH651)</f>
        <v>0.30818317734957179</v>
      </c>
      <c r="AB604" s="118">
        <f>(VLOOKUP($A604,Pitchers!$A1:$S251,10,FALSE)-AVERAGE(Rankings!AI2:AI651))/STDEV(Rankings!AI2:AI651)*-1</f>
        <v>1.0760340692003383</v>
      </c>
      <c r="AC604" s="118">
        <f>(VLOOKUP($A604,Pitchers!$A1:$S251,11,FALSE)-AVERAGE(Rankings!AJ2:AJ651))/STDEV(Rankings!AJ2:AJ651)*-1</f>
        <v>1.0584381168108901</v>
      </c>
      <c r="AD604" s="118">
        <f>(VLOOKUP($A604,Pitchers!$A1:$S251,12,FALSE)-AVERAGE(Rankings!AK2:AK651))/STDEV(Rankings!AK2:AK651)*-1</f>
        <v>0.70349234194364763</v>
      </c>
      <c r="AE604" s="118">
        <f>IFERROR((VLOOKUP($A604,Pitchers!$A1:$S251,13,FALSE)-AVERAGE(Rankings!AL2:AL651))/STDEV(Rankings!AL2:AL651)*-1,0)</f>
        <v>1.1607492400079344</v>
      </c>
      <c r="AF604" s="118">
        <f>(VLOOKUP($A604,Pitchers!$A1:$S251,14,FALSE)-AVERAGE(Rankings!AM2:AM651))/STDEV(Rankings!AM2:AM651)</f>
        <v>1.6714983041567468</v>
      </c>
      <c r="AG604" s="118">
        <f>(VLOOKUP($A604,Pitchers!$A1:$S251,15,FALSE)-AVERAGE(Rankings!AN2:AN651))/STDEV(Rankings!AN2:AN651)</f>
        <v>-1.2302545831997735</v>
      </c>
      <c r="AH604" s="118">
        <f>(VLOOKUP($A604,Pitchers!$A1:$S251,16,FALSE)-AVERAGE(Rankings!AO2:AO651))/STDEV(Rankings!AO2:AO651)*-1</f>
        <v>1.0700824621251219</v>
      </c>
      <c r="AI604" s="118">
        <f>IFERROR((VLOOKUP($A604,Pitchers!$A1:$S251,17,FALSE)-AVERAGE(Rankings!AP2:AP651))/STDEV(Rankings!AP2:AP651),0)</f>
        <v>-1.1136479910031813</v>
      </c>
      <c r="AJ604" s="118">
        <f>(VLOOKUP($A604,Pitchers!$A1:$S251,18,FALSE)-AVERAGE(Rankings!AQ2:AQ651))/STDEV(Rankings!AQ2:AQ651)</f>
        <v>2.2592306133238935</v>
      </c>
      <c r="AK604" s="118">
        <f>IFERROR((VLOOKUP($A604,Pitchers!$A1:$S251,19,FALSE)-AVERAGE(Rankings!AR2:AR651))/STDEV(Rankings!AR2:AR651)*-1,0)</f>
        <v>4.3471587989350928E-3</v>
      </c>
    </row>
    <row r="605" spans="1:37" ht="20.100000000000001" customHeight="1">
      <c r="A605" s="26" t="s">
        <v>493</v>
      </c>
      <c r="B605" s="27" t="s">
        <v>156</v>
      </c>
      <c r="C605" s="128" t="s">
        <v>34</v>
      </c>
      <c r="D605" s="67">
        <f>(V605*Settings!$G$2)+(Y605*Settings!$G$5)+(Z605*Settings!$G$6)+(AA605*Settings!$G$7)+(AB605*Settings!$G$8)+(AC605*Settings!$G$9)+(AD605*Settings!$G$10)+(AE605*Settings!$G$11)+(AF605*Settings!$G$12)+(AG605*Settings!$G$13)+(AH605*Settings!$G$14)+(AI605*Settings!$G$15)+(AJ605*Settings!$G$16)+(AK605*Settings!$G$17)+(W605*Settings!$G$3)+(X605*Settings!$G$4)</f>
        <v>-1.5416792777339829</v>
      </c>
      <c r="E605" s="67"/>
      <c r="F605" s="67"/>
      <c r="G605" s="67"/>
      <c r="H605" s="67"/>
      <c r="I605" s="67"/>
      <c r="J605" s="67"/>
      <c r="K605" s="72"/>
      <c r="L605" s="72"/>
      <c r="M605" s="67"/>
      <c r="N605" s="67"/>
      <c r="O605" s="67"/>
      <c r="P605" s="67"/>
      <c r="Q605" s="67"/>
      <c r="R605" s="72"/>
      <c r="S605" s="72"/>
      <c r="T605" s="67"/>
      <c r="U605" s="67"/>
      <c r="V605" s="118">
        <f>(VLOOKUP($A605,Pitchers!$A1:$S251,4,FALSE)-AVERAGE(Rankings!AC2:AC651))/STDEV(Rankings!AC2:AC651)</f>
        <v>-1.1263666071136631</v>
      </c>
      <c r="W605" s="118">
        <f>(VLOOKUP($A605,Pitchers!$A1:$S251,5,FALSE)-AVERAGE(Rankings!AD2:AD651))/STDEV(Rankings!AD2:AD651)*-1</f>
        <v>0.34135791564367673</v>
      </c>
      <c r="X605" s="118">
        <f>(VLOOKUP($A605,Pitchers!$A1:$S251,6,FALSE)-AVERAGE(Rankings!AE2:AE651))/STDEV(Rankings!AE2:AE651)*-1</f>
        <v>0.41645262523241144</v>
      </c>
      <c r="Y605" s="118">
        <f>(VLOOKUP($A605,Pitchers!$A1:$S251,7,FALSE)-AVERAGE(Rankings!AF2:AF651))/STDEV(Rankings!AF2:AF651)</f>
        <v>-0.91726638318830689</v>
      </c>
      <c r="Z605" s="118">
        <f>(VLOOKUP($A605,Pitchers!$A1:$S251,8,FALSE)-AVERAGE(Rankings!AG2:AG651))/STDEV(Rankings!AG2:AG651)</f>
        <v>-0.95547713396120715</v>
      </c>
      <c r="AA605" s="118">
        <f>(VLOOKUP($A605,Pitchers!$A1:$S251,9,FALSE)-AVERAGE(Rankings!AH2:AH651))/STDEV(Rankings!AH2:AH651)</f>
        <v>-0.42674630146055703</v>
      </c>
      <c r="AB605" s="118">
        <f>(VLOOKUP($A605,Pitchers!$A1:$S251,10,FALSE)-AVERAGE(Rankings!AI2:AI651))/STDEV(Rankings!AI2:AI651)*-1</f>
        <v>1.1198059890113305</v>
      </c>
      <c r="AC605" s="118">
        <f>(VLOOKUP($A605,Pitchers!$A1:$S251,11,FALSE)-AVERAGE(Rankings!AJ2:AJ651))/STDEV(Rankings!AJ2:AJ651)*-1</f>
        <v>1.0975682839747118</v>
      </c>
      <c r="AD605" s="118">
        <f>(VLOOKUP($A605,Pitchers!$A1:$S251,12,FALSE)-AVERAGE(Rankings!AK2:AK651))/STDEV(Rankings!AK2:AK651)*-1</f>
        <v>1.2311015958125808</v>
      </c>
      <c r="AE605" s="118">
        <f>IFERROR((VLOOKUP($A605,Pitchers!$A1:$S251,13,FALSE)-AVERAGE(Rankings!AL2:AL651))/STDEV(Rankings!AL2:AL651)*-1,0)</f>
        <v>1.0158676278233658</v>
      </c>
      <c r="AF605" s="118">
        <f>(VLOOKUP($A605,Pitchers!$A1:$S251,14,FALSE)-AVERAGE(Rankings!AM2:AM651))/STDEV(Rankings!AM2:AM651)</f>
        <v>1.307063696454863</v>
      </c>
      <c r="AG605" s="118">
        <f>(VLOOKUP($A605,Pitchers!$A1:$S251,15,FALSE)-AVERAGE(Rankings!AN2:AN651))/STDEV(Rankings!AN2:AN651)</f>
        <v>-1.2302545831997735</v>
      </c>
      <c r="AH605" s="118">
        <f>(VLOOKUP($A605,Pitchers!$A1:$S251,16,FALSE)-AVERAGE(Rankings!AO2:AO651))/STDEV(Rankings!AO2:AO651)*-1</f>
        <v>1.0823472158432155</v>
      </c>
      <c r="AI605" s="118">
        <f>IFERROR((VLOOKUP($A605,Pitchers!$A1:$S251,17,FALSE)-AVERAGE(Rankings!AP2:AP651))/STDEV(Rankings!AP2:AP651),0)</f>
        <v>-1.1136479910031813</v>
      </c>
      <c r="AJ605" s="118">
        <f>(VLOOKUP($A605,Pitchers!$A1:$S251,18,FALSE)-AVERAGE(Rankings!AQ2:AQ651))/STDEV(Rankings!AQ2:AQ651)</f>
        <v>1.8600487178073681</v>
      </c>
      <c r="AK605" s="118">
        <f>IFERROR((VLOOKUP($A605,Pitchers!$A1:$S251,19,FALSE)-AVERAGE(Rankings!AR2:AR651))/STDEV(Rankings!AR2:AR651)*-1,0)</f>
        <v>-1.4132046234625275</v>
      </c>
    </row>
    <row r="606" spans="1:37" ht="20.100000000000001" customHeight="1">
      <c r="A606" s="26" t="s">
        <v>480</v>
      </c>
      <c r="B606" s="27" t="s">
        <v>71</v>
      </c>
      <c r="C606" s="128" t="s">
        <v>34</v>
      </c>
      <c r="D606" s="67">
        <f>(V606*Settings!$G$2)+(Y606*Settings!$G$5)+(Z606*Settings!$G$6)+(AA606*Settings!$G$7)+(AB606*Settings!$G$8)+(AC606*Settings!$G$9)+(AD606*Settings!$G$10)+(AE606*Settings!$G$11)+(AF606*Settings!$G$12)+(AG606*Settings!$G$13)+(AH606*Settings!$G$14)+(AI606*Settings!$G$15)+(AJ606*Settings!$G$16)+(AK606*Settings!$G$17)+(W606*Settings!$G$3)+(X606*Settings!$G$4)</f>
        <v>-0.9077952746334248</v>
      </c>
      <c r="E606" s="67"/>
      <c r="F606" s="67"/>
      <c r="G606" s="67"/>
      <c r="H606" s="67"/>
      <c r="I606" s="67"/>
      <c r="J606" s="67"/>
      <c r="K606" s="72"/>
      <c r="L606" s="72"/>
      <c r="M606" s="67"/>
      <c r="N606" s="67"/>
      <c r="O606" s="67"/>
      <c r="P606" s="67"/>
      <c r="Q606" s="67"/>
      <c r="R606" s="72"/>
      <c r="S606" s="72"/>
      <c r="T606" s="67"/>
      <c r="U606" s="67"/>
      <c r="V606" s="118">
        <f>(VLOOKUP($A606,Pitchers!$A1:$S251,4,FALSE)-AVERAGE(Rankings!AC2:AC651))/STDEV(Rankings!AC2:AC651)</f>
        <v>-1.140351454107313</v>
      </c>
      <c r="W606" s="118">
        <f>(VLOOKUP($A606,Pitchers!$A1:$S251,5,FALSE)-AVERAGE(Rankings!AD2:AD651))/STDEV(Rankings!AD2:AD651)*-1</f>
        <v>0.53671296205055807</v>
      </c>
      <c r="X606" s="118">
        <f>(VLOOKUP($A606,Pitchers!$A1:$S251,6,FALSE)-AVERAGE(Rankings!AE2:AE651))/STDEV(Rankings!AE2:AE651)*-1</f>
        <v>0.37126517104295614</v>
      </c>
      <c r="Y606" s="118">
        <f>(VLOOKUP($A606,Pitchers!$A1:$S251,7,FALSE)-AVERAGE(Rankings!AF2:AF651))/STDEV(Rankings!AF2:AF651)</f>
        <v>-1.1103381576667444</v>
      </c>
      <c r="Z606" s="118">
        <f>(VLOOKUP($A606,Pitchers!$A1:$S251,8,FALSE)-AVERAGE(Rankings!AG2:AG651))/STDEV(Rankings!AG2:AG651)</f>
        <v>-0.83393627026580741</v>
      </c>
      <c r="AA606" s="118">
        <f>(VLOOKUP($A606,Pitchers!$A1:$S251,9,FALSE)-AVERAGE(Rankings!AH2:AH651))/STDEV(Rankings!AH2:AH651)</f>
        <v>0.12850102020561247</v>
      </c>
      <c r="AB606" s="118">
        <f>(VLOOKUP($A606,Pitchers!$A1:$S251,10,FALSE)-AVERAGE(Rankings!AI2:AI651))/STDEV(Rankings!AI2:AI651)*-1</f>
        <v>1.1580873544209438</v>
      </c>
      <c r="AC606" s="118">
        <f>(VLOOKUP($A606,Pitchers!$A1:$S251,11,FALSE)-AVERAGE(Rankings!AJ2:AJ651))/STDEV(Rankings!AJ2:AJ651)*-1</f>
        <v>1.1522749953653866</v>
      </c>
      <c r="AD606" s="118">
        <f>(VLOOKUP($A606,Pitchers!$A1:$S251,12,FALSE)-AVERAGE(Rankings!AK2:AK651))/STDEV(Rankings!AK2:AK651)*-1</f>
        <v>1.0887083923555496</v>
      </c>
      <c r="AE606" s="118">
        <f>IFERROR((VLOOKUP($A606,Pitchers!$A1:$S251,13,FALSE)-AVERAGE(Rankings!AL2:AL651))/STDEV(Rankings!AL2:AL651)*-1,0)</f>
        <v>1.1607492400079344</v>
      </c>
      <c r="AF606" s="118">
        <f>(VLOOKUP($A606,Pitchers!$A1:$S251,14,FALSE)-AVERAGE(Rankings!AM2:AM651))/STDEV(Rankings!AM2:AM651)</f>
        <v>1.3080555480310343</v>
      </c>
      <c r="AG606" s="118">
        <f>(VLOOKUP($A606,Pitchers!$A1:$S251,15,FALSE)-AVERAGE(Rankings!AN2:AN651))/STDEV(Rankings!AN2:AN651)</f>
        <v>-1.2302545831997735</v>
      </c>
      <c r="AH606" s="118">
        <f>(VLOOKUP($A606,Pitchers!$A1:$S251,16,FALSE)-AVERAGE(Rankings!AO2:AO651))/STDEV(Rankings!AO2:AO651)*-1</f>
        <v>1.0811973951821443</v>
      </c>
      <c r="AI606" s="118">
        <f>IFERROR((VLOOKUP($A606,Pitchers!$A1:$S251,17,FALSE)-AVERAGE(Rankings!AP2:AP651))/STDEV(Rankings!AP2:AP651),0)</f>
        <v>-1.1136479910031813</v>
      </c>
      <c r="AJ606" s="118">
        <f>(VLOOKUP($A606,Pitchers!$A1:$S251,18,FALSE)-AVERAGE(Rankings!AQ2:AQ651))/STDEV(Rankings!AQ2:AQ651)</f>
        <v>1.6205395804974529</v>
      </c>
      <c r="AK606" s="118">
        <f>IFERROR((VLOOKUP($A606,Pitchers!$A1:$S251,19,FALSE)-AVERAGE(Rankings!AR2:AR651))/STDEV(Rankings!AR2:AR651)*-1,0)</f>
        <v>-0.94068736270870656</v>
      </c>
    </row>
    <row r="607" spans="1:37" ht="20.100000000000001" customHeight="1">
      <c r="A607" s="26" t="s">
        <v>529</v>
      </c>
      <c r="B607" s="27" t="s">
        <v>95</v>
      </c>
      <c r="C607" s="128" t="s">
        <v>34</v>
      </c>
      <c r="D607" s="67">
        <f>(V607*Settings!$G$2)+(Y607*Settings!$G$5)+(Z607*Settings!$G$6)+(AA607*Settings!$G$7)+(AB607*Settings!$G$8)+(AC607*Settings!$G$9)+(AD607*Settings!$G$10)+(AE607*Settings!$G$11)+(AF607*Settings!$G$12)+(AG607*Settings!$G$13)+(AH607*Settings!$G$14)+(AI607*Settings!$G$15)+(AJ607*Settings!$G$16)+(AK607*Settings!$G$17)+(W607*Settings!$G$3)+(X607*Settings!$G$4)</f>
        <v>-0.12305329182167457</v>
      </c>
      <c r="E607" s="67"/>
      <c r="F607" s="67"/>
      <c r="G607" s="67"/>
      <c r="H607" s="67"/>
      <c r="I607" s="67"/>
      <c r="J607" s="67"/>
      <c r="K607" s="72"/>
      <c r="L607" s="72"/>
      <c r="M607" s="67"/>
      <c r="N607" s="67"/>
      <c r="O607" s="67"/>
      <c r="P607" s="67"/>
      <c r="Q607" s="67"/>
      <c r="R607" s="72"/>
      <c r="S607" s="72"/>
      <c r="T607" s="67"/>
      <c r="U607" s="67"/>
      <c r="V607" s="118">
        <f>(VLOOKUP($A607,Pitchers!$A1:$S251,4,FALSE)-AVERAGE(Rankings!AC2:AC651))/STDEV(Rankings!AC2:AC651)</f>
        <v>-1.095636595251285</v>
      </c>
      <c r="W607" s="118">
        <f>(VLOOKUP($A607,Pitchers!$A1:$S251,5,FALSE)-AVERAGE(Rankings!AD2:AD651))/STDEV(Rankings!AD2:AD651)*-1</f>
        <v>0.43263651025050071</v>
      </c>
      <c r="X607" s="118">
        <f>(VLOOKUP($A607,Pitchers!$A1:$S251,6,FALSE)-AVERAGE(Rankings!AE2:AE651))/STDEV(Rankings!AE2:AE651)*-1</f>
        <v>-0.38332407707036525</v>
      </c>
      <c r="Y607" s="118">
        <f>(VLOOKUP($A607,Pitchers!$A1:$S251,7,FALSE)-AVERAGE(Rankings!AF2:AF651))/STDEV(Rankings!AF2:AF651)</f>
        <v>-0.85512617969214255</v>
      </c>
      <c r="Z607" s="118">
        <f>(VLOOKUP($A607,Pitchers!$A1:$S251,8,FALSE)-AVERAGE(Rankings!AG2:AG651))/STDEV(Rankings!AG2:AG651)</f>
        <v>-1.0348966930425929</v>
      </c>
      <c r="AA607" s="118">
        <f>(VLOOKUP($A607,Pitchers!$A1:$S251,9,FALSE)-AVERAGE(Rankings!AH2:AH651))/STDEV(Rankings!AH2:AH651)</f>
        <v>1.7176571477329254</v>
      </c>
      <c r="AB607" s="118">
        <f>(VLOOKUP($A607,Pitchers!$A1:$S251,10,FALSE)-AVERAGE(Rankings!AI2:AI651))/STDEV(Rankings!AI2:AI651)*-1</f>
        <v>1.1047069644075387</v>
      </c>
      <c r="AC607" s="118">
        <f>(VLOOKUP($A607,Pitchers!$A1:$S251,11,FALSE)-AVERAGE(Rankings!AJ2:AJ651))/STDEV(Rankings!AJ2:AJ651)*-1</f>
        <v>1.1625885557095303</v>
      </c>
      <c r="AD607" s="118">
        <f>(VLOOKUP($A607,Pitchers!$A1:$S251,12,FALSE)-AVERAGE(Rankings!AK2:AK651))/STDEV(Rankings!AK2:AK651)*-1</f>
        <v>0.5760299931537447</v>
      </c>
      <c r="AE607" s="118">
        <f>IFERROR((VLOOKUP($A607,Pitchers!$A1:$S251,13,FALSE)-AVERAGE(Rankings!AL2:AL651))/STDEV(Rankings!AL2:AL651)*-1,0)</f>
        <v>1.0206970148961849</v>
      </c>
      <c r="AF607" s="118">
        <f>(VLOOKUP($A607,Pitchers!$A1:$S251,14,FALSE)-AVERAGE(Rankings!AM2:AM651))/STDEV(Rankings!AM2:AM651)</f>
        <v>1.3120229543357207</v>
      </c>
      <c r="AG607" s="118">
        <f>(VLOOKUP($A607,Pitchers!$A1:$S251,15,FALSE)-AVERAGE(Rankings!AN2:AN651))/STDEV(Rankings!AN2:AN651)</f>
        <v>-1.2302545831997735</v>
      </c>
      <c r="AH607" s="118">
        <f>(VLOOKUP($A607,Pitchers!$A1:$S251,16,FALSE)-AVERAGE(Rankings!AO2:AO651))/STDEV(Rankings!AO2:AO651)*-1</f>
        <v>1.0777479331989304</v>
      </c>
      <c r="AI607" s="118">
        <f>IFERROR((VLOOKUP($A607,Pitchers!$A1:$S251,17,FALSE)-AVERAGE(Rankings!AP2:AP651))/STDEV(Rankings!AP2:AP651),0)</f>
        <v>-1.1136479910031813</v>
      </c>
      <c r="AJ607" s="118">
        <f>(VLOOKUP($A607,Pitchers!$A1:$S251,18,FALSE)-AVERAGE(Rankings!AQ2:AQ651))/STDEV(Rankings!AQ2:AQ651)</f>
        <v>1.0616849267743176</v>
      </c>
      <c r="AK607" s="118">
        <f>IFERROR((VLOOKUP($A607,Pitchers!$A1:$S251,19,FALSE)-AVERAGE(Rankings!AR2:AR651))/STDEV(Rankings!AR2:AR651)*-1,0)</f>
        <v>4.3471587989350928E-3</v>
      </c>
    </row>
    <row r="608" spans="1:37" ht="20.100000000000001" customHeight="1">
      <c r="A608" s="26" t="s">
        <v>527</v>
      </c>
      <c r="B608" s="27" t="s">
        <v>91</v>
      </c>
      <c r="C608" s="128" t="s">
        <v>34</v>
      </c>
      <c r="D608" s="67">
        <f>(V608*Settings!$G$2)+(Y608*Settings!$G$5)+(Z608*Settings!$G$6)+(AA608*Settings!$G$7)+(AB608*Settings!$G$8)+(AC608*Settings!$G$9)+(AD608*Settings!$G$10)+(AE608*Settings!$G$11)+(AF608*Settings!$G$12)+(AG608*Settings!$G$13)+(AH608*Settings!$G$14)+(AI608*Settings!$G$15)+(AJ608*Settings!$G$16)+(AK608*Settings!$G$17)+(W608*Settings!$G$3)+(X608*Settings!$G$4)</f>
        <v>-0.62481004305378662</v>
      </c>
      <c r="E608" s="67"/>
      <c r="F608" s="67"/>
      <c r="G608" s="67"/>
      <c r="H608" s="67"/>
      <c r="I608" s="67"/>
      <c r="J608" s="67"/>
      <c r="K608" s="72"/>
      <c r="L608" s="72"/>
      <c r="M608" s="67"/>
      <c r="N608" s="67"/>
      <c r="O608" s="67"/>
      <c r="P608" s="67"/>
      <c r="Q608" s="67"/>
      <c r="R608" s="72"/>
      <c r="S608" s="72"/>
      <c r="T608" s="67"/>
      <c r="U608" s="67"/>
      <c r="V608" s="118">
        <f>(VLOOKUP($A608,Pitchers!$A1:$S251,4,FALSE)-AVERAGE(Rankings!AC2:AC651))/STDEV(Rankings!AC2:AC651)</f>
        <v>-1.0742870827237139</v>
      </c>
      <c r="W608" s="118">
        <f>(VLOOKUP($A608,Pitchers!$A1:$S251,5,FALSE)-AVERAGE(Rankings!AD2:AD651))/STDEV(Rankings!AD2:AD651)*-1</f>
        <v>0.30495957617317065</v>
      </c>
      <c r="X608" s="118">
        <f>(VLOOKUP($A608,Pitchers!$A1:$S251,6,FALSE)-AVERAGE(Rankings!AE2:AE651))/STDEV(Rankings!AE2:AE651)*-1</f>
        <v>-0.27093098696245627</v>
      </c>
      <c r="Y608" s="118">
        <f>(VLOOKUP($A608,Pitchers!$A1:$S251,7,FALSE)-AVERAGE(Rankings!AF2:AF651))/STDEV(Rankings!AF2:AF651)</f>
        <v>-0.91837099346225548</v>
      </c>
      <c r="Z608" s="118">
        <f>(VLOOKUP($A608,Pitchers!$A1:$S251,8,FALSE)-AVERAGE(Rankings!AG2:AG651))/STDEV(Rankings!AG2:AG651)</f>
        <v>-0.8130363862970218</v>
      </c>
      <c r="AA608" s="118">
        <f>(VLOOKUP($A608,Pitchers!$A1:$S251,9,FALSE)-AVERAGE(Rankings!AH2:AH651))/STDEV(Rankings!AH2:AH651)</f>
        <v>1.0725687474947763</v>
      </c>
      <c r="AB608" s="118">
        <f>(VLOOKUP($A608,Pitchers!$A1:$S251,10,FALSE)-AVERAGE(Rankings!AI2:AI651))/STDEV(Rankings!AI2:AI651)*-1</f>
        <v>1.0680270106983276</v>
      </c>
      <c r="AC608" s="118">
        <f>(VLOOKUP($A608,Pitchers!$A1:$S251,11,FALSE)-AVERAGE(Rankings!AJ2:AJ651))/STDEV(Rankings!AJ2:AJ651)*-1</f>
        <v>1.1094158979169548</v>
      </c>
      <c r="AD608" s="118">
        <f>(VLOOKUP($A608,Pitchers!$A1:$S251,12,FALSE)-AVERAGE(Rankings!AK2:AK651))/STDEV(Rankings!AK2:AK651)*-1</f>
        <v>0.70577126186652539</v>
      </c>
      <c r="AE608" s="118">
        <f>IFERROR((VLOOKUP($A608,Pitchers!$A1:$S251,13,FALSE)-AVERAGE(Rankings!AL2:AL651))/STDEV(Rankings!AL2:AL651)*-1,0)</f>
        <v>1.1317729175710207</v>
      </c>
      <c r="AF608" s="118">
        <f>(VLOOKUP($A608,Pitchers!$A1:$S251,14,FALSE)-AVERAGE(Rankings!AM2:AM651))/STDEV(Rankings!AM2:AM651)</f>
        <v>1.5118102003931297</v>
      </c>
      <c r="AG608" s="118">
        <f>(VLOOKUP($A608,Pitchers!$A1:$S251,15,FALSE)-AVERAGE(Rankings!AN2:AN651))/STDEV(Rankings!AN2:AN651)</f>
        <v>-1.2302545831997735</v>
      </c>
      <c r="AH608" s="118">
        <f>(VLOOKUP($A608,Pitchers!$A1:$S251,16,FALSE)-AVERAGE(Rankings!AO2:AO651))/STDEV(Rankings!AO2:AO651)*-1</f>
        <v>0.92482178527645242</v>
      </c>
      <c r="AI608" s="118">
        <f>IFERROR((VLOOKUP($A608,Pitchers!$A1:$S251,17,FALSE)-AVERAGE(Rankings!AP2:AP651))/STDEV(Rankings!AP2:AP651),0)</f>
        <v>-1.1136479910031813</v>
      </c>
      <c r="AJ608" s="118">
        <f>(VLOOKUP($A608,Pitchers!$A1:$S251,18,FALSE)-AVERAGE(Rankings!AQ2:AQ651))/STDEV(Rankings!AQ2:AQ651)</f>
        <v>1.1415213058776228</v>
      </c>
      <c r="AK608" s="118">
        <f>IFERROR((VLOOKUP($A608,Pitchers!$A1:$S251,19,FALSE)-AVERAGE(Rankings!AR2:AR651))/STDEV(Rankings!AR2:AR651)*-1,0)</f>
        <v>-0.46817010195488579</v>
      </c>
    </row>
    <row r="609" spans="1:37" ht="20.100000000000001" customHeight="1">
      <c r="A609" s="26" t="s">
        <v>526</v>
      </c>
      <c r="B609" s="27" t="s">
        <v>78</v>
      </c>
      <c r="C609" s="128" t="s">
        <v>34</v>
      </c>
      <c r="D609" s="67">
        <f>(V609*Settings!$G$2)+(Y609*Settings!$G$5)+(Z609*Settings!$G$6)+(AA609*Settings!$G$7)+(AB609*Settings!$G$8)+(AC609*Settings!$G$9)+(AD609*Settings!$G$10)+(AE609*Settings!$G$11)+(AF609*Settings!$G$12)+(AG609*Settings!$G$13)+(AH609*Settings!$G$14)+(AI609*Settings!$G$15)+(AJ609*Settings!$G$16)+(AK609*Settings!$G$17)+(W609*Settings!$G$3)+(X609*Settings!$G$4)</f>
        <v>-1.8949767037603324</v>
      </c>
      <c r="E609" s="67"/>
      <c r="F609" s="67"/>
      <c r="G609" s="67"/>
      <c r="H609" s="67"/>
      <c r="I609" s="67"/>
      <c r="J609" s="67"/>
      <c r="K609" s="72"/>
      <c r="L609" s="72"/>
      <c r="M609" s="67"/>
      <c r="N609" s="67"/>
      <c r="O609" s="67"/>
      <c r="P609" s="67"/>
      <c r="Q609" s="67"/>
      <c r="R609" s="72"/>
      <c r="S609" s="72"/>
      <c r="T609" s="67"/>
      <c r="U609" s="67"/>
      <c r="V609" s="118">
        <f>(VLOOKUP($A609,Pitchers!$A1:$S251,4,FALSE)-AVERAGE(Rankings!AC2:AC651))/STDEV(Rankings!AC2:AC651)</f>
        <v>-1.080380398530939</v>
      </c>
      <c r="W609" s="118">
        <f>(VLOOKUP($A609,Pitchers!$A1:$S251,5,FALSE)-AVERAGE(Rankings!AD2:AD651))/STDEV(Rankings!AD2:AD651)*-1</f>
        <v>3.0313671203583831E-2</v>
      </c>
      <c r="X609" s="118">
        <f>(VLOOKUP($A609,Pitchers!$A1:$S251,6,FALSE)-AVERAGE(Rankings!AE2:AE651))/STDEV(Rankings!AE2:AE651)*-1</f>
        <v>-0.13569742366556245</v>
      </c>
      <c r="Y609" s="118">
        <f>(VLOOKUP($A609,Pitchers!$A1:$S251,7,FALSE)-AVERAGE(Rankings!AF2:AF651))/STDEV(Rankings!AF2:AF651)</f>
        <v>-1.094121538751331</v>
      </c>
      <c r="Z609" s="118">
        <f>(VLOOKUP($A609,Pitchers!$A1:$S251,8,FALSE)-AVERAGE(Rankings!AG2:AG651))/STDEV(Rankings!AG2:AG651)</f>
        <v>-0.96094325746073572</v>
      </c>
      <c r="AA609" s="118">
        <f>(VLOOKUP($A609,Pitchers!$A1:$S251,9,FALSE)-AVERAGE(Rankings!AH2:AH651))/STDEV(Rankings!AH2:AH651)</f>
        <v>0.26547184491371273</v>
      </c>
      <c r="AB609" s="118">
        <f>(VLOOKUP($A609,Pitchers!$A1:$S251,10,FALSE)-AVERAGE(Rankings!AI2:AI651))/STDEV(Rankings!AI2:AI651)*-1</f>
        <v>1.0355412304901694</v>
      </c>
      <c r="AC609" s="118">
        <f>(VLOOKUP($A609,Pitchers!$A1:$S251,11,FALSE)-AVERAGE(Rankings!AJ2:AJ651))/STDEV(Rankings!AJ2:AJ651)*-1</f>
        <v>1.0063982985984492</v>
      </c>
      <c r="AD609" s="118">
        <f>(VLOOKUP($A609,Pitchers!$A1:$S251,12,FALSE)-AVERAGE(Rankings!AK2:AK651))/STDEV(Rankings!AK2:AK651)*-1</f>
        <v>1.1285501992830966</v>
      </c>
      <c r="AE609" s="118">
        <f>IFERROR((VLOOKUP($A609,Pitchers!$A1:$S251,13,FALSE)-AVERAGE(Rankings!AL2:AL651))/STDEV(Rankings!AL2:AL651)*-1,0)</f>
        <v>1.2090431107361237</v>
      </c>
      <c r="AF609" s="118">
        <f>(VLOOKUP($A609,Pitchers!$A1:$S251,14,FALSE)-AVERAGE(Rankings!AM2:AM651))/STDEV(Rankings!AM2:AM651)</f>
        <v>1.3013959731624538</v>
      </c>
      <c r="AG609" s="118">
        <f>(VLOOKUP($A609,Pitchers!$A1:$S251,15,FALSE)-AVERAGE(Rankings!AN2:AN651))/STDEV(Rankings!AN2:AN651)</f>
        <v>-1.2302545831997735</v>
      </c>
      <c r="AH609" s="118">
        <f>(VLOOKUP($A609,Pitchers!$A1:$S251,16,FALSE)-AVERAGE(Rankings!AO2:AO651))/STDEV(Rankings!AO2:AO651)*-1</f>
        <v>1.0746817447694073</v>
      </c>
      <c r="AI609" s="118">
        <f>IFERROR((VLOOKUP($A609,Pitchers!$A1:$S251,17,FALSE)-AVERAGE(Rankings!AP2:AP651))/STDEV(Rankings!AP2:AP651),0)</f>
        <v>-1.1136479910031813</v>
      </c>
      <c r="AJ609" s="118">
        <f>(VLOOKUP($A609,Pitchers!$A1:$S251,18,FALSE)-AVERAGE(Rankings!AQ2:AQ651))/STDEV(Rankings!AQ2:AQ651)</f>
        <v>1.8600487178073681</v>
      </c>
      <c r="AK609" s="118">
        <f>IFERROR((VLOOKUP($A609,Pitchers!$A1:$S251,19,FALSE)-AVERAGE(Rankings!AR2:AR651))/STDEV(Rankings!AR2:AR651)*-1,0)</f>
        <v>-0.94068736270870656</v>
      </c>
    </row>
    <row r="610" spans="1:37" ht="20.100000000000001" customHeight="1">
      <c r="A610" s="26" t="s">
        <v>522</v>
      </c>
      <c r="B610" s="27" t="s">
        <v>103</v>
      </c>
      <c r="C610" s="128" t="s">
        <v>34</v>
      </c>
      <c r="D610" s="67">
        <f>(V610*Settings!$G$2)+(Y610*Settings!$G$5)+(Z610*Settings!$G$6)+(AA610*Settings!$G$7)+(AB610*Settings!$G$8)+(AC610*Settings!$G$9)+(AD610*Settings!$G$10)+(AE610*Settings!$G$11)+(AF610*Settings!$G$12)+(AG610*Settings!$G$13)+(AH610*Settings!$G$14)+(AI610*Settings!$G$15)+(AJ610*Settings!$G$16)+(AK610*Settings!$G$17)+(W610*Settings!$G$3)+(X610*Settings!$G$4)</f>
        <v>-2.264184641553733</v>
      </c>
      <c r="E610" s="67"/>
      <c r="F610" s="67"/>
      <c r="G610" s="67"/>
      <c r="H610" s="67"/>
      <c r="I610" s="67"/>
      <c r="J610" s="67"/>
      <c r="K610" s="72"/>
      <c r="L610" s="72"/>
      <c r="M610" s="67"/>
      <c r="N610" s="67"/>
      <c r="O610" s="67"/>
      <c r="P610" s="67"/>
      <c r="Q610" s="67"/>
      <c r="R610" s="72"/>
      <c r="S610" s="72"/>
      <c r="T610" s="67"/>
      <c r="U610" s="67"/>
      <c r="V610" s="118">
        <f>(VLOOKUP($A610,Pitchers!$A1:$S251,4,FALSE)-AVERAGE(Rankings!AC2:AC651))/STDEV(Rankings!AC2:AC651)</f>
        <v>-0.7863206428266164</v>
      </c>
      <c r="W610" s="118">
        <f>(VLOOKUP($A610,Pitchers!$A1:$S251,5,FALSE)-AVERAGE(Rankings!AD2:AD651))/STDEV(Rankings!AD2:AD651)*-1</f>
        <v>4.4433120971852182E-2</v>
      </c>
      <c r="X610" s="118">
        <f>(VLOOKUP($A610,Pitchers!$A1:$S251,6,FALSE)-AVERAGE(Rankings!AE2:AE651))/STDEV(Rankings!AE2:AE651)*-1</f>
        <v>-0.44877179069042877</v>
      </c>
      <c r="Y610" s="118">
        <f>(VLOOKUP($A610,Pitchers!$A1:$S251,7,FALSE)-AVERAGE(Rankings!AF2:AF651))/STDEV(Rankings!AF2:AF651)</f>
        <v>-0.74471215698980542</v>
      </c>
      <c r="Z610" s="118">
        <f>(VLOOKUP($A610,Pitchers!$A1:$S251,8,FALSE)-AVERAGE(Rankings!AG2:AG651))/STDEV(Rankings!AG2:AG651)</f>
        <v>-0.81946711982587883</v>
      </c>
      <c r="AA610" s="118">
        <f>(VLOOKUP($A610,Pitchers!$A1:$S251,9,FALSE)-AVERAGE(Rankings!AH2:AH651))/STDEV(Rankings!AH2:AH651)</f>
        <v>-0.29566669501947185</v>
      </c>
      <c r="AB610" s="118">
        <f>(VLOOKUP($A610,Pitchers!$A1:$S251,10,FALSE)-AVERAGE(Rankings!AI2:AI651))/STDEV(Rankings!AI2:AI651)*-1</f>
        <v>0.76416549535535361</v>
      </c>
      <c r="AC610" s="118">
        <f>(VLOOKUP($A610,Pitchers!$A1:$S251,11,FALSE)-AVERAGE(Rankings!AJ2:AJ651))/STDEV(Rankings!AJ2:AJ651)*-1</f>
        <v>0.73343116143514264</v>
      </c>
      <c r="AD610" s="118">
        <f>(VLOOKUP($A610,Pitchers!$A1:$S251,12,FALSE)-AVERAGE(Rankings!AK2:AK651))/STDEV(Rankings!AK2:AK651)*-1</f>
        <v>0.63811091519075069</v>
      </c>
      <c r="AE610" s="118">
        <f>IFERROR((VLOOKUP($A610,Pitchers!$A1:$S251,13,FALSE)-AVERAGE(Rankings!AL2:AL651))/STDEV(Rankings!AL2:AL651)*-1,0)</f>
        <v>1.0013794666049092</v>
      </c>
      <c r="AF610" s="118">
        <f>(VLOOKUP($A610,Pitchers!$A1:$S251,14,FALSE)-AVERAGE(Rankings!AM2:AM651))/STDEV(Rankings!AM2:AM651)</f>
        <v>0.27029541319098838</v>
      </c>
      <c r="AG610" s="118">
        <f>(VLOOKUP($A610,Pitchers!$A1:$S251,15,FALSE)-AVERAGE(Rankings!AN2:AN651))/STDEV(Rankings!AN2:AN651)</f>
        <v>-0.76541088594679774</v>
      </c>
      <c r="AH610" s="118">
        <f>(VLOOKUP($A610,Pitchers!$A1:$S251,16,FALSE)-AVERAGE(Rankings!AO2:AO651))/STDEV(Rankings!AO2:AO651)*-1</f>
        <v>0.61781966877042538</v>
      </c>
      <c r="AI610" s="118">
        <f>IFERROR((VLOOKUP($A610,Pitchers!$A1:$S251,17,FALSE)-AVERAGE(Rankings!AP2:AP651))/STDEV(Rankings!AP2:AP651),0)</f>
        <v>-0.84176658905845514</v>
      </c>
      <c r="AJ610" s="118">
        <f>(VLOOKUP($A610,Pitchers!$A1:$S251,18,FALSE)-AVERAGE(Rankings!AQ2:AQ651))/STDEV(Rankings!AQ2:AQ651)</f>
        <v>0.18348475663796196</v>
      </c>
      <c r="AK610" s="118">
        <f>IFERROR((VLOOKUP($A610,Pitchers!$A1:$S251,19,FALSE)-AVERAGE(Rankings!AR2:AR651))/STDEV(Rankings!AR2:AR651)*-1,0)</f>
        <v>-0.46817010195488579</v>
      </c>
    </row>
    <row r="611" spans="1:37" ht="20.100000000000001" customHeight="1">
      <c r="A611" s="26" t="s">
        <v>574</v>
      </c>
      <c r="B611" s="27" t="s">
        <v>76</v>
      </c>
      <c r="C611" s="128" t="s">
        <v>34</v>
      </c>
      <c r="D611" s="67">
        <f>(V611*Settings!$G$2)+(Y611*Settings!$G$5)+(Z611*Settings!$G$6)+(AA611*Settings!$G$7)+(AB611*Settings!$G$8)+(AC611*Settings!$G$9)+(AD611*Settings!$G$10)+(AE611*Settings!$G$11)+(AF611*Settings!$G$12)+(AG611*Settings!$G$13)+(AH611*Settings!$G$14)+(AI611*Settings!$G$15)+(AJ611*Settings!$G$16)+(AK611*Settings!$G$17)+(W611*Settings!$G$3)+(X611*Settings!$G$4)</f>
        <v>-1.870622706752501</v>
      </c>
      <c r="E611" s="67"/>
      <c r="F611" s="67"/>
      <c r="G611" s="67"/>
      <c r="H611" s="67"/>
      <c r="I611" s="67"/>
      <c r="J611" s="67"/>
      <c r="K611" s="72"/>
      <c r="L611" s="72"/>
      <c r="M611" s="67"/>
      <c r="N611" s="67"/>
      <c r="O611" s="67"/>
      <c r="P611" s="67"/>
      <c r="Q611" s="67"/>
      <c r="R611" s="72"/>
      <c r="S611" s="72"/>
      <c r="T611" s="67"/>
      <c r="U611" s="67"/>
      <c r="V611" s="118">
        <f>(VLOOKUP($A611,Pitchers!$A1:$S251,4,FALSE)-AVERAGE(Rankings!AC2:AC651))/STDEV(Rankings!AC2:AC651)</f>
        <v>-1.0464090175455443</v>
      </c>
      <c r="W611" s="118">
        <f>(VLOOKUP($A611,Pitchers!$A1:$S251,5,FALSE)-AVERAGE(Rankings!AD2:AD651))/STDEV(Rankings!AD2:AD651)*-1</f>
        <v>0.18182860261508255</v>
      </c>
      <c r="X611" s="118">
        <f>(VLOOKUP($A611,Pitchers!$A1:$S251,6,FALSE)-AVERAGE(Rankings!AE2:AE651))/STDEV(Rankings!AE2:AE651)*-1</f>
        <v>-5.0263904030094529E-2</v>
      </c>
      <c r="Y611" s="118">
        <f>(VLOOKUP($A611,Pitchers!$A1:$S251,7,FALSE)-AVERAGE(Rankings!AF2:AF651))/STDEV(Rankings!AF2:AF651)</f>
        <v>-0.84114228367088018</v>
      </c>
      <c r="Z611" s="118">
        <f>(VLOOKUP($A611,Pitchers!$A1:$S251,8,FALSE)-AVERAGE(Rankings!AG2:AG651))/STDEV(Rankings!AG2:AG651)</f>
        <v>-1.0156044924560212</v>
      </c>
      <c r="AA611" s="118">
        <f>(VLOOKUP($A611,Pitchers!$A1:$S251,9,FALSE)-AVERAGE(Rankings!AH2:AH651))/STDEV(Rankings!AH2:AH651)</f>
        <v>-0.14544062921058781</v>
      </c>
      <c r="AB611" s="118">
        <f>(VLOOKUP($A611,Pitchers!$A1:$S251,10,FALSE)-AVERAGE(Rankings!AI2:AI651))/STDEV(Rankings!AI2:AI651)*-1</f>
        <v>1.0254243756209624</v>
      </c>
      <c r="AC611" s="118">
        <f>(VLOOKUP($A611,Pitchers!$A1:$S251,11,FALSE)-AVERAGE(Rankings!AJ2:AJ651))/STDEV(Rankings!AJ2:AJ651)*-1</f>
        <v>1.0295507075174537</v>
      </c>
      <c r="AD611" s="118">
        <f>(VLOOKUP($A611,Pitchers!$A1:$S251,12,FALSE)-AVERAGE(Rankings!AK2:AK651))/STDEV(Rankings!AK2:AK651)*-1</f>
        <v>0.94230743317207921</v>
      </c>
      <c r="AE611" s="118">
        <f>IFERROR((VLOOKUP($A611,Pitchers!$A1:$S251,13,FALSE)-AVERAGE(Rankings!AL2:AL651))/STDEV(Rankings!AL2:AL651)*-1,0)</f>
        <v>1.0206970148961849</v>
      </c>
      <c r="AF611" s="118">
        <f>(VLOOKUP($A611,Pitchers!$A1:$S251,14,FALSE)-AVERAGE(Rankings!AM2:AM651))/STDEV(Rankings!AM2:AM651)</f>
        <v>1.2036277463684029</v>
      </c>
      <c r="AG611" s="118">
        <f>(VLOOKUP($A611,Pitchers!$A1:$S251,15,FALSE)-AVERAGE(Rankings!AN2:AN651))/STDEV(Rankings!AN2:AN651)</f>
        <v>-1.2113480175877096</v>
      </c>
      <c r="AH611" s="118">
        <f>(VLOOKUP($A611,Pitchers!$A1:$S251,16,FALSE)-AVERAGE(Rankings!AO2:AO651))/STDEV(Rankings!AO2:AO651)*-1</f>
        <v>1.0746817447694073</v>
      </c>
      <c r="AI611" s="118">
        <f>IFERROR((VLOOKUP($A611,Pitchers!$A1:$S251,17,FALSE)-AVERAGE(Rankings!AP2:AP651))/STDEV(Rankings!AP2:AP651),0)</f>
        <v>-1.1136479910031813</v>
      </c>
      <c r="AJ611" s="118">
        <f>(VLOOKUP($A611,Pitchers!$A1:$S251,18,FALSE)-AVERAGE(Rankings!AQ2:AQ651))/STDEV(Rankings!AQ2:AQ651)</f>
        <v>1.7802123387040631</v>
      </c>
      <c r="AK611" s="118">
        <f>IFERROR((VLOOKUP($A611,Pitchers!$A1:$S251,19,FALSE)-AVERAGE(Rankings!AR2:AR651))/STDEV(Rankings!AR2:AR651)*-1,0)</f>
        <v>0.47686441955275594</v>
      </c>
    </row>
    <row r="612" spans="1:37" ht="20.100000000000001" customHeight="1">
      <c r="A612" s="26" t="s">
        <v>546</v>
      </c>
      <c r="B612" s="27" t="s">
        <v>78</v>
      </c>
      <c r="C612" s="128" t="s">
        <v>34</v>
      </c>
      <c r="D612" s="67">
        <f>(V612*Settings!$G$2)+(Y612*Settings!$G$5)+(Z612*Settings!$G$6)+(AA612*Settings!$G$7)+(AB612*Settings!$G$8)+(AC612*Settings!$G$9)+(AD612*Settings!$G$10)+(AE612*Settings!$G$11)+(AF612*Settings!$G$12)+(AG612*Settings!$G$13)+(AH612*Settings!$G$14)+(AI612*Settings!$G$15)+(AJ612*Settings!$G$16)+(AK612*Settings!$G$17)+(W612*Settings!$G$3)+(X612*Settings!$G$4)</f>
        <v>-1.8217185622978673</v>
      </c>
      <c r="E612" s="67"/>
      <c r="F612" s="67"/>
      <c r="G612" s="67"/>
      <c r="H612" s="67"/>
      <c r="I612" s="67"/>
      <c r="J612" s="67"/>
      <c r="K612" s="72"/>
      <c r="L612" s="72"/>
      <c r="M612" s="67"/>
      <c r="N612" s="67"/>
      <c r="O612" s="67"/>
      <c r="P612" s="67"/>
      <c r="Q612" s="67"/>
      <c r="R612" s="72"/>
      <c r="S612" s="72"/>
      <c r="T612" s="67"/>
      <c r="U612" s="67"/>
      <c r="V612" s="118">
        <f>(VLOOKUP($A612,Pitchers!$A1:$S251,4,FALSE)-AVERAGE(Rankings!AC2:AC651))/STDEV(Rankings!AC2:AC651)</f>
        <v>-1.0377271878803627</v>
      </c>
      <c r="W612" s="118">
        <f>(VLOOKUP($A612,Pitchers!$A1:$S251,5,FALSE)-AVERAGE(Rankings!AD2:AD651))/STDEV(Rankings!AD2:AD651)*-1</f>
        <v>0.8449181587111656</v>
      </c>
      <c r="X612" s="118">
        <f>(VLOOKUP($A612,Pitchers!$A1:$S251,6,FALSE)-AVERAGE(Rankings!AE2:AE651))/STDEV(Rankings!AE2:AE651)*-1</f>
        <v>-0.56504280412094499</v>
      </c>
      <c r="Y612" s="118">
        <f>(VLOOKUP($A612,Pitchers!$A1:$S251,7,FALSE)-AVERAGE(Rankings!AF2:AF651))/STDEV(Rankings!AF2:AF651)</f>
        <v>-0.70149134222829057</v>
      </c>
      <c r="Z612" s="118">
        <f>(VLOOKUP($A612,Pitchers!$A1:$S251,8,FALSE)-AVERAGE(Rankings!AG2:AG651))/STDEV(Rankings!AG2:AG651)</f>
        <v>-1.0720341791717427</v>
      </c>
      <c r="AA612" s="118">
        <f>(VLOOKUP($A612,Pitchers!$A1:$S251,9,FALSE)-AVERAGE(Rankings!AH2:AH651))/STDEV(Rankings!AH2:AH651)</f>
        <v>-0.32806839548805478</v>
      </c>
      <c r="AB612" s="118">
        <f>(VLOOKUP($A612,Pitchers!$A1:$S251,10,FALSE)-AVERAGE(Rankings!AI2:AI651))/STDEV(Rankings!AI2:AI651)*-1</f>
        <v>1.1122564767094347</v>
      </c>
      <c r="AC612" s="118">
        <f>(VLOOKUP($A612,Pitchers!$A1:$S251,11,FALSE)-AVERAGE(Rankings!AJ2:AJ651))/STDEV(Rankings!AJ2:AJ651)*-1</f>
        <v>1.1137112479916322</v>
      </c>
      <c r="AD612" s="118">
        <f>(VLOOKUP($A612,Pitchers!$A1:$S251,12,FALSE)-AVERAGE(Rankings!AK2:AK651))/STDEV(Rankings!AK2:AK651)*-1</f>
        <v>0.41430526207506352</v>
      </c>
      <c r="AE612" s="118">
        <f>IFERROR((VLOOKUP($A612,Pitchers!$A1:$S251,13,FALSE)-AVERAGE(Rankings!AL2:AL651))/STDEV(Rankings!AL2:AL651)*-1,0)</f>
        <v>1.2766545297555891</v>
      </c>
      <c r="AF612" s="118">
        <f>(VLOOKUP($A612,Pitchers!$A1:$S251,14,FALSE)-AVERAGE(Rankings!AM2:AM651))/STDEV(Rankings!AM2:AM651)</f>
        <v>1.2702234950542057</v>
      </c>
      <c r="AG612" s="118">
        <f>(VLOOKUP($A612,Pitchers!$A1:$S251,15,FALSE)-AVERAGE(Rankings!AN2:AN651))/STDEV(Rankings!AN2:AN651)</f>
        <v>-1.2302545831997735</v>
      </c>
      <c r="AH612" s="118">
        <f>(VLOOKUP($A612,Pitchers!$A1:$S251,16,FALSE)-AVERAGE(Rankings!AO2:AO651))/STDEV(Rankings!AO2:AO651)*-1</f>
        <v>1.4188613959834049</v>
      </c>
      <c r="AI612" s="118">
        <f>IFERROR((VLOOKUP($A612,Pitchers!$A1:$S251,17,FALSE)-AVERAGE(Rankings!AP2:AP651))/STDEV(Rankings!AP2:AP651),0)</f>
        <v>-1.1136479910031813</v>
      </c>
      <c r="AJ612" s="118">
        <f>(VLOOKUP($A612,Pitchers!$A1:$S251,18,FALSE)-AVERAGE(Rankings!AQ2:AQ651))/STDEV(Rankings!AQ2:AQ651)</f>
        <v>0.98184854767101259</v>
      </c>
      <c r="AK612" s="118">
        <f>IFERROR((VLOOKUP($A612,Pitchers!$A1:$S251,19,FALSE)-AVERAGE(Rankings!AR2:AR651))/STDEV(Rankings!AR2:AR651)*-1,0)</f>
        <v>0.47686441955275594</v>
      </c>
    </row>
    <row r="613" spans="1:37" ht="20.100000000000001" customHeight="1">
      <c r="A613" s="26" t="s">
        <v>478</v>
      </c>
      <c r="B613" s="27" t="s">
        <v>103</v>
      </c>
      <c r="C613" s="128" t="s">
        <v>34</v>
      </c>
      <c r="D613" s="67">
        <f>(V613*Settings!$G$2)+(Y613*Settings!$G$5)+(Z613*Settings!$G$6)+(AA613*Settings!$G$7)+(AB613*Settings!$G$8)+(AC613*Settings!$G$9)+(AD613*Settings!$G$10)+(AE613*Settings!$G$11)+(AF613*Settings!$G$12)+(AG613*Settings!$G$13)+(AH613*Settings!$G$14)+(AI613*Settings!$G$15)+(AJ613*Settings!$G$16)+(AK613*Settings!$G$17)+(W613*Settings!$G$3)+(X613*Settings!$G$4)</f>
        <v>-0.73328330292632171</v>
      </c>
      <c r="E613" s="67"/>
      <c r="F613" s="67"/>
      <c r="G613" s="67"/>
      <c r="H613" s="67"/>
      <c r="I613" s="67"/>
      <c r="J613" s="67"/>
      <c r="K613" s="72"/>
      <c r="L613" s="72"/>
      <c r="M613" s="67"/>
      <c r="N613" s="67"/>
      <c r="O613" s="67"/>
      <c r="P613" s="67"/>
      <c r="Q613" s="67"/>
      <c r="R613" s="72"/>
      <c r="S613" s="72"/>
      <c r="T613" s="67"/>
      <c r="U613" s="67"/>
      <c r="V613" s="118">
        <f>(VLOOKUP($A613,Pitchers!$A1:$S251,4,FALSE)-AVERAGE(Rankings!AC2:AC651))/STDEV(Rankings!AC2:AC651)</f>
        <v>-1.1457575538460545</v>
      </c>
      <c r="W613" s="118">
        <f>(VLOOKUP($A613,Pitchers!$A1:$S251,5,FALSE)-AVERAGE(Rankings!AD2:AD651))/STDEV(Rankings!AD2:AD651)*-1</f>
        <v>0.63783690639234125</v>
      </c>
      <c r="X613" s="118">
        <f>(VLOOKUP($A613,Pitchers!$A1:$S251,6,FALSE)-AVERAGE(Rankings!AE2:AE651))/STDEV(Rankings!AE2:AE651)*-1</f>
        <v>1.0332242749753322</v>
      </c>
      <c r="Y613" s="118">
        <f>(VLOOKUP($A613,Pitchers!$A1:$S251,7,FALSE)-AVERAGE(Rankings!AF2:AF651))/STDEV(Rankings!AF2:AF651)</f>
        <v>-1.0969653226480918</v>
      </c>
      <c r="Z613" s="118">
        <f>(VLOOKUP($A613,Pitchers!$A1:$S251,8,FALSE)-AVERAGE(Rankings!AG2:AG651))/STDEV(Rankings!AG2:AG651)</f>
        <v>-1.109653970315557</v>
      </c>
      <c r="AA613" s="118">
        <f>(VLOOKUP($A613,Pitchers!$A1:$S251,9,FALSE)-AVERAGE(Rankings!AH2:AH651))/STDEV(Rankings!AH2:AH651)</f>
        <v>-0.19772519133034652</v>
      </c>
      <c r="AB613" s="118">
        <f>(VLOOKUP($A613,Pitchers!$A1:$S251,10,FALSE)-AVERAGE(Rankings!AI2:AI651))/STDEV(Rankings!AI2:AI651)*-1</f>
        <v>1.1760841716254633</v>
      </c>
      <c r="AC613" s="118">
        <f>(VLOOKUP($A613,Pitchers!$A1:$S251,11,FALSE)-AVERAGE(Rankings!AJ2:AJ651))/STDEV(Rankings!AJ2:AJ651)*-1</f>
        <v>0.99747718690488785</v>
      </c>
      <c r="AD613" s="118">
        <f>(VLOOKUP($A613,Pitchers!$A1:$S251,12,FALSE)-AVERAGE(Rankings!AK2:AK651))/STDEV(Rankings!AK2:AK651)*-1</f>
        <v>1.8754072664219616</v>
      </c>
      <c r="AE613" s="118">
        <f>IFERROR((VLOOKUP($A613,Pitchers!$A1:$S251,13,FALSE)-AVERAGE(Rankings!AL2:AL651))/STDEV(Rankings!AL2:AL651)*-1,0)</f>
        <v>1.0351851761146418</v>
      </c>
      <c r="AF613" s="118">
        <f>(VLOOKUP($A613,Pitchers!$A1:$S251,14,FALSE)-AVERAGE(Rankings!AM2:AM651))/STDEV(Rankings!AM2:AM651)</f>
        <v>1.3431954324439688</v>
      </c>
      <c r="AG613" s="118">
        <f>(VLOOKUP($A613,Pitchers!$A1:$S251,15,FALSE)-AVERAGE(Rankings!AN2:AN651))/STDEV(Rankings!AN2:AN651)</f>
        <v>-1.2302545831997735</v>
      </c>
      <c r="AH613" s="118">
        <f>(VLOOKUP($A613,Pitchers!$A1:$S251,16,FALSE)-AVERAGE(Rankings!AO2:AO651))/STDEV(Rankings!AO2:AO651)*-1</f>
        <v>1.4131122926780491</v>
      </c>
      <c r="AI613" s="118">
        <f>IFERROR((VLOOKUP($A613,Pitchers!$A1:$S251,17,FALSE)-AVERAGE(Rankings!AP2:AP651))/STDEV(Rankings!AP2:AP651),0)</f>
        <v>-1.1136479910031813</v>
      </c>
      <c r="AJ613" s="118">
        <f>(VLOOKUP($A613,Pitchers!$A1:$S251,18,FALSE)-AVERAGE(Rankings!AQ2:AQ651))/STDEV(Rankings!AQ2:AQ651)</f>
        <v>1.540703201394148</v>
      </c>
      <c r="AK613" s="118">
        <f>IFERROR((VLOOKUP($A613,Pitchers!$A1:$S251,19,FALSE)-AVERAGE(Rankings!AR2:AR651))/STDEV(Rankings!AR2:AR651)*-1,0)</f>
        <v>4.3471587989350928E-3</v>
      </c>
    </row>
    <row r="614" spans="1:37" ht="20.100000000000001" customHeight="1">
      <c r="A614" s="26" t="s">
        <v>539</v>
      </c>
      <c r="B614" s="27" t="s">
        <v>134</v>
      </c>
      <c r="C614" s="128" t="s">
        <v>34</v>
      </c>
      <c r="D614" s="67">
        <f>(V614*Settings!$G$2)+(Y614*Settings!$G$5)+(Z614*Settings!$G$6)+(AA614*Settings!$G$7)+(AB614*Settings!$G$8)+(AC614*Settings!$G$9)+(AD614*Settings!$G$10)+(AE614*Settings!$G$11)+(AF614*Settings!$G$12)+(AG614*Settings!$G$13)+(AH614*Settings!$G$14)+(AI614*Settings!$G$15)+(AJ614*Settings!$G$16)+(AK614*Settings!$G$17)+(W614*Settings!$G$3)+(X614*Settings!$G$4)</f>
        <v>-1.6069773651406454</v>
      </c>
      <c r="E614" s="67"/>
      <c r="F614" s="67"/>
      <c r="G614" s="67"/>
      <c r="H614" s="67"/>
      <c r="I614" s="67"/>
      <c r="J614" s="67"/>
      <c r="K614" s="72"/>
      <c r="L614" s="72"/>
      <c r="M614" s="67"/>
      <c r="N614" s="67"/>
      <c r="O614" s="67"/>
      <c r="P614" s="67"/>
      <c r="Q614" s="67"/>
      <c r="R614" s="72"/>
      <c r="S614" s="72"/>
      <c r="T614" s="67"/>
      <c r="U614" s="67"/>
      <c r="V614" s="118">
        <f>(VLOOKUP($A614,Pitchers!$A1:$S251,4,FALSE)-AVERAGE(Rankings!AC2:AC651))/STDEV(Rankings!AC2:AC651)</f>
        <v>-1.0959802032855268</v>
      </c>
      <c r="W614" s="118">
        <f>(VLOOKUP($A614,Pitchers!$A1:$S251,5,FALSE)-AVERAGE(Rankings!AD2:AD651))/STDEV(Rankings!AD2:AD651)*-1</f>
        <v>0.1708617126004924</v>
      </c>
      <c r="X614" s="118">
        <f>(VLOOKUP($A614,Pitchers!$A1:$S251,6,FALSE)-AVERAGE(Rankings!AE2:AE651))/STDEV(Rankings!AE2:AE651)*-1</f>
        <v>-0.60948980699645383</v>
      </c>
      <c r="Y614" s="118">
        <f>(VLOOKUP($A614,Pitchers!$A1:$S251,7,FALSE)-AVERAGE(Rankings!AF2:AF651))/STDEV(Rankings!AF2:AF651)</f>
        <v>-1.2873813319998022</v>
      </c>
      <c r="Z614" s="118">
        <f>(VLOOKUP($A614,Pitchers!$A1:$S251,8,FALSE)-AVERAGE(Rankings!AG2:AG651))/STDEV(Rankings!AG2:AG651)</f>
        <v>-1.109653970315557</v>
      </c>
      <c r="AA614" s="118">
        <f>(VLOOKUP($A614,Pitchers!$A1:$S251,9,FALSE)-AVERAGE(Rankings!AH2:AH651))/STDEV(Rankings!AH2:AH651)</f>
        <v>1.2286860315706754</v>
      </c>
      <c r="AB614" s="118">
        <f>(VLOOKUP($A614,Pitchers!$A1:$S251,10,FALSE)-AVERAGE(Rankings!AI2:AI651))/STDEV(Rankings!AI2:AI651)*-1</f>
        <v>1.0692603518999704</v>
      </c>
      <c r="AC614" s="118">
        <f>(VLOOKUP($A614,Pitchers!$A1:$S251,11,FALSE)-AVERAGE(Rankings!AJ2:AJ651))/STDEV(Rankings!AJ2:AJ651)*-1</f>
        <v>0.93842792379036333</v>
      </c>
      <c r="AD614" s="118">
        <f>(VLOOKUP($A614,Pitchers!$A1:$S251,12,FALSE)-AVERAGE(Rankings!AK2:AK651))/STDEV(Rankings!AK2:AK651)*-1</f>
        <v>1.2352272267074451</v>
      </c>
      <c r="AE614" s="118">
        <f>IFERROR((VLOOKUP($A614,Pitchers!$A1:$S251,13,FALSE)-AVERAGE(Rankings!AL2:AL651))/STDEV(Rankings!AL2:AL651)*-1,0)</f>
        <v>1.2235312719545808</v>
      </c>
      <c r="AF614" s="118">
        <f>(VLOOKUP($A614,Pitchers!$A1:$S251,14,FALSE)-AVERAGE(Rankings!AM2:AM651))/STDEV(Rankings!AM2:AM651)</f>
        <v>1.400510284238452</v>
      </c>
      <c r="AG614" s="118">
        <f>(VLOOKUP($A614,Pitchers!$A1:$S251,15,FALSE)-AVERAGE(Rankings!AN2:AN651))/STDEV(Rankings!AN2:AN651)</f>
        <v>-1.2302545831997735</v>
      </c>
      <c r="AH614" s="118">
        <f>(VLOOKUP($A614,Pitchers!$A1:$S251,16,FALSE)-AVERAGE(Rankings!AO2:AO651))/STDEV(Rankings!AO2:AO651)*-1</f>
        <v>1.0693159150177411</v>
      </c>
      <c r="AI614" s="118">
        <f>IFERROR((VLOOKUP($A614,Pitchers!$A1:$S251,17,FALSE)-AVERAGE(Rankings!AP2:AP651))/STDEV(Rankings!AP2:AP651),0)</f>
        <v>-1.1136479910031813</v>
      </c>
      <c r="AJ614" s="118">
        <f>(VLOOKUP($A614,Pitchers!$A1:$S251,18,FALSE)-AVERAGE(Rankings!AQ2:AQ651))/STDEV(Rankings!AQ2:AQ651)</f>
        <v>0.98184854767101259</v>
      </c>
      <c r="AK614" s="118">
        <f>IFERROR((VLOOKUP($A614,Pitchers!$A1:$S251,19,FALSE)-AVERAGE(Rankings!AR2:AR651))/STDEV(Rankings!AR2:AR651)*-1,0)</f>
        <v>-3.3032736664778111</v>
      </c>
    </row>
    <row r="615" spans="1:37" ht="20.100000000000001" customHeight="1">
      <c r="A615" s="26" t="s">
        <v>536</v>
      </c>
      <c r="B615" s="27" t="s">
        <v>140</v>
      </c>
      <c r="C615" s="128" t="s">
        <v>34</v>
      </c>
      <c r="D615" s="67">
        <f>(V615*Settings!$G$2)+(Y615*Settings!$G$5)+(Z615*Settings!$G$6)+(AA615*Settings!$G$7)+(AB615*Settings!$G$8)+(AC615*Settings!$G$9)+(AD615*Settings!$G$10)+(AE615*Settings!$G$11)+(AF615*Settings!$G$12)+(AG615*Settings!$G$13)+(AH615*Settings!$G$14)+(AI615*Settings!$G$15)+(AJ615*Settings!$G$16)+(AK615*Settings!$G$17)+(W615*Settings!$G$3)+(X615*Settings!$G$4)</f>
        <v>-1.7365349994671009</v>
      </c>
      <c r="E615" s="67"/>
      <c r="F615" s="67"/>
      <c r="G615" s="67"/>
      <c r="H615" s="67"/>
      <c r="I615" s="67"/>
      <c r="J615" s="67"/>
      <c r="K615" s="72"/>
      <c r="L615" s="72"/>
      <c r="M615" s="67"/>
      <c r="N615" s="67"/>
      <c r="O615" s="67"/>
      <c r="P615" s="67"/>
      <c r="Q615" s="67"/>
      <c r="R615" s="72"/>
      <c r="S615" s="72"/>
      <c r="T615" s="67"/>
      <c r="U615" s="67"/>
      <c r="V615" s="118">
        <f>(VLOOKUP($A615,Pitchers!$A1:$S251,4,FALSE)-AVERAGE(Rankings!AC2:AC651))/STDEV(Rankings!AC2:AC651)</f>
        <v>-1.1258511950623</v>
      </c>
      <c r="W615" s="118">
        <f>(VLOOKUP($A615,Pitchers!$A1:$S251,5,FALSE)-AVERAGE(Rankings!AD2:AD651))/STDEV(Rankings!AD2:AD651)*-1</f>
        <v>-0.36960784329103685</v>
      </c>
      <c r="X615" s="118">
        <f>(VLOOKUP($A615,Pitchers!$A1:$S251,6,FALSE)-AVERAGE(Rankings!AE2:AE651))/STDEV(Rankings!AE2:AE651)*-1</f>
        <v>-0.43163875128684742</v>
      </c>
      <c r="Y615" s="118">
        <f>(VLOOKUP($A615,Pitchers!$A1:$S251,7,FALSE)-AVERAGE(Rankings!AF2:AF651))/STDEV(Rankings!AF2:AF651)</f>
        <v>-0.99639878302627394</v>
      </c>
      <c r="Z615" s="118">
        <f>(VLOOKUP($A615,Pitchers!$A1:$S251,8,FALSE)-AVERAGE(Rankings!AG2:AG651))/STDEV(Rankings!AG2:AG651)</f>
        <v>-1.1101362753302213</v>
      </c>
      <c r="AA615" s="118">
        <f>(VLOOKUP($A615,Pitchers!$A1:$S251,9,FALSE)-AVERAGE(Rankings!AH2:AH651))/STDEV(Rankings!AH2:AH651)</f>
        <v>1.1712466534672785</v>
      </c>
      <c r="AB615" s="118">
        <f>(VLOOKUP($A615,Pitchers!$A1:$S251,10,FALSE)-AVERAGE(Rankings!AI2:AI651))/STDEV(Rankings!AI2:AI651)*-1</f>
        <v>1.0245601216874118</v>
      </c>
      <c r="AC615" s="118">
        <f>(VLOOKUP($A615,Pitchers!$A1:$S251,11,FALSE)-AVERAGE(Rankings!AJ2:AJ651))/STDEV(Rankings!AJ2:AJ651)*-1</f>
        <v>1.0581313060912705</v>
      </c>
      <c r="AD615" s="118">
        <f>(VLOOKUP($A615,Pitchers!$A1:$S251,12,FALSE)-AVERAGE(Rankings!AK2:AK651))/STDEV(Rankings!AK2:AK651)*-1</f>
        <v>1.0357431500100536</v>
      </c>
      <c r="AE615" s="118">
        <f>IFERROR((VLOOKUP($A615,Pitchers!$A1:$S251,13,FALSE)-AVERAGE(Rankings!AL2:AL651))/STDEV(Rankings!AL2:AL651)*-1,0)</f>
        <v>0.8758154027116164</v>
      </c>
      <c r="AF615" s="118">
        <f>(VLOOKUP($A615,Pitchers!$A1:$S251,14,FALSE)-AVERAGE(Rankings!AM2:AM651))/STDEV(Rankings!AM2:AM651)</f>
        <v>1.3247753317436401</v>
      </c>
      <c r="AG615" s="118">
        <f>(VLOOKUP($A615,Pitchers!$A1:$S251,15,FALSE)-AVERAGE(Rankings!AN2:AN651))/STDEV(Rankings!AN2:AN651)</f>
        <v>-1.2302545831997735</v>
      </c>
      <c r="AH615" s="118">
        <f>(VLOOKUP($A615,Pitchers!$A1:$S251,16,FALSE)-AVERAGE(Rankings!AO2:AO651))/STDEV(Rankings!AO2:AO651)*-1</f>
        <v>1.0808141216284537</v>
      </c>
      <c r="AI615" s="118">
        <f>IFERROR((VLOOKUP($A615,Pitchers!$A1:$S251,17,FALSE)-AVERAGE(Rankings!AP2:AP651))/STDEV(Rankings!AP2:AP651),0)</f>
        <v>-1.1136479910031813</v>
      </c>
      <c r="AJ615" s="118">
        <f>(VLOOKUP($A615,Pitchers!$A1:$S251,18,FALSE)-AVERAGE(Rankings!AQ2:AQ651))/STDEV(Rankings!AQ2:AQ651)</f>
        <v>1.7802123387040631</v>
      </c>
      <c r="AK615" s="118">
        <f>IFERROR((VLOOKUP($A615,Pitchers!$A1:$S251,19,FALSE)-AVERAGE(Rankings!AR2:AR651))/STDEV(Rankings!AR2:AR651)*-1,0)</f>
        <v>-2.83075640572399</v>
      </c>
    </row>
    <row r="616" spans="1:37" ht="20.100000000000001" customHeight="1">
      <c r="A616" s="26" t="s">
        <v>515</v>
      </c>
      <c r="B616" s="27" t="s">
        <v>68</v>
      </c>
      <c r="C616" s="128" t="s">
        <v>34</v>
      </c>
      <c r="D616" s="67">
        <f>(V616*Settings!$G$2)+(Y616*Settings!$G$5)+(Z616*Settings!$G$6)+(AA616*Settings!$G$7)+(AB616*Settings!$G$8)+(AC616*Settings!$G$9)+(AD616*Settings!$G$10)+(AE616*Settings!$G$11)+(AF616*Settings!$G$12)+(AG616*Settings!$G$13)+(AH616*Settings!$G$14)+(AI616*Settings!$G$15)+(AJ616*Settings!$G$16)+(AK616*Settings!$G$17)+(W616*Settings!$G$3)+(X616*Settings!$G$4)</f>
        <v>-2.1860044604540811</v>
      </c>
      <c r="E616" s="67"/>
      <c r="F616" s="67"/>
      <c r="G616" s="67"/>
      <c r="H616" s="67"/>
      <c r="I616" s="67"/>
      <c r="J616" s="67"/>
      <c r="K616" s="72"/>
      <c r="L616" s="72"/>
      <c r="M616" s="67"/>
      <c r="N616" s="67"/>
      <c r="O616" s="67"/>
      <c r="P616" s="67"/>
      <c r="Q616" s="67"/>
      <c r="R616" s="72"/>
      <c r="S616" s="72"/>
      <c r="T616" s="67"/>
      <c r="U616" s="67"/>
      <c r="V616" s="118">
        <f>(VLOOKUP($A616,Pitchers!$A1:$S251,4,FALSE)-AVERAGE(Rankings!AC2:AC651))/STDEV(Rankings!AC2:AC651)</f>
        <v>-1.2092563185739802</v>
      </c>
      <c r="W616" s="118">
        <f>(VLOOKUP($A616,Pitchers!$A1:$S251,5,FALSE)-AVERAGE(Rankings!AD2:AD651))/STDEV(Rankings!AD2:AD651)*-1</f>
        <v>0.41534247535310687</v>
      </c>
      <c r="X616" s="118">
        <f>(VLOOKUP($A616,Pitchers!$A1:$S251,6,FALSE)-AVERAGE(Rankings!AE2:AE651))/STDEV(Rankings!AE2:AE651)*-1</f>
        <v>3.1692234138841167E-2</v>
      </c>
      <c r="Y616" s="118">
        <f>(VLOOKUP($A616,Pitchers!$A1:$S251,7,FALSE)-AVERAGE(Rankings!AF2:AF651))/STDEV(Rankings!AF2:AF651)</f>
        <v>-0.9781609623329971</v>
      </c>
      <c r="Z616" s="118">
        <f>(VLOOKUP($A616,Pitchers!$A1:$S251,8,FALSE)-AVERAGE(Rankings!AG2:AG651))/STDEV(Rankings!AG2:AG651)</f>
        <v>-1.3017721344901638</v>
      </c>
      <c r="AA616" s="118">
        <f>(VLOOKUP($A616,Pitchers!$A1:$S251,9,FALSE)-AVERAGE(Rankings!AH2:AH651))/STDEV(Rankings!AH2:AH651)</f>
        <v>-0.35310607312286874</v>
      </c>
      <c r="AB616" s="118">
        <f>(VLOOKUP($A616,Pitchers!$A1:$S251,10,FALSE)-AVERAGE(Rankings!AI2:AI651))/STDEV(Rankings!AI2:AI651)*-1</f>
        <v>1.2033590089989794</v>
      </c>
      <c r="AC616" s="118">
        <f>(VLOOKUP($A616,Pitchers!$A1:$S251,11,FALSE)-AVERAGE(Rankings!AJ2:AJ651))/STDEV(Rankings!AJ2:AJ651)*-1</f>
        <v>1.2801206621485124</v>
      </c>
      <c r="AD616" s="118">
        <f>(VLOOKUP($A616,Pitchers!$A1:$S251,12,FALSE)-AVERAGE(Rankings!AK2:AK651))/STDEV(Rankings!AK2:AK651)*-1</f>
        <v>0.82301776272628824</v>
      </c>
      <c r="AE616" s="118">
        <f>IFERROR((VLOOKUP($A616,Pitchers!$A1:$S251,13,FALSE)-AVERAGE(Rankings!AL2:AL651))/STDEV(Rankings!AL2:AL651)*-1,0)</f>
        <v>1.1607492400079344</v>
      </c>
      <c r="AF616" s="118">
        <f>(VLOOKUP($A616,Pitchers!$A1:$S251,14,FALSE)-AVERAGE(Rankings!AM2:AM651))/STDEV(Rankings!AM2:AM651)</f>
        <v>0.7722431572749402</v>
      </c>
      <c r="AG616" s="118">
        <f>(VLOOKUP($A616,Pitchers!$A1:$S251,15,FALSE)-AVERAGE(Rankings!AN2:AN651))/STDEV(Rankings!AN2:AN651)</f>
        <v>-1.2302545831997735</v>
      </c>
      <c r="AH616" s="118">
        <f>(VLOOKUP($A616,Pitchers!$A1:$S251,16,FALSE)-AVERAGE(Rankings!AO2:AO651))/STDEV(Rankings!AO2:AO651)*-1</f>
        <v>1.583669024070286</v>
      </c>
      <c r="AI616" s="118">
        <f>IFERROR((VLOOKUP($A616,Pitchers!$A1:$S251,17,FALSE)-AVERAGE(Rankings!AP2:AP651))/STDEV(Rankings!AP2:AP651),0)</f>
        <v>-1.1136479910031813</v>
      </c>
      <c r="AJ616" s="118">
        <f>(VLOOKUP($A616,Pitchers!$A1:$S251,18,FALSE)-AVERAGE(Rankings!AQ2:AQ651))/STDEV(Rankings!AQ2:AQ651)</f>
        <v>1.0616849267743176</v>
      </c>
      <c r="AK616" s="118">
        <f>IFERROR((VLOOKUP($A616,Pitchers!$A1:$S251,19,FALSE)-AVERAGE(Rankings!AR2:AR651))/STDEV(Rankings!AR2:AR651)*-1,0)</f>
        <v>4.3471587989350928E-3</v>
      </c>
    </row>
    <row r="617" spans="1:37" ht="20.100000000000001" customHeight="1">
      <c r="A617" s="26" t="s">
        <v>531</v>
      </c>
      <c r="B617" s="27" t="s">
        <v>86</v>
      </c>
      <c r="C617" s="128" t="s">
        <v>34</v>
      </c>
      <c r="D617" s="67">
        <f>(V617*Settings!$G$2)+(Y617*Settings!$G$5)+(Z617*Settings!$G$6)+(AA617*Settings!$G$7)+(AB617*Settings!$G$8)+(AC617*Settings!$G$9)+(AD617*Settings!$G$10)+(AE617*Settings!$G$11)+(AF617*Settings!$G$12)+(AG617*Settings!$G$13)+(AH617*Settings!$G$14)+(AI617*Settings!$G$15)+(AJ617*Settings!$G$16)+(AK617*Settings!$G$17)+(W617*Settings!$G$3)+(X617*Settings!$G$4)</f>
        <v>-0.74732272845823755</v>
      </c>
      <c r="E617" s="67"/>
      <c r="F617" s="67"/>
      <c r="G617" s="67"/>
      <c r="H617" s="67"/>
      <c r="I617" s="67"/>
      <c r="J617" s="67"/>
      <c r="K617" s="72"/>
      <c r="L617" s="72"/>
      <c r="M617" s="67"/>
      <c r="N617" s="67"/>
      <c r="O617" s="67"/>
      <c r="P617" s="67"/>
      <c r="Q617" s="67"/>
      <c r="R617" s="72"/>
      <c r="S617" s="72"/>
      <c r="T617" s="67"/>
      <c r="U617" s="67"/>
      <c r="V617" s="118">
        <f>(VLOOKUP($A617,Pitchers!$A1:$S251,4,FALSE)-AVERAGE(Rankings!AC2:AC651))/STDEV(Rankings!AC2:AC651)</f>
        <v>-0.91755600470478582</v>
      </c>
      <c r="W617" s="118">
        <f>(VLOOKUP($A617,Pitchers!$A1:$S251,5,FALSE)-AVERAGE(Rankings!AD2:AD651))/STDEV(Rankings!AD2:AD651)*-1</f>
        <v>0.74581071265076526</v>
      </c>
      <c r="X617" s="118">
        <f>(VLOOKUP($A617,Pitchers!$A1:$S251,6,FALSE)-AVERAGE(Rankings!AE2:AE651))/STDEV(Rankings!AE2:AE651)*-1</f>
        <v>0.29068134890892755</v>
      </c>
      <c r="Y617" s="118">
        <f>(VLOOKUP($A617,Pitchers!$A1:$S251,7,FALSE)-AVERAGE(Rankings!AF2:AF651))/STDEV(Rankings!AF2:AF651)</f>
        <v>-0.84898031614666336</v>
      </c>
      <c r="Z617" s="118">
        <f>(VLOOKUP($A617,Pitchers!$A1:$S251,8,FALSE)-AVERAGE(Rankings!AG2:AG651))/STDEV(Rankings!AG2:AG651)</f>
        <v>-0.81737713142900026</v>
      </c>
      <c r="AA617" s="118">
        <f>(VLOOKUP($A617,Pitchers!$A1:$S251,9,FALSE)-AVERAGE(Rankings!AH2:AH651))/STDEV(Rankings!AH2:AH651)</f>
        <v>-0.11745734244226637</v>
      </c>
      <c r="AB617" s="118">
        <f>(VLOOKUP($A617,Pitchers!$A1:$S251,10,FALSE)-AVERAGE(Rankings!AI2:AI651))/STDEV(Rankings!AI2:AI651)*-1</f>
        <v>0.99558219568013495</v>
      </c>
      <c r="AC617" s="118">
        <f>(VLOOKUP($A617,Pitchers!$A1:$S251,11,FALSE)-AVERAGE(Rankings!AJ2:AJ651))/STDEV(Rankings!AJ2:AJ651)*-1</f>
        <v>0.91874483608552171</v>
      </c>
      <c r="AD617" s="118">
        <f>(VLOOKUP($A617,Pitchers!$A1:$S251,12,FALSE)-AVERAGE(Rankings!AK2:AK651))/STDEV(Rankings!AK2:AK651)*-1</f>
        <v>0.92132565319248361</v>
      </c>
      <c r="AE617" s="118">
        <f>IFERROR((VLOOKUP($A617,Pitchers!$A1:$S251,13,FALSE)-AVERAGE(Rankings!AL2:AL651))/STDEV(Rankings!AL2:AL651)*-1,0)</f>
        <v>0.8758154027116164</v>
      </c>
      <c r="AF617" s="118">
        <f>(VLOOKUP($A617,Pitchers!$A1:$S251,14,FALSE)-AVERAGE(Rankings!AM2:AM651))/STDEV(Rankings!AM2:AM651)</f>
        <v>1.3467377595017238</v>
      </c>
      <c r="AG617" s="118">
        <f>(VLOOKUP($A617,Pitchers!$A1:$S251,15,FALSE)-AVERAGE(Rankings!AN2:AN651))/STDEV(Rankings!AN2:AN651)</f>
        <v>-1.2238091631047516</v>
      </c>
      <c r="AH617" s="118">
        <f>(VLOOKUP($A617,Pitchers!$A1:$S251,16,FALSE)-AVERAGE(Rankings!AO2:AO651))/STDEV(Rankings!AO2:AO651)*-1</f>
        <v>0.973497526595136</v>
      </c>
      <c r="AI617" s="118">
        <f>IFERROR((VLOOKUP($A617,Pitchers!$A1:$S251,17,FALSE)-AVERAGE(Rankings!AP2:AP651))/STDEV(Rankings!AP2:AP651),0)</f>
        <v>-1.1136479910031813</v>
      </c>
      <c r="AJ617" s="118">
        <f>(VLOOKUP($A617,Pitchers!$A1:$S251,18,FALSE)-AVERAGE(Rankings!AQ2:AQ651))/STDEV(Rankings!AQ2:AQ651)</f>
        <v>1.2213576849809278</v>
      </c>
      <c r="AK617" s="118">
        <f>IFERROR((VLOOKUP($A617,Pitchers!$A1:$S251,19,FALSE)-AVERAGE(Rankings!AR2:AR651))/STDEV(Rankings!AR2:AR651)*-1,0)</f>
        <v>0.47686441955275594</v>
      </c>
    </row>
    <row r="618" spans="1:37" ht="20.100000000000001" customHeight="1">
      <c r="A618" s="26" t="s">
        <v>611</v>
      </c>
      <c r="B618" s="27" t="s">
        <v>91</v>
      </c>
      <c r="C618" s="128" t="s">
        <v>34</v>
      </c>
      <c r="D618" s="67">
        <f>(V618*Settings!$G$2)+(Y618*Settings!$G$5)+(Z618*Settings!$G$6)+(AA618*Settings!$G$7)+(AB618*Settings!$G$8)+(AC618*Settings!$G$9)+(AD618*Settings!$G$10)+(AE618*Settings!$G$11)+(AF618*Settings!$G$12)+(AG618*Settings!$G$13)+(AH618*Settings!$G$14)+(AI618*Settings!$G$15)+(AJ618*Settings!$G$16)+(AK618*Settings!$G$17)+(W618*Settings!$G$3)+(X618*Settings!$G$4)</f>
        <v>-3.4379713961094733</v>
      </c>
      <c r="E618" s="67"/>
      <c r="F618" s="67"/>
      <c r="G618" s="67"/>
      <c r="H618" s="67"/>
      <c r="I618" s="67"/>
      <c r="J618" s="67"/>
      <c r="K618" s="72"/>
      <c r="L618" s="72"/>
      <c r="M618" s="67"/>
      <c r="N618" s="67"/>
      <c r="O618" s="67"/>
      <c r="P618" s="67"/>
      <c r="Q618" s="67"/>
      <c r="R618" s="72"/>
      <c r="S618" s="72"/>
      <c r="T618" s="67"/>
      <c r="U618" s="67"/>
      <c r="V618" s="118">
        <f>(VLOOKUP($A618,Pitchers!$A1:$S251,4,FALSE)-AVERAGE(Rankings!AC2:AC651))/STDEV(Rankings!AC2:AC651)</f>
        <v>-1.0713091464269495</v>
      </c>
      <c r="W618" s="118">
        <f>(VLOOKUP($A618,Pitchers!$A1:$S251,5,FALSE)-AVERAGE(Rankings!AD2:AD651))/STDEV(Rankings!AD2:AD651)*-1</f>
        <v>-0.26770563277966358</v>
      </c>
      <c r="X618" s="118">
        <f>(VLOOKUP($A618,Pitchers!$A1:$S251,6,FALSE)-AVERAGE(Rankings!AE2:AE651))/STDEV(Rankings!AE2:AE651)*-1</f>
        <v>-1.4911620883604537</v>
      </c>
      <c r="Y618" s="118">
        <f>(VLOOKUP($A618,Pitchers!$A1:$S251,7,FALSE)-AVERAGE(Rankings!AF2:AF651))/STDEV(Rankings!AF2:AF651)</f>
        <v>-0.98347249258645142</v>
      </c>
      <c r="Z618" s="118">
        <f>(VLOOKUP($A618,Pitchers!$A1:$S251,8,FALSE)-AVERAGE(Rankings!AG2:AG651))/STDEV(Rankings!AG2:AG651)</f>
        <v>-1.1120654953888782</v>
      </c>
      <c r="AA618" s="118">
        <f>(VLOOKUP($A618,Pitchers!$A1:$S251,9,FALSE)-AVERAGE(Rankings!AH2:AH651))/STDEV(Rankings!AH2:AH651)</f>
        <v>0.41643431300597372</v>
      </c>
      <c r="AB618" s="118">
        <f>(VLOOKUP($A618,Pitchers!$A1:$S251,10,FALSE)-AVERAGE(Rankings!AI2:AI651))/STDEV(Rankings!AI2:AI651)*-1</f>
        <v>0.985592436977626</v>
      </c>
      <c r="AC618" s="118">
        <f>(VLOOKUP($A618,Pitchers!$A1:$S251,11,FALSE)-AVERAGE(Rankings!AJ2:AJ651))/STDEV(Rankings!AJ2:AJ651)*-1</f>
        <v>1.0677368416978297</v>
      </c>
      <c r="AD618" s="118">
        <f>(VLOOKUP($A618,Pitchers!$A1:$S251,12,FALSE)-AVERAGE(Rankings!AK2:AK651))/STDEV(Rankings!AK2:AK651)*-1</f>
        <v>0.34397307824832912</v>
      </c>
      <c r="AE618" s="118">
        <f>IFERROR((VLOOKUP($A618,Pitchers!$A1:$S251,13,FALSE)-AVERAGE(Rankings!AL2:AL651))/STDEV(Rankings!AL2:AL651)*-1,0)</f>
        <v>1.1607492400079344</v>
      </c>
      <c r="AF618" s="118">
        <f>(VLOOKUP($A618,Pitchers!$A1:$S251,14,FALSE)-AVERAGE(Rankings!AM2:AM651))/STDEV(Rankings!AM2:AM651)</f>
        <v>1.3722425143175636</v>
      </c>
      <c r="AG618" s="118">
        <f>(VLOOKUP($A618,Pitchers!$A1:$S251,15,FALSE)-AVERAGE(Rankings!AN2:AN651))/STDEV(Rankings!AN2:AN651)</f>
        <v>-1.2302545831997735</v>
      </c>
      <c r="AH618" s="118">
        <f>(VLOOKUP($A618,Pitchers!$A1:$S251,16,FALSE)-AVERAGE(Rankings!AO2:AO651))/STDEV(Rankings!AO2:AO651)*-1</f>
        <v>0.96698187618239873</v>
      </c>
      <c r="AI618" s="118">
        <f>IFERROR((VLOOKUP($A618,Pitchers!$A1:$S251,17,FALSE)-AVERAGE(Rankings!AP2:AP651))/STDEV(Rankings!AP2:AP651),0)</f>
        <v>-1.1136479910031813</v>
      </c>
      <c r="AJ618" s="118">
        <f>(VLOOKUP($A618,Pitchers!$A1:$S251,18,FALSE)-AVERAGE(Rankings!AQ2:AQ651))/STDEV(Rankings!AQ2:AQ651)</f>
        <v>1.7802123387040631</v>
      </c>
      <c r="AK618" s="118">
        <f>IFERROR((VLOOKUP($A618,Pitchers!$A1:$S251,19,FALSE)-AVERAGE(Rankings!AR2:AR651))/STDEV(Rankings!AR2:AR651)*-1,0)</f>
        <v>-0.94068736270870656</v>
      </c>
    </row>
    <row r="619" spans="1:37" ht="20.100000000000001" customHeight="1">
      <c r="A619" s="26" t="s">
        <v>570</v>
      </c>
      <c r="B619" s="27" t="s">
        <v>91</v>
      </c>
      <c r="C619" s="128" t="s">
        <v>34</v>
      </c>
      <c r="D619" s="67">
        <f>(V619*Settings!$G$2)+(Y619*Settings!$G$5)+(Z619*Settings!$G$6)+(AA619*Settings!$G$7)+(AB619*Settings!$G$8)+(AC619*Settings!$G$9)+(AD619*Settings!$G$10)+(AE619*Settings!$G$11)+(AF619*Settings!$G$12)+(AG619*Settings!$G$13)+(AH619*Settings!$G$14)+(AI619*Settings!$G$15)+(AJ619*Settings!$G$16)+(AK619*Settings!$G$17)+(W619*Settings!$G$3)+(X619*Settings!$G$4)</f>
        <v>-0.68850867139852356</v>
      </c>
      <c r="E619" s="67"/>
      <c r="F619" s="67"/>
      <c r="G619" s="67"/>
      <c r="H619" s="67"/>
      <c r="I619" s="67"/>
      <c r="J619" s="67"/>
      <c r="K619" s="72"/>
      <c r="L619" s="72"/>
      <c r="M619" s="67"/>
      <c r="N619" s="67"/>
      <c r="O619" s="67"/>
      <c r="P619" s="67"/>
      <c r="Q619" s="67"/>
      <c r="R619" s="72"/>
      <c r="S619" s="72"/>
      <c r="T619" s="67"/>
      <c r="U619" s="67"/>
      <c r="V619" s="118">
        <f>(VLOOKUP($A619,Pitchers!$A1:$S251,4,FALSE)-AVERAGE(Rankings!AC2:AC651))/STDEV(Rankings!AC2:AC651)</f>
        <v>-1.1649308821567594</v>
      </c>
      <c r="W619" s="118">
        <f>(VLOOKUP($A619,Pitchers!$A1:$S251,5,FALSE)-AVERAGE(Rankings!AD2:AD651))/STDEV(Rankings!AD2:AD651)*-1</f>
        <v>1.3974641111558035</v>
      </c>
      <c r="X619" s="118">
        <f>(VLOOKUP($A619,Pitchers!$A1:$S251,6,FALSE)-AVERAGE(Rankings!AE2:AE651))/STDEV(Rankings!AE2:AE651)*-1</f>
        <v>-0.6056051935464184</v>
      </c>
      <c r="Y619" s="118">
        <f>(VLOOKUP($A619,Pitchers!$A1:$S251,7,FALSE)-AVERAGE(Rankings!AF2:AF651))/STDEV(Rankings!AF2:AF651)</f>
        <v>-0.75568775269052713</v>
      </c>
      <c r="Z619" s="118">
        <f>(VLOOKUP($A619,Pitchers!$A1:$S251,8,FALSE)-AVERAGE(Rankings!AG2:AG651))/STDEV(Rankings!AG2:AG651)</f>
        <v>-0.8193063514876574</v>
      </c>
      <c r="AA619" s="118">
        <f>(VLOOKUP($A619,Pitchers!$A1:$S251,9,FALSE)-AVERAGE(Rankings!AH2:AH651))/STDEV(Rankings!AH2:AH651)</f>
        <v>9.4626515170275857E-2</v>
      </c>
      <c r="AB619" s="118">
        <f>(VLOOKUP($A619,Pitchers!$A1:$S251,10,FALSE)-AVERAGE(Rankings!AI2:AI651))/STDEV(Rankings!AI2:AI651)*-1</f>
        <v>1.2906994947542461</v>
      </c>
      <c r="AC619" s="118">
        <f>(VLOOKUP($A619,Pitchers!$A1:$S251,11,FALSE)-AVERAGE(Rankings!AJ2:AJ651))/STDEV(Rankings!AJ2:AJ651)*-1</f>
        <v>1.2718013714818979</v>
      </c>
      <c r="AD619" s="118">
        <f>(VLOOKUP($A619,Pitchers!$A1:$S251,12,FALSE)-AVERAGE(Rankings!AK2:AK651))/STDEV(Rankings!AK2:AK651)*-1</f>
        <v>0.4290789498509589</v>
      </c>
      <c r="AE619" s="118">
        <f>IFERROR((VLOOKUP($A619,Pitchers!$A1:$S251,13,FALSE)-AVERAGE(Rankings!AL2:AL651))/STDEV(Rankings!AL2:AL651)*-1,0)</f>
        <v>1.4505124643770713</v>
      </c>
      <c r="AF619" s="118">
        <f>(VLOOKUP($A619,Pitchers!$A1:$S251,14,FALSE)-AVERAGE(Rankings!AM2:AM651))/STDEV(Rankings!AM2:AM651)</f>
        <v>1.3155652813934757</v>
      </c>
      <c r="AG619" s="118">
        <f>(VLOOKUP($A619,Pitchers!$A1:$S251,15,FALSE)-AVERAGE(Rankings!AN2:AN651))/STDEV(Rankings!AN2:AN651)</f>
        <v>-1.2302545831997735</v>
      </c>
      <c r="AH619" s="118">
        <f>(VLOOKUP($A619,Pitchers!$A1:$S251,16,FALSE)-AVERAGE(Rankings!AO2:AO651))/STDEV(Rankings!AO2:AO651)*-1</f>
        <v>1.4226941315203092</v>
      </c>
      <c r="AI619" s="118">
        <f>IFERROR((VLOOKUP($A619,Pitchers!$A1:$S251,17,FALSE)-AVERAGE(Rankings!AP2:AP651))/STDEV(Rankings!AP2:AP651),0)</f>
        <v>-1.1136479910031813</v>
      </c>
      <c r="AJ619" s="118">
        <f>(VLOOKUP($A619,Pitchers!$A1:$S251,18,FALSE)-AVERAGE(Rankings!AQ2:AQ651))/STDEV(Rankings!AQ2:AQ651)</f>
        <v>2.1793942342205885</v>
      </c>
      <c r="AK619" s="118">
        <f>IFERROR((VLOOKUP($A619,Pitchers!$A1:$S251,19,FALSE)-AVERAGE(Rankings!AR2:AR651))/STDEV(Rankings!AR2:AR651)*-1,0)</f>
        <v>4.3471587989350928E-3</v>
      </c>
    </row>
    <row r="620" spans="1:37" ht="20.100000000000001" customHeight="1">
      <c r="A620" s="26" t="s">
        <v>517</v>
      </c>
      <c r="B620" s="27" t="s">
        <v>68</v>
      </c>
      <c r="C620" s="128" t="s">
        <v>34</v>
      </c>
      <c r="D620" s="67">
        <f>(V620*Settings!$G$2)+(Y620*Settings!$G$5)+(Z620*Settings!$G$6)+(AA620*Settings!$G$7)+(AB620*Settings!$G$8)+(AC620*Settings!$G$9)+(AD620*Settings!$G$10)+(AE620*Settings!$G$11)+(AF620*Settings!$G$12)+(AG620*Settings!$G$13)+(AH620*Settings!$G$14)+(AI620*Settings!$G$15)+(AJ620*Settings!$G$16)+(AK620*Settings!$G$17)+(W620*Settings!$G$3)+(X620*Settings!$G$4)</f>
        <v>-0.41266226988546084</v>
      </c>
      <c r="E620" s="67"/>
      <c r="F620" s="67"/>
      <c r="G620" s="67"/>
      <c r="H620" s="67"/>
      <c r="I620" s="67"/>
      <c r="J620" s="67"/>
      <c r="K620" s="72"/>
      <c r="L620" s="72"/>
      <c r="M620" s="67"/>
      <c r="N620" s="67"/>
      <c r="O620" s="67"/>
      <c r="P620" s="67"/>
      <c r="Q620" s="67"/>
      <c r="R620" s="72"/>
      <c r="S620" s="72"/>
      <c r="T620" s="67"/>
      <c r="U620" s="67"/>
      <c r="V620" s="118">
        <f>(VLOOKUP($A620,Pitchers!$A1:$S251,4,FALSE)-AVERAGE(Rankings!AC2:AC651))/STDEV(Rankings!AC2:AC651)</f>
        <v>-1.1120152448834879</v>
      </c>
      <c r="W620" s="118">
        <f>(VLOOKUP($A620,Pitchers!$A1:$S251,5,FALSE)-AVERAGE(Rankings!AD2:AD651))/STDEV(Rankings!AD2:AD651)*-1</f>
        <v>0.911771387508169</v>
      </c>
      <c r="X620" s="118">
        <f>(VLOOKUP($A620,Pitchers!$A1:$S251,6,FALSE)-AVERAGE(Rankings!AE2:AE651))/STDEV(Rankings!AE2:AE651)*-1</f>
        <v>0.56718989609582138</v>
      </c>
      <c r="Y620" s="118">
        <f>(VLOOKUP($A620,Pitchers!$A1:$S251,7,FALSE)-AVERAGE(Rankings!AF2:AF651))/STDEV(Rankings!AF2:AF651)</f>
        <v>-0.95331898234228396</v>
      </c>
      <c r="Z620" s="118">
        <f>(VLOOKUP($A620,Pitchers!$A1:$S251,8,FALSE)-AVERAGE(Rankings!AG2:AG651))/STDEV(Rankings!AG2:AG651)</f>
        <v>-0.84293929720620731</v>
      </c>
      <c r="AA620" s="118">
        <f>(VLOOKUP($A620,Pitchers!$A1:$S251,9,FALSE)-AVERAGE(Rankings!AH2:AH651))/STDEV(Rankings!AH2:AH651)</f>
        <v>-9.5365273940959852E-2</v>
      </c>
      <c r="AB620" s="118">
        <f>(VLOOKUP($A620,Pitchers!$A1:$S251,10,FALSE)-AVERAGE(Rankings!AI2:AI651))/STDEV(Rankings!AI2:AI651)*-1</f>
        <v>1.1838370377940772</v>
      </c>
      <c r="AC620" s="118">
        <f>(VLOOKUP($A620,Pitchers!$A1:$S251,11,FALSE)-AVERAGE(Rankings!AJ2:AJ651))/STDEV(Rankings!AJ2:AJ651)*-1</f>
        <v>1.113805651289977</v>
      </c>
      <c r="AD620" s="118">
        <f>(VLOOKUP($A620,Pitchers!$A1:$S251,12,FALSE)-AVERAGE(Rankings!AK2:AK651))/STDEV(Rankings!AK2:AK651)*-1</f>
        <v>1.1770361852284541</v>
      </c>
      <c r="AE620" s="118">
        <f>IFERROR((VLOOKUP($A620,Pitchers!$A1:$S251,13,FALSE)-AVERAGE(Rankings!AL2:AL651))/STDEV(Rankings!AL2:AL651)*-1,0)</f>
        <v>1.1607492400079344</v>
      </c>
      <c r="AF620" s="118">
        <f>(VLOOKUP($A620,Pitchers!$A1:$S251,14,FALSE)-AVERAGE(Rankings!AM2:AM651))/STDEV(Rankings!AM2:AM651)</f>
        <v>0.6146804497459768</v>
      </c>
      <c r="AG620" s="118">
        <f>(VLOOKUP($A620,Pitchers!$A1:$S251,15,FALSE)-AVERAGE(Rankings!AN2:AN651))/STDEV(Rankings!AN2:AN651)</f>
        <v>-1.226817025815762</v>
      </c>
      <c r="AH620" s="118">
        <f>(VLOOKUP($A620,Pitchers!$A1:$S251,16,FALSE)-AVERAGE(Rankings!AO2:AO651))/STDEV(Rankings!AO2:AO651)*-1</f>
        <v>1.2337402695509316</v>
      </c>
      <c r="AI620" s="118">
        <f>IFERROR((VLOOKUP($A620,Pitchers!$A1:$S251,17,FALSE)-AVERAGE(Rankings!AP2:AP651))/STDEV(Rankings!AP2:AP651),0)</f>
        <v>-1.1136479910031813</v>
      </c>
      <c r="AJ620" s="118">
        <f>(VLOOKUP($A620,Pitchers!$A1:$S251,18,FALSE)-AVERAGE(Rankings!AQ2:AQ651))/STDEV(Rankings!AQ2:AQ651)</f>
        <v>1.2213576849809278</v>
      </c>
      <c r="AK620" s="118">
        <f>IFERROR((VLOOKUP($A620,Pitchers!$A1:$S251,19,FALSE)-AVERAGE(Rankings!AR2:AR651))/STDEV(Rankings!AR2:AR651)*-1,0)</f>
        <v>0.47686441955275594</v>
      </c>
    </row>
    <row r="621" spans="1:37" ht="20.100000000000001" customHeight="1">
      <c r="A621" s="26" t="s">
        <v>505</v>
      </c>
      <c r="B621" s="27" t="s">
        <v>114</v>
      </c>
      <c r="C621" s="128" t="s">
        <v>34</v>
      </c>
      <c r="D621" s="67">
        <f>(V621*Settings!$G$2)+(Y621*Settings!$G$5)+(Z621*Settings!$G$6)+(AA621*Settings!$G$7)+(AB621*Settings!$G$8)+(AC621*Settings!$G$9)+(AD621*Settings!$G$10)+(AE621*Settings!$G$11)+(AF621*Settings!$G$12)+(AG621*Settings!$G$13)+(AH621*Settings!$G$14)+(AI621*Settings!$G$15)+(AJ621*Settings!$G$16)+(AK621*Settings!$G$17)+(W621*Settings!$G$3)+(X621*Settings!$G$4)</f>
        <v>-1.5763818876257787</v>
      </c>
      <c r="E621" s="67"/>
      <c r="F621" s="67"/>
      <c r="G621" s="67"/>
      <c r="H621" s="67"/>
      <c r="I621" s="67"/>
      <c r="J621" s="67"/>
      <c r="K621" s="72"/>
      <c r="L621" s="72"/>
      <c r="M621" s="67"/>
      <c r="N621" s="67"/>
      <c r="O621" s="67"/>
      <c r="P621" s="67"/>
      <c r="Q621" s="67"/>
      <c r="R621" s="72"/>
      <c r="S621" s="72"/>
      <c r="T621" s="67"/>
      <c r="U621" s="67"/>
      <c r="V621" s="118">
        <f>(VLOOKUP($A621,Pitchers!$A1:$S251,4,FALSE)-AVERAGE(Rankings!AC2:AC651))/STDEV(Rankings!AC2:AC651)</f>
        <v>-1.0866340647541437</v>
      </c>
      <c r="W621" s="118">
        <f>(VLOOKUP($A621,Pitchers!$A1:$S251,5,FALSE)-AVERAGE(Rankings!AD2:AD651))/STDEV(Rankings!AD2:AD651)*-1</f>
        <v>-0.15129895777186531</v>
      </c>
      <c r="X621" s="118">
        <f>(VLOOKUP($A621,Pitchers!$A1:$S251,6,FALSE)-AVERAGE(Rankings!AE2:AE651))/STDEV(Rankings!AE2:AE651)*-1</f>
        <v>0.46130279276637248</v>
      </c>
      <c r="Y621" s="118">
        <f>(VLOOKUP($A621,Pitchers!$A1:$S251,7,FALSE)-AVERAGE(Rankings!AF2:AF651))/STDEV(Rankings!AF2:AF651)</f>
        <v>-1.1293045510939019</v>
      </c>
      <c r="Z621" s="118">
        <f>(VLOOKUP($A621,Pitchers!$A1:$S251,8,FALSE)-AVERAGE(Rankings!AG2:AG651))/STDEV(Rankings!AG2:AG651)</f>
        <v>-0.99309692510502146</v>
      </c>
      <c r="AA621" s="118">
        <f>(VLOOKUP($A621,Pitchers!$A1:$S251,9,FALSE)-AVERAGE(Rankings!AH2:AH651))/STDEV(Rankings!AH2:AH651)</f>
        <v>0.2360157535786373</v>
      </c>
      <c r="AB621" s="118">
        <f>(VLOOKUP($A621,Pitchers!$A1:$S251,10,FALSE)-AVERAGE(Rankings!AI2:AI651))/STDEV(Rankings!AI2:AI651)*-1</f>
        <v>1.0163751285520231</v>
      </c>
      <c r="AC621" s="118">
        <f>(VLOOKUP($A621,Pitchers!$A1:$S251,11,FALSE)-AVERAGE(Rankings!AJ2:AJ651))/STDEV(Rankings!AJ2:AJ651)*-1</f>
        <v>1.0166882581180068</v>
      </c>
      <c r="AD621" s="118">
        <f>(VLOOKUP($A621,Pitchers!$A1:$S251,12,FALSE)-AVERAGE(Rankings!AK2:AK651))/STDEV(Rankings!AK2:AK651)*-1</f>
        <v>1.3565993584620724</v>
      </c>
      <c r="AE621" s="118">
        <f>IFERROR((VLOOKUP($A621,Pitchers!$A1:$S251,13,FALSE)-AVERAGE(Rankings!AL2:AL651))/STDEV(Rankings!AL2:AL651)*-1,0)</f>
        <v>0.87098601563879752</v>
      </c>
      <c r="AF621" s="118">
        <f>(VLOOKUP($A621,Pitchers!$A1:$S251,14,FALSE)-AVERAGE(Rankings!AM2:AM651))/STDEV(Rankings!AM2:AM651)</f>
        <v>0.88694370740506268</v>
      </c>
      <c r="AG621" s="118">
        <f>(VLOOKUP($A621,Pitchers!$A1:$S251,15,FALSE)-AVERAGE(Rankings!AN2:AN651))/STDEV(Rankings!AN2:AN651)</f>
        <v>-1.1486125953294968</v>
      </c>
      <c r="AH621" s="118">
        <f>(VLOOKUP($A621,Pitchers!$A1:$S251,16,FALSE)-AVERAGE(Rankings!AO2:AO651))/STDEV(Rankings!AO2:AO651)*-1</f>
        <v>0.9171563142026441</v>
      </c>
      <c r="AI621" s="118">
        <f>IFERROR((VLOOKUP($A621,Pitchers!$A1:$S251,17,FALSE)-AVERAGE(Rankings!AP2:AP651))/STDEV(Rankings!AP2:AP651),0)</f>
        <v>-1.1136479910031813</v>
      </c>
      <c r="AJ621" s="118">
        <f>(VLOOKUP($A621,Pitchers!$A1:$S251,18,FALSE)-AVERAGE(Rankings!AQ2:AQ651))/STDEV(Rankings!AQ2:AQ651)</f>
        <v>0.98184854767101259</v>
      </c>
      <c r="AK621" s="118">
        <f>IFERROR((VLOOKUP($A621,Pitchers!$A1:$S251,19,FALSE)-AVERAGE(Rankings!AR2:AR651))/STDEV(Rankings!AR2:AR651)*-1,0)</f>
        <v>4.3471587989350928E-3</v>
      </c>
    </row>
    <row r="622" spans="1:37" ht="20.100000000000001" customHeight="1">
      <c r="A622" s="26" t="s">
        <v>502</v>
      </c>
      <c r="B622" s="27" t="s">
        <v>81</v>
      </c>
      <c r="C622" s="128" t="s">
        <v>34</v>
      </c>
      <c r="D622" s="67">
        <f>(V622*Settings!$G$2)+(Y622*Settings!$G$5)+(Z622*Settings!$G$6)+(AA622*Settings!$G$7)+(AB622*Settings!$G$8)+(AC622*Settings!$G$9)+(AD622*Settings!$G$10)+(AE622*Settings!$G$11)+(AF622*Settings!$G$12)+(AG622*Settings!$G$13)+(AH622*Settings!$G$14)+(AI622*Settings!$G$15)+(AJ622*Settings!$G$16)+(AK622*Settings!$G$17)+(W622*Settings!$G$3)+(X622*Settings!$G$4)</f>
        <v>-0.30836915750025484</v>
      </c>
      <c r="E622" s="67"/>
      <c r="F622" s="67"/>
      <c r="G622" s="67"/>
      <c r="H622" s="67"/>
      <c r="I622" s="67"/>
      <c r="J622" s="67"/>
      <c r="K622" s="72"/>
      <c r="L622" s="72"/>
      <c r="M622" s="67"/>
      <c r="N622" s="67"/>
      <c r="O622" s="67"/>
      <c r="P622" s="67"/>
      <c r="Q622" s="67"/>
      <c r="R622" s="72"/>
      <c r="S622" s="72"/>
      <c r="T622" s="67"/>
      <c r="U622" s="67"/>
      <c r="V622" s="118">
        <f>(VLOOKUP($A622,Pitchers!$A1:$S251,4,FALSE)-AVERAGE(Rankings!AC2:AC651))/STDEV(Rankings!AC2:AC651)</f>
        <v>-1.0820297170953006</v>
      </c>
      <c r="W622" s="118">
        <f>(VLOOKUP($A622,Pitchers!$A1:$S251,5,FALSE)-AVERAGE(Rankings!AD2:AD651))/STDEV(Rankings!AD2:AD651)*-1</f>
        <v>0.95278997495965123</v>
      </c>
      <c r="X622" s="118">
        <f>(VLOOKUP($A622,Pitchers!$A1:$S251,6,FALSE)-AVERAGE(Rankings!AE2:AE651))/STDEV(Rankings!AE2:AE651)*-1</f>
        <v>0.56465266915221002</v>
      </c>
      <c r="Y622" s="118">
        <f>(VLOOKUP($A622,Pitchers!$A1:$S251,7,FALSE)-AVERAGE(Rankings!AF2:AF651))/STDEV(Rankings!AF2:AF651)</f>
        <v>-1.2083664438931063</v>
      </c>
      <c r="Z622" s="118">
        <f>(VLOOKUP($A622,Pitchers!$A1:$S251,8,FALSE)-AVERAGE(Rankings!AG2:AG651))/STDEV(Rankings!AG2:AG651)</f>
        <v>-1.0139968090738072</v>
      </c>
      <c r="AA622" s="118">
        <f>(VLOOKUP($A622,Pitchers!$A1:$S251,9,FALSE)-AVERAGE(Rankings!AH2:AH651))/STDEV(Rankings!AH2:AH651)</f>
        <v>0.39655145135479775</v>
      </c>
      <c r="AB622" s="118">
        <f>(VLOOKUP($A622,Pitchers!$A1:$S251,10,FALSE)-AVERAGE(Rankings!AI2:AI651))/STDEV(Rankings!AI2:AI651)*-1</f>
        <v>1.1644655484505455</v>
      </c>
      <c r="AC622" s="118">
        <f>(VLOOKUP($A622,Pitchers!$A1:$S251,11,FALSE)-AVERAGE(Rankings!AJ2:AJ651))/STDEV(Rankings!AJ2:AJ651)*-1</f>
        <v>1.0162634432754563</v>
      </c>
      <c r="AD622" s="118">
        <f>(VLOOKUP($A622,Pitchers!$A1:$S251,12,FALSE)-AVERAGE(Rankings!AK2:AK651))/STDEV(Rankings!AK2:AK651)*-1</f>
        <v>1.3803315590382443</v>
      </c>
      <c r="AE622" s="118">
        <f>IFERROR((VLOOKUP($A622,Pitchers!$A1:$S251,13,FALSE)-AVERAGE(Rankings!AL2:AL651))/STDEV(Rankings!AL2:AL651)*-1,0)</f>
        <v>1.3056308521925029</v>
      </c>
      <c r="AF622" s="118">
        <f>(VLOOKUP($A622,Pitchers!$A1:$S251,14,FALSE)-AVERAGE(Rankings!AM2:AM651))/STDEV(Rankings!AM2:AM651)</f>
        <v>1.211420865895465</v>
      </c>
      <c r="AG622" s="118">
        <f>(VLOOKUP($A622,Pitchers!$A1:$S251,15,FALSE)-AVERAGE(Rankings!AN2:AN651))/STDEV(Rankings!AN2:AN651)</f>
        <v>-1.2276764151617647</v>
      </c>
      <c r="AH622" s="118">
        <f>(VLOOKUP($A622,Pitchers!$A1:$S251,16,FALSE)-AVERAGE(Rankings!AO2:AO651))/STDEV(Rankings!AO2:AO651)*-1</f>
        <v>1.0739151976620263</v>
      </c>
      <c r="AI622" s="118">
        <f>IFERROR((VLOOKUP($A622,Pitchers!$A1:$S251,17,FALSE)-AVERAGE(Rankings!AP2:AP651))/STDEV(Rankings!AP2:AP651),0)</f>
        <v>-1.1136479910031813</v>
      </c>
      <c r="AJ622" s="118">
        <f>(VLOOKUP($A622,Pitchers!$A1:$S251,18,FALSE)-AVERAGE(Rankings!AQ2:AQ651))/STDEV(Rankings!AQ2:AQ651)</f>
        <v>1.6205395804974529</v>
      </c>
      <c r="AK622" s="118">
        <f>IFERROR((VLOOKUP($A622,Pitchers!$A1:$S251,19,FALSE)-AVERAGE(Rankings!AR2:AR651))/STDEV(Rankings!AR2:AR651)*-1,0)</f>
        <v>-0.46817010195488579</v>
      </c>
    </row>
    <row r="623" spans="1:37" ht="20.100000000000001" customHeight="1">
      <c r="A623" s="26" t="s">
        <v>573</v>
      </c>
      <c r="B623" s="27" t="s">
        <v>101</v>
      </c>
      <c r="C623" s="128" t="s">
        <v>34</v>
      </c>
      <c r="D623" s="67">
        <f>(V623*Settings!$G$2)+(Y623*Settings!$G$5)+(Z623*Settings!$G$6)+(AA623*Settings!$G$7)+(AB623*Settings!$G$8)+(AC623*Settings!$G$9)+(AD623*Settings!$G$10)+(AE623*Settings!$G$11)+(AF623*Settings!$G$12)+(AG623*Settings!$G$13)+(AH623*Settings!$G$14)+(AI623*Settings!$G$15)+(AJ623*Settings!$G$16)+(AK623*Settings!$G$17)+(W623*Settings!$G$3)+(X623*Settings!$G$4)</f>
        <v>-1.9883687130620129</v>
      </c>
      <c r="E623" s="67"/>
      <c r="F623" s="67"/>
      <c r="G623" s="67"/>
      <c r="H623" s="67"/>
      <c r="I623" s="67"/>
      <c r="J623" s="67"/>
      <c r="K623" s="72"/>
      <c r="L623" s="72"/>
      <c r="M623" s="67"/>
      <c r="N623" s="67"/>
      <c r="O623" s="67"/>
      <c r="P623" s="67"/>
      <c r="Q623" s="67"/>
      <c r="R623" s="72"/>
      <c r="S623" s="72"/>
      <c r="T623" s="67"/>
      <c r="U623" s="67"/>
      <c r="V623" s="118">
        <f>(VLOOKUP($A623,Pitchers!$A1:$S251,4,FALSE)-AVERAGE(Rankings!AC2:AC651))/STDEV(Rankings!AC2:AC651)</f>
        <v>-1.200620303313364</v>
      </c>
      <c r="W623" s="118">
        <f>(VLOOKUP($A623,Pitchers!$A1:$S251,5,FALSE)-AVERAGE(Rankings!AD2:AD651))/STDEV(Rankings!AD2:AD651)*-1</f>
        <v>-3.3874492087774689E-2</v>
      </c>
      <c r="X623" s="118">
        <f>(VLOOKUP($A623,Pitchers!$A1:$S251,6,FALSE)-AVERAGE(Rankings!AE2:AE651))/STDEV(Rankings!AE2:AE651)*-1</f>
        <v>0.27401590768604933</v>
      </c>
      <c r="Y623" s="118">
        <f>(VLOOKUP($A623,Pitchers!$A1:$S251,7,FALSE)-AVERAGE(Rankings!AF2:AF651))/STDEV(Rankings!AF2:AF651)</f>
        <v>-1.0782339526834763</v>
      </c>
      <c r="Z623" s="118">
        <f>(VLOOKUP($A623,Pitchers!$A1:$S251,8,FALSE)-AVERAGE(Rankings!AG2:AG651))/STDEV(Rankings!AG2:AG651)</f>
        <v>-1.096149429904957</v>
      </c>
      <c r="AA623" s="118">
        <f>(VLOOKUP($A623,Pitchers!$A1:$S251,9,FALSE)-AVERAGE(Rankings!AH2:AH651))/STDEV(Rankings!AH2:AH651)</f>
        <v>-5.4126746071854331E-2</v>
      </c>
      <c r="AB623" s="118">
        <f>(VLOOKUP($A623,Pitchers!$A1:$S251,10,FALSE)-AVERAGE(Rankings!AI2:AI651))/STDEV(Rankings!AI2:AI651)*-1</f>
        <v>1.1394550563829315</v>
      </c>
      <c r="AC623" s="118">
        <f>(VLOOKUP($A623,Pitchers!$A1:$S251,11,FALSE)-AVERAGE(Rankings!AJ2:AJ651))/STDEV(Rankings!AJ2:AJ651)*-1</f>
        <v>1.2223222427370533</v>
      </c>
      <c r="AD623" s="118">
        <f>(VLOOKUP($A623,Pitchers!$A1:$S251,12,FALSE)-AVERAGE(Rankings!AK2:AK651))/STDEV(Rankings!AK2:AK651)*-1</f>
        <v>1.0663906938004746</v>
      </c>
      <c r="AE623" s="118">
        <f>IFERROR((VLOOKUP($A623,Pitchers!$A1:$S251,13,FALSE)-AVERAGE(Rankings!AL2:AL651))/STDEV(Rankings!AL2:AL651)*-1,0)</f>
        <v>0.8758154027116164</v>
      </c>
      <c r="AF623" s="118">
        <f>(VLOOKUP($A623,Pitchers!$A1:$S251,14,FALSE)-AVERAGE(Rankings!AM2:AM651))/STDEV(Rankings!AM2:AM651)</f>
        <v>1.1975349438290637</v>
      </c>
      <c r="AG623" s="118">
        <f>(VLOOKUP($A623,Pitchers!$A1:$S251,15,FALSE)-AVERAGE(Rankings!AN2:AN651))/STDEV(Rankings!AN2:AN651)</f>
        <v>-1.2302545831997735</v>
      </c>
      <c r="AH623" s="118">
        <f>(VLOOKUP($A623,Pitchers!$A1:$S251,16,FALSE)-AVERAGE(Rankings!AO2:AO651))/STDEV(Rankings!AO2:AO651)*-1</f>
        <v>1.1731830480678453</v>
      </c>
      <c r="AI623" s="118">
        <f>IFERROR((VLOOKUP($A623,Pitchers!$A1:$S251,17,FALSE)-AVERAGE(Rankings!AP2:AP651))/STDEV(Rankings!AP2:AP651),0)</f>
        <v>-1.1136479910031813</v>
      </c>
      <c r="AJ623" s="118">
        <f>(VLOOKUP($A623,Pitchers!$A1:$S251,18,FALSE)-AVERAGE(Rankings!AQ2:AQ651))/STDEV(Rankings!AQ2:AQ651)</f>
        <v>2.7382488879437239</v>
      </c>
      <c r="AK623" s="118">
        <f>IFERROR((VLOOKUP($A623,Pitchers!$A1:$S251,19,FALSE)-AVERAGE(Rankings!AR2:AR651))/STDEV(Rankings!AR2:AR651)*-1,0)</f>
        <v>-0.46817010195488579</v>
      </c>
    </row>
    <row r="624" spans="1:37" ht="20.100000000000001" customHeight="1">
      <c r="A624" s="26" t="s">
        <v>530</v>
      </c>
      <c r="B624" s="27" t="s">
        <v>120</v>
      </c>
      <c r="C624" s="128" t="s">
        <v>34</v>
      </c>
      <c r="D624" s="67">
        <f>(V624*Settings!$G$2)+(Y624*Settings!$G$5)+(Z624*Settings!$G$6)+(AA624*Settings!$G$7)+(AB624*Settings!$G$8)+(AC624*Settings!$G$9)+(AD624*Settings!$G$10)+(AE624*Settings!$G$11)+(AF624*Settings!$G$12)+(AG624*Settings!$G$13)+(AH624*Settings!$G$14)+(AI624*Settings!$G$15)+(AJ624*Settings!$G$16)+(AK624*Settings!$G$17)+(W624*Settings!$G$3)+(X624*Settings!$G$4)</f>
        <v>-0.83689593109175697</v>
      </c>
      <c r="E624" s="67"/>
      <c r="F624" s="67"/>
      <c r="G624" s="67"/>
      <c r="H624" s="67"/>
      <c r="I624" s="67"/>
      <c r="J624" s="67"/>
      <c r="K624" s="72"/>
      <c r="L624" s="72"/>
      <c r="M624" s="67"/>
      <c r="N624" s="67"/>
      <c r="O624" s="67"/>
      <c r="P624" s="67"/>
      <c r="Q624" s="67"/>
      <c r="R624" s="72"/>
      <c r="S624" s="72"/>
      <c r="T624" s="67"/>
      <c r="U624" s="67"/>
      <c r="V624" s="118">
        <f>(VLOOKUP($A624,Pitchers!$A1:$S251,4,FALSE)-AVERAGE(Rankings!AC2:AC651))/STDEV(Rankings!AC2:AC651)</f>
        <v>-1.1045704041415774</v>
      </c>
      <c r="W624" s="118">
        <f>(VLOOKUP($A624,Pitchers!$A1:$S251,5,FALSE)-AVERAGE(Rankings!AD2:AD651))/STDEV(Rankings!AD2:AD651)*-1</f>
        <v>0.81835611290944177</v>
      </c>
      <c r="X624" s="118">
        <f>(VLOOKUP($A624,Pitchers!$A1:$S251,6,FALSE)-AVERAGE(Rankings!AE2:AE651))/STDEV(Rankings!AE2:AE651)*-1</f>
        <v>0.14763975371383461</v>
      </c>
      <c r="Y624" s="118">
        <f>(VLOOKUP($A624,Pitchers!$A1:$S251,7,FALSE)-AVERAGE(Rankings!AF2:AF651))/STDEV(Rankings!AF2:AF651)</f>
        <v>-1.0919828252421966</v>
      </c>
      <c r="Z624" s="118">
        <f>(VLOOKUP($A624,Pitchers!$A1:$S251,8,FALSE)-AVERAGE(Rankings!AG2:AG651))/STDEV(Rankings!AG2:AG651)</f>
        <v>-1.1133516420946497</v>
      </c>
      <c r="AA624" s="118">
        <f>(VLOOKUP($A624,Pitchers!$A1:$S251,9,FALSE)-AVERAGE(Rankings!AH2:AH651))/STDEV(Rankings!AH2:AH651)</f>
        <v>0.4024426696218128</v>
      </c>
      <c r="AB624" s="118">
        <f>(VLOOKUP($A624,Pitchers!$A1:$S251,10,FALSE)-AVERAGE(Rankings!AI2:AI651))/STDEV(Rankings!AI2:AI651)*-1</f>
        <v>1.1649505474226673</v>
      </c>
      <c r="AC624" s="118">
        <f>(VLOOKUP($A624,Pitchers!$A1:$S251,11,FALSE)-AVERAGE(Rankings!AJ2:AJ651))/STDEV(Rankings!AJ2:AJ651)*-1</f>
        <v>1.0545675815787632</v>
      </c>
      <c r="AD624" s="118">
        <f>(VLOOKUP($A624,Pitchers!$A1:$S251,12,FALSE)-AVERAGE(Rankings!AK2:AK651))/STDEV(Rankings!AK2:AK651)*-1</f>
        <v>1.1810046492320856</v>
      </c>
      <c r="AE624" s="118">
        <f>IFERROR((VLOOKUP($A624,Pitchers!$A1:$S251,13,FALSE)-AVERAGE(Rankings!AL2:AL651))/STDEV(Rankings!AL2:AL651)*-1,0)</f>
        <v>1.1655786270807533</v>
      </c>
      <c r="AF624" s="118">
        <f>(VLOOKUP($A624,Pitchers!$A1:$S251,14,FALSE)-AVERAGE(Rankings!AM2:AM651))/STDEV(Rankings!AM2:AM651)</f>
        <v>1.4260858855954472</v>
      </c>
      <c r="AG624" s="118">
        <f>(VLOOKUP($A624,Pitchers!$A1:$S251,15,FALSE)-AVERAGE(Rankings!AN2:AN651))/STDEV(Rankings!AN2:AN651)</f>
        <v>-1.2302545831997735</v>
      </c>
      <c r="AH624" s="118">
        <f>(VLOOKUP($A624,Pitchers!$A1:$S251,16,FALSE)-AVERAGE(Rankings!AO2:AO651))/STDEV(Rankings!AO2:AO651)*-1</f>
        <v>1.0716155563398837</v>
      </c>
      <c r="AI624" s="118">
        <f>IFERROR((VLOOKUP($A624,Pitchers!$A1:$S251,17,FALSE)-AVERAGE(Rankings!AP2:AP651))/STDEV(Rankings!AP2:AP651),0)</f>
        <v>-1.1136479910031813</v>
      </c>
      <c r="AJ624" s="118">
        <f>(VLOOKUP($A624,Pitchers!$A1:$S251,18,FALSE)-AVERAGE(Rankings!AQ2:AQ651))/STDEV(Rankings!AQ2:AQ651)</f>
        <v>2.2592306133238935</v>
      </c>
      <c r="AK624" s="118">
        <f>IFERROR((VLOOKUP($A624,Pitchers!$A1:$S251,19,FALSE)-AVERAGE(Rankings!AR2:AR651))/STDEV(Rankings!AR2:AR651)*-1,0)</f>
        <v>-0.94068736270870656</v>
      </c>
    </row>
    <row r="625" spans="1:37" ht="20.100000000000001" customHeight="1">
      <c r="A625" s="26" t="s">
        <v>533</v>
      </c>
      <c r="B625" s="27" t="s">
        <v>94</v>
      </c>
      <c r="C625" s="128" t="s">
        <v>34</v>
      </c>
      <c r="D625" s="67">
        <f>(V625*Settings!$G$2)+(Y625*Settings!$G$5)+(Z625*Settings!$G$6)+(AA625*Settings!$G$7)+(AB625*Settings!$G$8)+(AC625*Settings!$G$9)+(AD625*Settings!$G$10)+(AE625*Settings!$G$11)+(AF625*Settings!$G$12)+(AG625*Settings!$G$13)+(AH625*Settings!$G$14)+(AI625*Settings!$G$15)+(AJ625*Settings!$G$16)+(AK625*Settings!$G$17)+(W625*Settings!$G$3)+(X625*Settings!$G$4)</f>
        <v>-2.437634309724531</v>
      </c>
      <c r="E625" s="67"/>
      <c r="F625" s="67"/>
      <c r="G625" s="67"/>
      <c r="H625" s="67"/>
      <c r="I625" s="67"/>
      <c r="J625" s="67"/>
      <c r="K625" s="72"/>
      <c r="L625" s="72"/>
      <c r="M625" s="67"/>
      <c r="N625" s="67"/>
      <c r="O625" s="67"/>
      <c r="P625" s="67"/>
      <c r="Q625" s="67"/>
      <c r="R625" s="72"/>
      <c r="S625" s="72"/>
      <c r="T625" s="67"/>
      <c r="U625" s="67"/>
      <c r="V625" s="118">
        <f>(VLOOKUP($A625,Pitchers!$A1:$S251,4,FALSE)-AVERAGE(Rankings!AC2:AC651))/STDEV(Rankings!AC2:AC651)</f>
        <v>-1.0807698209697465</v>
      </c>
      <c r="W625" s="118">
        <f>(VLOOKUP($A625,Pitchers!$A1:$S251,5,FALSE)-AVERAGE(Rankings!AD2:AD651))/STDEV(Rankings!AD2:AD651)*-1</f>
        <v>6.7675517512931299E-2</v>
      </c>
      <c r="X625" s="118">
        <f>(VLOOKUP($A625,Pitchers!$A1:$S251,6,FALSE)-AVERAGE(Rankings!AE2:AE651))/STDEV(Rankings!AE2:AE651)*-1</f>
        <v>4.3102282969507124E-3</v>
      </c>
      <c r="Y625" s="118">
        <f>(VLOOKUP($A625,Pitchers!$A1:$S251,7,FALSE)-AVERAGE(Rankings!AF2:AF651))/STDEV(Rankings!AF2:AF651)</f>
        <v>-1.1252974010575572</v>
      </c>
      <c r="Z625" s="118">
        <f>(VLOOKUP($A625,Pitchers!$A1:$S251,8,FALSE)-AVERAGE(Rankings!AG2:AG651))/STDEV(Rankings!AG2:AG651)</f>
        <v>-1.1033840051249211</v>
      </c>
      <c r="AA625" s="118">
        <f>(VLOOKUP($A625,Pitchers!$A1:$S251,9,FALSE)-AVERAGE(Rankings!AH2:AH651))/STDEV(Rankings!AH2:AH651)</f>
        <v>-0.28093864935193424</v>
      </c>
      <c r="AB625" s="118">
        <f>(VLOOKUP($A625,Pitchers!$A1:$S251,10,FALSE)-AVERAGE(Rankings!AI2:AI651))/STDEV(Rankings!AI2:AI651)*-1</f>
        <v>1.0410683885875573</v>
      </c>
      <c r="AC625" s="118">
        <f>(VLOOKUP($A625,Pitchers!$A1:$S251,11,FALSE)-AVERAGE(Rankings!AJ2:AJ651))/STDEV(Rankings!AJ2:AJ651)*-1</f>
        <v>1.0246889376527086</v>
      </c>
      <c r="AD625" s="118">
        <f>(VLOOKUP($A625,Pitchers!$A1:$S251,12,FALSE)-AVERAGE(Rankings!AK2:AK651))/STDEV(Rankings!AK2:AK651)*-1</f>
        <v>1.1248567773391229</v>
      </c>
      <c r="AE625" s="118">
        <f>IFERROR((VLOOKUP($A625,Pitchers!$A1:$S251,13,FALSE)-AVERAGE(Rankings!AL2:AL651))/STDEV(Rankings!AL2:AL651)*-1,0)</f>
        <v>0.8758154027116164</v>
      </c>
      <c r="AF625" s="118">
        <f>(VLOOKUP($A625,Pitchers!$A1:$S251,14,FALSE)-AVERAGE(Rankings!AM2:AM651))/STDEV(Rankings!AM2:AM651)</f>
        <v>1.4419555108141915</v>
      </c>
      <c r="AG625" s="118">
        <f>(VLOOKUP($A625,Pitchers!$A1:$S251,15,FALSE)-AVERAGE(Rankings!AN2:AN651))/STDEV(Rankings!AN2:AN651)</f>
        <v>-1.2302545831997735</v>
      </c>
      <c r="AH625" s="118">
        <f>(VLOOKUP($A625,Pitchers!$A1:$S251,16,FALSE)-AVERAGE(Rankings!AO2:AO651))/STDEV(Rankings!AO2:AO651)*-1</f>
        <v>1.0628002646050041</v>
      </c>
      <c r="AI625" s="118">
        <f>IFERROR((VLOOKUP($A625,Pitchers!$A1:$S251,17,FALSE)-AVERAGE(Rankings!AP2:AP651))/STDEV(Rankings!AP2:AP651),0)</f>
        <v>-1.1136479910031813</v>
      </c>
      <c r="AJ625" s="118">
        <f>(VLOOKUP($A625,Pitchers!$A1:$S251,18,FALSE)-AVERAGE(Rankings!AQ2:AQ651))/STDEV(Rankings!AQ2:AQ651)</f>
        <v>2.4189033715305035</v>
      </c>
      <c r="AK625" s="118">
        <f>IFERROR((VLOOKUP($A625,Pitchers!$A1:$S251,19,FALSE)-AVERAGE(Rankings!AR2:AR651))/STDEV(Rankings!AR2:AR651)*-1,0)</f>
        <v>4.3471587989350928E-3</v>
      </c>
    </row>
    <row r="626" spans="1:37" ht="20.100000000000001" customHeight="1">
      <c r="A626" s="26" t="s">
        <v>595</v>
      </c>
      <c r="B626" s="27" t="s">
        <v>117</v>
      </c>
      <c r="C626" s="128" t="s">
        <v>34</v>
      </c>
      <c r="D626" s="67">
        <f>(V626*Settings!$G$2)+(Y626*Settings!$G$5)+(Z626*Settings!$G$6)+(AA626*Settings!$G$7)+(AB626*Settings!$G$8)+(AC626*Settings!$G$9)+(AD626*Settings!$G$10)+(AE626*Settings!$G$11)+(AF626*Settings!$G$12)+(AG626*Settings!$G$13)+(AH626*Settings!$G$14)+(AI626*Settings!$G$15)+(AJ626*Settings!$G$16)+(AK626*Settings!$G$17)+(W626*Settings!$G$3)+(X626*Settings!$G$4)</f>
        <v>-3.3822824803339611</v>
      </c>
      <c r="E626" s="67"/>
      <c r="F626" s="67"/>
      <c r="G626" s="67"/>
      <c r="H626" s="67"/>
      <c r="I626" s="67"/>
      <c r="J626" s="67"/>
      <c r="K626" s="72"/>
      <c r="L626" s="72"/>
      <c r="M626" s="67"/>
      <c r="N626" s="67"/>
      <c r="O626" s="67"/>
      <c r="P626" s="67"/>
      <c r="Q626" s="67"/>
      <c r="R626" s="72"/>
      <c r="S626" s="72"/>
      <c r="T626" s="67"/>
      <c r="U626" s="67"/>
      <c r="V626" s="118">
        <f>(VLOOKUP($A626,Pitchers!$A1:$S251,4,FALSE)-AVERAGE(Rankings!AC2:AC651))/STDEV(Rankings!AC2:AC651)</f>
        <v>-1.3107581318890735</v>
      </c>
      <c r="W626" s="118">
        <f>(VLOOKUP($A626,Pitchers!$A1:$S251,5,FALSE)-AVERAGE(Rankings!AD2:AD651))/STDEV(Rankings!AD2:AD651)*-1</f>
        <v>-3.0813612218140031E-2</v>
      </c>
      <c r="X626" s="118">
        <f>(VLOOKUP($A626,Pitchers!$A1:$S251,6,FALSE)-AVERAGE(Rankings!AE2:AE651))/STDEV(Rankings!AE2:AE651)*-1</f>
        <v>-1.5918970368326675</v>
      </c>
      <c r="Y626" s="118">
        <f>(VLOOKUP($A626,Pitchers!$A1:$S251,7,FALSE)-AVERAGE(Rankings!AF2:AF651))/STDEV(Rankings!AF2:AF651)</f>
        <v>-1.0965187780692616</v>
      </c>
      <c r="Z626" s="118">
        <f>(VLOOKUP($A626,Pitchers!$A1:$S251,8,FALSE)-AVERAGE(Rankings!AG2:AG651))/STDEV(Rankings!AG2:AG651)</f>
        <v>-1.1082070552715642</v>
      </c>
      <c r="AA626" s="118">
        <f>(VLOOKUP($A626,Pitchers!$A1:$S251,9,FALSE)-AVERAGE(Rankings!AH2:AH651))/STDEV(Rankings!AH2:AH651)</f>
        <v>0.44515400205767192</v>
      </c>
      <c r="AB626" s="118">
        <f>(VLOOKUP($A626,Pitchers!$A1:$S251,10,FALSE)-AVERAGE(Rankings!AI2:AI651))/STDEV(Rankings!AI2:AI651)*-1</f>
        <v>1.2431146899422965</v>
      </c>
      <c r="AC626" s="118">
        <f>(VLOOKUP($A626,Pitchers!$A1:$S251,11,FALSE)-AVERAGE(Rankings!AJ2:AJ651))/STDEV(Rankings!AJ2:AJ651)*-1</f>
        <v>1.3448341231637111</v>
      </c>
      <c r="AD626" s="118">
        <f>(VLOOKUP($A626,Pitchers!$A1:$S251,12,FALSE)-AVERAGE(Rankings!AK2:AK651))/STDEV(Rankings!AK2:AK651)*-1</f>
        <v>0.504990558316462</v>
      </c>
      <c r="AE626" s="118">
        <f>IFERROR((VLOOKUP($A626,Pitchers!$A1:$S251,13,FALSE)-AVERAGE(Rankings!AL2:AL651))/STDEV(Rankings!AL2:AL651)*-1,0)</f>
        <v>1.2669957556099514</v>
      </c>
      <c r="AF626" s="118">
        <f>(VLOOKUP($A626,Pitchers!$A1:$S251,14,FALSE)-AVERAGE(Rankings!AM2:AM651))/STDEV(Rankings!AM2:AM651)</f>
        <v>0.95913633284211963</v>
      </c>
      <c r="AG626" s="118">
        <f>(VLOOKUP($A626,Pitchers!$A1:$S251,15,FALSE)-AVERAGE(Rankings!AN2:AN651))/STDEV(Rankings!AN2:AN651)</f>
        <v>-1.2302545831997735</v>
      </c>
      <c r="AH626" s="118">
        <f>(VLOOKUP($A626,Pitchers!$A1:$S251,16,FALSE)-AVERAGE(Rankings!AO2:AO651))/STDEV(Rankings!AO2:AO651)*-1</f>
        <v>0.98192954477632532</v>
      </c>
      <c r="AI626" s="118">
        <f>IFERROR((VLOOKUP($A626,Pitchers!$A1:$S251,17,FALSE)-AVERAGE(Rankings!AP2:AP651))/STDEV(Rankings!AP2:AP651),0)</f>
        <v>-1.1136479910031813</v>
      </c>
      <c r="AJ626" s="118">
        <f>(VLOOKUP($A626,Pitchers!$A1:$S251,18,FALSE)-AVERAGE(Rankings!AQ2:AQ651))/STDEV(Rankings!AQ2:AQ651)</f>
        <v>0.50283027305118222</v>
      </c>
      <c r="AK626" s="118">
        <f>IFERROR((VLOOKUP($A626,Pitchers!$A1:$S251,19,FALSE)-AVERAGE(Rankings!AR2:AR651))/STDEV(Rankings!AR2:AR651)*-1,0)</f>
        <v>0.47686441955275594</v>
      </c>
    </row>
    <row r="627" spans="1:37" ht="20.100000000000001" customHeight="1">
      <c r="A627" s="26" t="s">
        <v>582</v>
      </c>
      <c r="B627" s="27" t="s">
        <v>306</v>
      </c>
      <c r="C627" s="128" t="s">
        <v>34</v>
      </c>
      <c r="D627" s="67">
        <f>(V627*Settings!$G$2)+(Y627*Settings!$G$5)+(Z627*Settings!$G$6)+(AA627*Settings!$G$7)+(AB627*Settings!$G$8)+(AC627*Settings!$G$9)+(AD627*Settings!$G$10)+(AE627*Settings!$G$11)+(AF627*Settings!$G$12)+(AG627*Settings!$G$13)+(AH627*Settings!$G$14)+(AI627*Settings!$G$15)+(AJ627*Settings!$G$16)+(AK627*Settings!$G$17)+(W627*Settings!$G$3)+(X627*Settings!$G$4)</f>
        <v>-2.5045436338888685</v>
      </c>
      <c r="E627" s="67"/>
      <c r="F627" s="67"/>
      <c r="G627" s="67"/>
      <c r="H627" s="67"/>
      <c r="I627" s="67"/>
      <c r="J627" s="67"/>
      <c r="K627" s="72"/>
      <c r="L627" s="72"/>
      <c r="M627" s="67"/>
      <c r="N627" s="67"/>
      <c r="O627" s="67"/>
      <c r="P627" s="67"/>
      <c r="Q627" s="67"/>
      <c r="R627" s="72"/>
      <c r="S627" s="72"/>
      <c r="T627" s="67"/>
      <c r="U627" s="67"/>
      <c r="V627" s="118">
        <f>(VLOOKUP($A627,Pitchers!$A1:$S251,4,FALSE)-AVERAGE(Rankings!AC2:AC651))/STDEV(Rankings!AC2:AC651)</f>
        <v>-1.1368466521580445</v>
      </c>
      <c r="W627" s="118">
        <f>(VLOOKUP($A627,Pitchers!$A1:$S251,5,FALSE)-AVERAGE(Rankings!AD2:AD651))/STDEV(Rankings!AD2:AD651)*-1</f>
        <v>-0.11825760975819874</v>
      </c>
      <c r="X627" s="118">
        <f>(VLOOKUP($A627,Pitchers!$A1:$S251,6,FALSE)-AVERAGE(Rankings!AE2:AE651))/STDEV(Rankings!AE2:AE651)*-1</f>
        <v>-0.29488048296059094</v>
      </c>
      <c r="Y627" s="118">
        <f>(VLOOKUP($A627,Pitchers!$A1:$S251,7,FALSE)-AVERAGE(Rankings!AF2:AF651))/STDEV(Rankings!AF2:AF651)</f>
        <v>-1.1000206276611406</v>
      </c>
      <c r="Z627" s="118">
        <f>(VLOOKUP($A627,Pitchers!$A1:$S251,8,FALSE)-AVERAGE(Rankings!AG2:AG651))/STDEV(Rankings!AG2:AG651)</f>
        <v>-1.1139947154475354</v>
      </c>
      <c r="AA627" s="118">
        <f>(VLOOKUP($A627,Pitchers!$A1:$S251,9,FALSE)-AVERAGE(Rankings!AH2:AH651))/STDEV(Rankings!AH2:AH651)</f>
        <v>0.12260980193859741</v>
      </c>
      <c r="AB627" s="118">
        <f>(VLOOKUP($A627,Pitchers!$A1:$S251,10,FALSE)-AVERAGE(Rankings!AI2:AI651))/STDEV(Rankings!AI2:AI651)*-1</f>
        <v>1.0684845568984422</v>
      </c>
      <c r="AC627" s="118">
        <f>(VLOOKUP($A627,Pitchers!$A1:$S251,11,FALSE)-AVERAGE(Rankings!AJ2:AJ651))/STDEV(Rankings!AJ2:AJ651)*-1</f>
        <v>1.0603497836023676</v>
      </c>
      <c r="AD627" s="118">
        <f>(VLOOKUP($A627,Pitchers!$A1:$S251,12,FALSE)-AVERAGE(Rankings!AK2:AK651))/STDEV(Rankings!AK2:AK651)*-1</f>
        <v>1.1278429482725485</v>
      </c>
      <c r="AE627" s="118">
        <f>IFERROR((VLOOKUP($A627,Pitchers!$A1:$S251,13,FALSE)-AVERAGE(Rankings!AL2:AL651))/STDEV(Rankings!AL2:AL651)*-1,0)</f>
        <v>1.0206970148961849</v>
      </c>
      <c r="AF627" s="118">
        <f>(VLOOKUP($A627,Pitchers!$A1:$S251,14,FALSE)-AVERAGE(Rankings!AM2:AM651))/STDEV(Rankings!AM2:AM651)</f>
        <v>1.2028484344156962</v>
      </c>
      <c r="AG627" s="118">
        <f>(VLOOKUP($A627,Pitchers!$A1:$S251,15,FALSE)-AVERAGE(Rankings!AN2:AN651))/STDEV(Rankings!AN2:AN651)</f>
        <v>-1.2302545831997735</v>
      </c>
      <c r="AH627" s="118">
        <f>(VLOOKUP($A627,Pitchers!$A1:$S251,16,FALSE)-AVERAGE(Rankings!AO2:AO651))/STDEV(Rankings!AO2:AO651)*-1</f>
        <v>1.0737235608851812</v>
      </c>
      <c r="AI627" s="118">
        <f>IFERROR((VLOOKUP($A627,Pitchers!$A1:$S251,17,FALSE)-AVERAGE(Rankings!AP2:AP651))/STDEV(Rankings!AP2:AP651),0)</f>
        <v>-1.1136479910031813</v>
      </c>
      <c r="AJ627" s="118">
        <f>(VLOOKUP($A627,Pitchers!$A1:$S251,18,FALSE)-AVERAGE(Rankings!AQ2:AQ651))/STDEV(Rankings!AQ2:AQ651)</f>
        <v>2.0197214760139781</v>
      </c>
      <c r="AK627" s="118">
        <f>IFERROR((VLOOKUP($A627,Pitchers!$A1:$S251,19,FALSE)-AVERAGE(Rankings!AR2:AR651))/STDEV(Rankings!AR2:AR651)*-1,0)</f>
        <v>4.3471587989350928E-3</v>
      </c>
    </row>
    <row r="628" spans="1:37" ht="20.100000000000001" customHeight="1">
      <c r="A628" s="26" t="s">
        <v>599</v>
      </c>
      <c r="B628" s="27" t="s">
        <v>101</v>
      </c>
      <c r="C628" s="128" t="s">
        <v>34</v>
      </c>
      <c r="D628" s="67">
        <f>(V628*Settings!$G$2)+(Y628*Settings!$G$5)+(Z628*Settings!$G$6)+(AA628*Settings!$G$7)+(AB628*Settings!$G$8)+(AC628*Settings!$G$9)+(AD628*Settings!$G$10)+(AE628*Settings!$G$11)+(AF628*Settings!$G$12)+(AG628*Settings!$G$13)+(AH628*Settings!$G$14)+(AI628*Settings!$G$15)+(AJ628*Settings!$G$16)+(AK628*Settings!$G$17)+(W628*Settings!$G$3)+(X628*Settings!$G$4)</f>
        <v>-1.9433502696250573</v>
      </c>
      <c r="E628" s="67"/>
      <c r="F628" s="67"/>
      <c r="G628" s="67"/>
      <c r="H628" s="67"/>
      <c r="I628" s="67"/>
      <c r="J628" s="67"/>
      <c r="K628" s="72"/>
      <c r="L628" s="72"/>
      <c r="M628" s="67"/>
      <c r="N628" s="67"/>
      <c r="O628" s="67"/>
      <c r="P628" s="67"/>
      <c r="Q628" s="67"/>
      <c r="R628" s="72"/>
      <c r="S628" s="72"/>
      <c r="T628" s="67"/>
      <c r="U628" s="67"/>
      <c r="V628" s="118">
        <f>(VLOOKUP($A628,Pitchers!$A1:$S251,4,FALSE)-AVERAGE(Rankings!AC2:AC651))/STDEV(Rankings!AC2:AC651)</f>
        <v>-1.0732333514187049</v>
      </c>
      <c r="W628" s="118">
        <f>(VLOOKUP($A628,Pitchers!$A1:$S251,5,FALSE)-AVERAGE(Rankings!AD2:AD651))/STDEV(Rankings!AD2:AD651)*-1</f>
        <v>0.61012079793751184</v>
      </c>
      <c r="X628" s="118">
        <f>(VLOOKUP($A628,Pitchers!$A1:$S251,6,FALSE)-AVERAGE(Rankings!AE2:AE651))/STDEV(Rankings!AE2:AE651)*-1</f>
        <v>-0.24427675708665647</v>
      </c>
      <c r="Y628" s="118">
        <f>(VLOOKUP($A628,Pitchers!$A1:$S251,7,FALSE)-AVERAGE(Rankings!AF2:AF651))/STDEV(Rankings!AF2:AF651)</f>
        <v>-0.98718586329461877</v>
      </c>
      <c r="Z628" s="118">
        <f>(VLOOKUP($A628,Pitchers!$A1:$S251,8,FALSE)-AVERAGE(Rankings!AG2:AG651))/STDEV(Rankings!AG2:AG651)</f>
        <v>-1.1014547850662642</v>
      </c>
      <c r="AA628" s="118">
        <f>(VLOOKUP($A628,Pitchers!$A1:$S251,9,FALSE)-AVERAGE(Rankings!AH2:AH651))/STDEV(Rankings!AH2:AH651)</f>
        <v>-0.22055366211502986</v>
      </c>
      <c r="AB628" s="118">
        <f>(VLOOKUP($A628,Pitchers!$A1:$S251,10,FALSE)-AVERAGE(Rankings!AI2:AI651))/STDEV(Rankings!AI2:AI651)*-1</f>
        <v>1.1095111995087454</v>
      </c>
      <c r="AC628" s="118">
        <f>(VLOOKUP($A628,Pitchers!$A1:$S251,11,FALSE)-AVERAGE(Rankings!AJ2:AJ651))/STDEV(Rankings!AJ2:AJ651)*-1</f>
        <v>1.0295507075174537</v>
      </c>
      <c r="AD628" s="118">
        <f>(VLOOKUP($A628,Pitchers!$A1:$S251,12,FALSE)-AVERAGE(Rankings!AK2:AK651))/STDEV(Rankings!AK2:AK651)*-1</f>
        <v>0.97782715059072034</v>
      </c>
      <c r="AE628" s="118">
        <f>IFERROR((VLOOKUP($A628,Pitchers!$A1:$S251,13,FALSE)-AVERAGE(Rankings!AL2:AL651))/STDEV(Rankings!AL2:AL651)*-1,0)</f>
        <v>1.04242925672387</v>
      </c>
      <c r="AF628" s="118">
        <f>(VLOOKUP($A628,Pitchers!$A1:$S251,14,FALSE)-AVERAGE(Rankings!AM2:AM651))/STDEV(Rankings!AM2:AM651)</f>
        <v>0.94787173279845738</v>
      </c>
      <c r="AG628" s="118">
        <f>(VLOOKUP($A628,Pitchers!$A1:$S251,15,FALSE)-AVERAGE(Rankings!AN2:AN651))/STDEV(Rankings!AN2:AN651)</f>
        <v>-1.0815802263412695</v>
      </c>
      <c r="AH628" s="118">
        <f>(VLOOKUP($A628,Pitchers!$A1:$S251,16,FALSE)-AVERAGE(Rankings!AO2:AO651))/STDEV(Rankings!AO2:AO651)*-1</f>
        <v>1.0735319241083356</v>
      </c>
      <c r="AI628" s="118">
        <f>IFERROR((VLOOKUP($A628,Pitchers!$A1:$S251,17,FALSE)-AVERAGE(Rankings!AP2:AP651))/STDEV(Rankings!AP2:AP651),0)</f>
        <v>-1.1136479910031813</v>
      </c>
      <c r="AJ628" s="118">
        <f>(VLOOKUP($A628,Pitchers!$A1:$S251,18,FALSE)-AVERAGE(Rankings!AQ2:AQ651))/STDEV(Rankings!AQ2:AQ651)</f>
        <v>0.58266665215448732</v>
      </c>
      <c r="AK628" s="118">
        <f>IFERROR((VLOOKUP($A628,Pitchers!$A1:$S251,19,FALSE)-AVERAGE(Rankings!AR2:AR651))/STDEV(Rankings!AR2:AR651)*-1,0)</f>
        <v>0.47686441955275594</v>
      </c>
    </row>
    <row r="629" spans="1:37" ht="20.100000000000001" customHeight="1">
      <c r="A629" s="26" t="s">
        <v>550</v>
      </c>
      <c r="B629" s="27" t="s">
        <v>103</v>
      </c>
      <c r="C629" s="128" t="s">
        <v>34</v>
      </c>
      <c r="D629" s="67">
        <f>(V629*Settings!$G$2)+(Y629*Settings!$G$5)+(Z629*Settings!$G$6)+(AA629*Settings!$G$7)+(AB629*Settings!$G$8)+(AC629*Settings!$G$9)+(AD629*Settings!$G$10)+(AE629*Settings!$G$11)+(AF629*Settings!$G$12)+(AG629*Settings!$G$13)+(AH629*Settings!$G$14)+(AI629*Settings!$G$15)+(AJ629*Settings!$G$16)+(AK629*Settings!$G$17)+(W629*Settings!$G$3)+(X629*Settings!$G$4)</f>
        <v>-1.3306852107986209</v>
      </c>
      <c r="E629" s="67"/>
      <c r="F629" s="67"/>
      <c r="G629" s="67"/>
      <c r="H629" s="67"/>
      <c r="I629" s="67"/>
      <c r="J629" s="67"/>
      <c r="K629" s="72"/>
      <c r="L629" s="72"/>
      <c r="M629" s="67"/>
      <c r="N629" s="67"/>
      <c r="O629" s="67"/>
      <c r="P629" s="67"/>
      <c r="Q629" s="67"/>
      <c r="R629" s="72"/>
      <c r="S629" s="72"/>
      <c r="T629" s="67"/>
      <c r="U629" s="67"/>
      <c r="V629" s="118">
        <f>(VLOOKUP($A629,Pitchers!$A1:$S251,4,FALSE)-AVERAGE(Rankings!AC2:AC651))/STDEV(Rankings!AC2:AC651)</f>
        <v>-1.0185538595696577</v>
      </c>
      <c r="W629" s="118">
        <f>(VLOOKUP($A629,Pitchers!$A1:$S251,5,FALSE)-AVERAGE(Rankings!AD2:AD651))/STDEV(Rankings!AD2:AD651)*-1</f>
        <v>0.70280872229907909</v>
      </c>
      <c r="X629" s="118">
        <f>(VLOOKUP($A629,Pitchers!$A1:$S251,6,FALSE)-AVERAGE(Rankings!AE2:AE651))/STDEV(Rankings!AE2:AE651)*-1</f>
        <v>-7.6922664994132139E-2</v>
      </c>
      <c r="Y629" s="118">
        <f>(VLOOKUP($A629,Pitchers!$A1:$S251,7,FALSE)-AVERAGE(Rankings!AF2:AF651))/STDEV(Rankings!AF2:AF651)</f>
        <v>-0.98500014509297595</v>
      </c>
      <c r="Z629" s="118">
        <f>(VLOOKUP($A629,Pitchers!$A1:$S251,8,FALSE)-AVERAGE(Rankings!AG2:AG651))/STDEV(Rankings!AG2:AG651)</f>
        <v>-0.98666619157616431</v>
      </c>
      <c r="AA629" s="118">
        <f>(VLOOKUP($A629,Pitchers!$A1:$S251,9,FALSE)-AVERAGE(Rankings!AH2:AH651))/STDEV(Rankings!AH2:AH651)</f>
        <v>1.5095068565572512E-2</v>
      </c>
      <c r="AB629" s="118">
        <f>(VLOOKUP($A629,Pitchers!$A1:$S251,10,FALSE)-AVERAGE(Rankings!AI2:AI651))/STDEV(Rankings!AI2:AI651)*-1</f>
        <v>1.0755002653002042</v>
      </c>
      <c r="AC629" s="118">
        <f>(VLOOKUP($A629,Pitchers!$A1:$S251,11,FALSE)-AVERAGE(Rankings!AJ2:AJ651))/STDEV(Rankings!AJ2:AJ651)*-1</f>
        <v>0.96606448938073441</v>
      </c>
      <c r="AD629" s="118">
        <f>(VLOOKUP($A629,Pitchers!$A1:$S251,12,FALSE)-AVERAGE(Rankings!AK2:AK651))/STDEV(Rankings!AK2:AK651)*-1</f>
        <v>1.0252915517430641</v>
      </c>
      <c r="AE629" s="118">
        <f>IFERROR((VLOOKUP($A629,Pitchers!$A1:$S251,13,FALSE)-AVERAGE(Rankings!AL2:AL651))/STDEV(Rankings!AL2:AL651)*-1,0)</f>
        <v>1.2090431107361237</v>
      </c>
      <c r="AF629" s="118">
        <f>(VLOOKUP($A629,Pitchers!$A1:$S251,14,FALSE)-AVERAGE(Rankings!AM2:AM651))/STDEV(Rankings!AM2:AM651)</f>
        <v>1.4494652441766329</v>
      </c>
      <c r="AG629" s="118">
        <f>(VLOOKUP($A629,Pitchers!$A1:$S251,15,FALSE)-AVERAGE(Rankings!AN2:AN651))/STDEV(Rankings!AN2:AN651)</f>
        <v>-1.2302545831997735</v>
      </c>
      <c r="AH629" s="118">
        <f>(VLOOKUP($A629,Pitchers!$A1:$S251,16,FALSE)-AVERAGE(Rankings!AO2:AO651))/STDEV(Rankings!AO2:AO651)*-1</f>
        <v>1.0806224848516086</v>
      </c>
      <c r="AI629" s="118">
        <f>IFERROR((VLOOKUP($A629,Pitchers!$A1:$S251,17,FALSE)-AVERAGE(Rankings!AP2:AP651))/STDEV(Rankings!AP2:AP651),0)</f>
        <v>-1.1136479910031813</v>
      </c>
      <c r="AJ629" s="118">
        <f>(VLOOKUP($A629,Pitchers!$A1:$S251,18,FALSE)-AVERAGE(Rankings!AQ2:AQ651))/STDEV(Rankings!AQ2:AQ651)</f>
        <v>1.8600487178073681</v>
      </c>
      <c r="AK629" s="118">
        <f>IFERROR((VLOOKUP($A629,Pitchers!$A1:$S251,19,FALSE)-AVERAGE(Rankings!AR2:AR651))/STDEV(Rankings!AR2:AR651)*-1,0)</f>
        <v>0.47686441955275594</v>
      </c>
    </row>
    <row r="630" spans="1:37" ht="20.100000000000001" customHeight="1">
      <c r="A630" s="26" t="s">
        <v>578</v>
      </c>
      <c r="B630" s="27" t="s">
        <v>156</v>
      </c>
      <c r="C630" s="128" t="s">
        <v>34</v>
      </c>
      <c r="D630" s="67">
        <f>(V630*Settings!$G$2)+(Y630*Settings!$G$5)+(Z630*Settings!$G$6)+(AA630*Settings!$G$7)+(AB630*Settings!$G$8)+(AC630*Settings!$G$9)+(AD630*Settings!$G$10)+(AE630*Settings!$G$11)+(AF630*Settings!$G$12)+(AG630*Settings!$G$13)+(AH630*Settings!$G$14)+(AI630*Settings!$G$15)+(AJ630*Settings!$G$16)+(AK630*Settings!$G$17)+(W630*Settings!$G$3)+(X630*Settings!$G$4)</f>
        <v>-2.2838395548643335</v>
      </c>
      <c r="E630" s="67"/>
      <c r="F630" s="67"/>
      <c r="G630" s="67"/>
      <c r="H630" s="67"/>
      <c r="I630" s="67"/>
      <c r="J630" s="67"/>
      <c r="K630" s="72"/>
      <c r="L630" s="72"/>
      <c r="M630" s="67"/>
      <c r="N630" s="67"/>
      <c r="O630" s="67"/>
      <c r="P630" s="67"/>
      <c r="Q630" s="67"/>
      <c r="R630" s="72"/>
      <c r="S630" s="72"/>
      <c r="T630" s="67"/>
      <c r="U630" s="67"/>
      <c r="V630" s="118">
        <f>(VLOOKUP($A630,Pitchers!$A1:$S251,4,FALSE)-AVERAGE(Rankings!AC2:AC651))/STDEV(Rankings!AC2:AC651)</f>
        <v>-1.1660876958720405</v>
      </c>
      <c r="W630" s="118">
        <f>(VLOOKUP($A630,Pitchers!$A1:$S251,5,FALSE)-AVERAGE(Rankings!AD2:AD651))/STDEV(Rankings!AD2:AD651)*-1</f>
        <v>0.73391852772338673</v>
      </c>
      <c r="X630" s="118">
        <f>(VLOOKUP($A630,Pitchers!$A1:$S251,6,FALSE)-AVERAGE(Rankings!AE2:AE651))/STDEV(Rankings!AE2:AE651)*-1</f>
        <v>-0.5049773230243263</v>
      </c>
      <c r="Y630" s="118">
        <f>(VLOOKUP($A630,Pitchers!$A1:$S251,7,FALSE)-AVERAGE(Rankings!AF2:AF651))/STDEV(Rankings!AF2:AF651)</f>
        <v>-0.89079099013292529</v>
      </c>
      <c r="Z630" s="118">
        <f>(VLOOKUP($A630,Pitchers!$A1:$S251,8,FALSE)-AVERAGE(Rankings!AG2:AG651))/STDEV(Rankings!AG2:AG651)</f>
        <v>-1.1414861012833997</v>
      </c>
      <c r="AA630" s="118">
        <f>(VLOOKUP($A630,Pitchers!$A1:$S251,9,FALSE)-AVERAGE(Rankings!AH2:AH651))/STDEV(Rankings!AH2:AH651)</f>
        <v>-0.48050366814706946</v>
      </c>
      <c r="AB630" s="118">
        <f>(VLOOKUP($A630,Pitchers!$A1:$S251,10,FALSE)-AVERAGE(Rankings!AI2:AI651))/STDEV(Rankings!AI2:AI651)*-1</f>
        <v>1.2060534477329894</v>
      </c>
      <c r="AC630" s="118">
        <f>(VLOOKUP($A630,Pitchers!$A1:$S251,11,FALSE)-AVERAGE(Rankings!AJ2:AJ651))/STDEV(Rankings!AJ2:AJ651)*-1</f>
        <v>1.2364355358395656</v>
      </c>
      <c r="AD630" s="118">
        <f>(VLOOKUP($A630,Pitchers!$A1:$S251,12,FALSE)-AVERAGE(Rankings!AK2:AK651))/STDEV(Rankings!AK2:AK651)*-1</f>
        <v>0.58915342857169406</v>
      </c>
      <c r="AE630" s="118">
        <f>IFERROR((VLOOKUP($A630,Pitchers!$A1:$S251,13,FALSE)-AVERAGE(Rankings!AL2:AL651))/STDEV(Rankings!AL2:AL651)*-1,0)</f>
        <v>1.4215361419401578</v>
      </c>
      <c r="AF630" s="118">
        <f>(VLOOKUP($A630,Pitchers!$A1:$S251,14,FALSE)-AVERAGE(Rankings!AM2:AM651))/STDEV(Rankings!AM2:AM651)</f>
        <v>0.67904453238539364</v>
      </c>
      <c r="AG630" s="118">
        <f>(VLOOKUP($A630,Pitchers!$A1:$S251,15,FALSE)-AVERAGE(Rankings!AN2:AN651))/STDEV(Rankings!AN2:AN651)</f>
        <v>-1.2302545831997735</v>
      </c>
      <c r="AH630" s="118">
        <f>(VLOOKUP($A630,Pitchers!$A1:$S251,16,FALSE)-AVERAGE(Rankings!AO2:AO651))/STDEV(Rankings!AO2:AO651)*-1</f>
        <v>1.4134955662317392</v>
      </c>
      <c r="AI630" s="118">
        <f>IFERROR((VLOOKUP($A630,Pitchers!$A1:$S251,17,FALSE)-AVERAGE(Rankings!AP2:AP651))/STDEV(Rankings!AP2:AP651),0)</f>
        <v>-1.1136479910031813</v>
      </c>
      <c r="AJ630" s="118">
        <f>(VLOOKUP($A630,Pitchers!$A1:$S251,18,FALSE)-AVERAGE(Rankings!AQ2:AQ651))/STDEV(Rankings!AQ2:AQ651)</f>
        <v>0.26332113574126703</v>
      </c>
      <c r="AK630" s="118">
        <f>IFERROR((VLOOKUP($A630,Pitchers!$A1:$S251,19,FALSE)-AVERAGE(Rankings!AR2:AR651))/STDEV(Rankings!AR2:AR651)*-1,0)</f>
        <v>0.47686441955275594</v>
      </c>
    </row>
    <row r="631" spans="1:37" ht="20.100000000000001" customHeight="1">
      <c r="A631" s="26" t="s">
        <v>605</v>
      </c>
      <c r="B631" s="27" t="s">
        <v>71</v>
      </c>
      <c r="C631" s="128" t="s">
        <v>34</v>
      </c>
      <c r="D631" s="67">
        <f>(V631*Settings!$G$2)+(Y631*Settings!$G$5)+(Z631*Settings!$G$6)+(AA631*Settings!$G$7)+(AB631*Settings!$G$8)+(AC631*Settings!$G$9)+(AD631*Settings!$G$10)+(AE631*Settings!$G$11)+(AF631*Settings!$G$12)+(AG631*Settings!$G$13)+(AH631*Settings!$G$14)+(AI631*Settings!$G$15)+(AJ631*Settings!$G$16)+(AK631*Settings!$G$17)+(W631*Settings!$G$3)+(X631*Settings!$G$4)</f>
        <v>-2.2066277222338408</v>
      </c>
      <c r="E631" s="67"/>
      <c r="F631" s="67"/>
      <c r="G631" s="67"/>
      <c r="H631" s="67"/>
      <c r="I631" s="67"/>
      <c r="J631" s="67"/>
      <c r="K631" s="72"/>
      <c r="L631" s="72"/>
      <c r="M631" s="67"/>
      <c r="N631" s="67"/>
      <c r="O631" s="67"/>
      <c r="P631" s="67"/>
      <c r="Q631" s="67"/>
      <c r="R631" s="72"/>
      <c r="S631" s="72"/>
      <c r="T631" s="67"/>
      <c r="U631" s="67"/>
      <c r="V631" s="118">
        <f>(VLOOKUP($A631,Pitchers!$A1:$S251,4,FALSE)-AVERAGE(Rankings!AC2:AC651))/STDEV(Rankings!AC2:AC651)</f>
        <v>-1.1087166077547643</v>
      </c>
      <c r="W631" s="118">
        <f>(VLOOKUP($A631,Pitchers!$A1:$S251,5,FALSE)-AVERAGE(Rankings!AD2:AD651))/STDEV(Rankings!AD2:AD651)*-1</f>
        <v>0.66551323293747811</v>
      </c>
      <c r="X631" s="118">
        <f>(VLOOKUP($A631,Pitchers!$A1:$S251,6,FALSE)-AVERAGE(Rankings!AE2:AE651))/STDEV(Rankings!AE2:AE651)*-1</f>
        <v>-0.71325215259870545</v>
      </c>
      <c r="Y631" s="118">
        <f>(VLOOKUP($A631,Pitchers!$A1:$S251,7,FALSE)-AVERAGE(Rankings!AF2:AF651))/STDEV(Rankings!AF2:AF651)</f>
        <v>-0.85935660201790265</v>
      </c>
      <c r="Z631" s="118">
        <f>(VLOOKUP($A631,Pitchers!$A1:$S251,8,FALSE)-AVERAGE(Rankings!AG2:AG651))/STDEV(Rankings!AG2:AG651)</f>
        <v>-1.0863425612734499</v>
      </c>
      <c r="AA631" s="118">
        <f>(VLOOKUP($A631,Pitchers!$A1:$S251,9,FALSE)-AVERAGE(Rankings!AH2:AH651))/STDEV(Rankings!AH2:AH651)</f>
        <v>-0.21318963928126108</v>
      </c>
      <c r="AB631" s="118">
        <f>(VLOOKUP($A631,Pitchers!$A1:$S251,10,FALSE)-AVERAGE(Rankings!AI2:AI651))/STDEV(Rankings!AI2:AI651)*-1</f>
        <v>1.1477925649183585</v>
      </c>
      <c r="AC631" s="118">
        <f>(VLOOKUP($A631,Pitchers!$A1:$S251,11,FALSE)-AVERAGE(Rankings!AJ2:AJ651))/STDEV(Rankings!AJ2:AJ651)*-1</f>
        <v>1.1672615189775861</v>
      </c>
      <c r="AD631" s="118">
        <f>(VLOOKUP($A631,Pitchers!$A1:$S251,12,FALSE)-AVERAGE(Rankings!AK2:AK651))/STDEV(Rankings!AK2:AK651)*-1</f>
        <v>0.4888809519650873</v>
      </c>
      <c r="AE631" s="118">
        <f>IFERROR((VLOOKUP($A631,Pitchers!$A1:$S251,13,FALSE)-AVERAGE(Rankings!AL2:AL651))/STDEV(Rankings!AL2:AL651)*-1,0)</f>
        <v>1.3056308521925029</v>
      </c>
      <c r="AF631" s="118">
        <f>(VLOOKUP($A631,Pitchers!$A1:$S251,14,FALSE)-AVERAGE(Rankings!AM2:AM651))/STDEV(Rankings!AM2:AM651)</f>
        <v>1.0258029280690775</v>
      </c>
      <c r="AG631" s="118">
        <f>(VLOOKUP($A631,Pitchers!$A1:$S251,15,FALSE)-AVERAGE(Rankings!AN2:AN651))/STDEV(Rankings!AN2:AN651)</f>
        <v>-1.1838475585156163</v>
      </c>
      <c r="AH631" s="118">
        <f>(VLOOKUP($A631,Pitchers!$A1:$S251,16,FALSE)-AVERAGE(Rankings!AO2:AO651))/STDEV(Rankings!AO2:AO651)*-1</f>
        <v>1.0628002646050041</v>
      </c>
      <c r="AI631" s="118">
        <f>IFERROR((VLOOKUP($A631,Pitchers!$A1:$S251,17,FALSE)-AVERAGE(Rankings!AP2:AP651))/STDEV(Rankings!AP2:AP651),0)</f>
        <v>-1.1136479910031813</v>
      </c>
      <c r="AJ631" s="118">
        <f>(VLOOKUP($A631,Pitchers!$A1:$S251,18,FALSE)-AVERAGE(Rankings!AQ2:AQ651))/STDEV(Rankings!AQ2:AQ651)</f>
        <v>1.2213576849809278</v>
      </c>
      <c r="AK631" s="118">
        <f>IFERROR((VLOOKUP($A631,Pitchers!$A1:$S251,19,FALSE)-AVERAGE(Rankings!AR2:AR651))/STDEV(Rankings!AR2:AR651)*-1,0)</f>
        <v>4.3471587989350928E-3</v>
      </c>
    </row>
    <row r="632" spans="1:37" ht="20.100000000000001" customHeight="1">
      <c r="A632" s="26" t="s">
        <v>567</v>
      </c>
      <c r="B632" s="27" t="s">
        <v>140</v>
      </c>
      <c r="C632" s="128" t="s">
        <v>34</v>
      </c>
      <c r="D632" s="67">
        <f>(V632*Settings!$G$2)+(Y632*Settings!$G$5)+(Z632*Settings!$G$6)+(AA632*Settings!$G$7)+(AB632*Settings!$G$8)+(AC632*Settings!$G$9)+(AD632*Settings!$G$10)+(AE632*Settings!$G$11)+(AF632*Settings!$G$12)+(AG632*Settings!$G$13)+(AH632*Settings!$G$14)+(AI632*Settings!$G$15)+(AJ632*Settings!$G$16)+(AK632*Settings!$G$17)+(W632*Settings!$G$3)+(X632*Settings!$G$4)</f>
        <v>-1.2867358968033837</v>
      </c>
      <c r="E632" s="67"/>
      <c r="F632" s="67"/>
      <c r="G632" s="67"/>
      <c r="H632" s="67"/>
      <c r="I632" s="67"/>
      <c r="J632" s="67"/>
      <c r="K632" s="72"/>
      <c r="L632" s="72"/>
      <c r="M632" s="67"/>
      <c r="N632" s="67"/>
      <c r="O632" s="67"/>
      <c r="P632" s="67"/>
      <c r="Q632" s="67"/>
      <c r="R632" s="72"/>
      <c r="S632" s="72"/>
      <c r="T632" s="67"/>
      <c r="U632" s="67"/>
      <c r="V632" s="118">
        <f>(VLOOKUP($A632,Pitchers!$A1:$S251,4,FALSE)-AVERAGE(Rankings!AC2:AC651))/STDEV(Rankings!AC2:AC651)</f>
        <v>-0.99599026532109836</v>
      </c>
      <c r="W632" s="118">
        <f>(VLOOKUP($A632,Pitchers!$A1:$S251,5,FALSE)-AVERAGE(Rankings!AD2:AD651))/STDEV(Rankings!AD2:AD651)*-1</f>
        <v>0.35486999055356228</v>
      </c>
      <c r="X632" s="118">
        <f>(VLOOKUP($A632,Pitchers!$A1:$S251,6,FALSE)-AVERAGE(Rankings!AE2:AE651))/STDEV(Rankings!AE2:AE651)*-1</f>
        <v>-0.17593321407360216</v>
      </c>
      <c r="Y632" s="118">
        <f>(VLOOKUP($A632,Pitchers!$A1:$S251,7,FALSE)-AVERAGE(Rankings!AF2:AF651))/STDEV(Rankings!AF2:AF651)</f>
        <v>-0.88818222969870653</v>
      </c>
      <c r="Z632" s="118">
        <f>(VLOOKUP($A632,Pitchers!$A1:$S251,8,FALSE)-AVERAGE(Rankings!AG2:AG651))/STDEV(Rankings!AG2:AG651)</f>
        <v>-0.92396653966980724</v>
      </c>
      <c r="AA632" s="118">
        <f>(VLOOKUP($A632,Pitchers!$A1:$S251,9,FALSE)-AVERAGE(Rankings!AH2:AH651))/STDEV(Rankings!AH2:AH651)</f>
        <v>0.34647609608516977</v>
      </c>
      <c r="AB632" s="118">
        <f>(VLOOKUP($A632,Pitchers!$A1:$S251,10,FALSE)-AVERAGE(Rankings!AI2:AI651))/STDEV(Rankings!AI2:AI651)*-1</f>
        <v>1.0048347966157918</v>
      </c>
      <c r="AC632" s="118">
        <f>(VLOOKUP($A632,Pitchers!$A1:$S251,11,FALSE)-AVERAGE(Rankings!AJ2:AJ651))/STDEV(Rankings!AJ2:AJ651)*-1</f>
        <v>0.97347514830078252</v>
      </c>
      <c r="AD632" s="118">
        <f>(VLOOKUP($A632,Pitchers!$A1:$S251,12,FALSE)-AVERAGE(Rankings!AK2:AK651))/STDEV(Rankings!AK2:AK651)*-1</f>
        <v>0.86348823721876677</v>
      </c>
      <c r="AE632" s="118">
        <f>IFERROR((VLOOKUP($A632,Pitchers!$A1:$S251,13,FALSE)-AVERAGE(Rankings!AL2:AL651))/STDEV(Rankings!AL2:AL651)*-1,0)</f>
        <v>1.0834790468428313</v>
      </c>
      <c r="AF632" s="118">
        <f>(VLOOKUP($A632,Pitchers!$A1:$S251,14,FALSE)-AVERAGE(Rankings!AM2:AM651))/STDEV(Rankings!AM2:AM651)</f>
        <v>1.4509530215408903</v>
      </c>
      <c r="AG632" s="118">
        <f>(VLOOKUP($A632,Pitchers!$A1:$S251,15,FALSE)-AVERAGE(Rankings!AN2:AN651))/STDEV(Rankings!AN2:AN651)</f>
        <v>-1.228965499180769</v>
      </c>
      <c r="AH632" s="118">
        <f>(VLOOKUP($A632,Pitchers!$A1:$S251,16,FALSE)-AVERAGE(Rankings!AO2:AO651))/STDEV(Rankings!AO2:AO651)*-1</f>
        <v>1.0551347935311957</v>
      </c>
      <c r="AI632" s="118">
        <f>IFERROR((VLOOKUP($A632,Pitchers!$A1:$S251,17,FALSE)-AVERAGE(Rankings!AP2:AP651))/STDEV(Rankings!AP2:AP651),0)</f>
        <v>-1.1136479910031813</v>
      </c>
      <c r="AJ632" s="118">
        <f>(VLOOKUP($A632,Pitchers!$A1:$S251,18,FALSE)-AVERAGE(Rankings!AQ2:AQ651))/STDEV(Rankings!AQ2:AQ651)</f>
        <v>1.4608668222908427</v>
      </c>
      <c r="AK632" s="118">
        <f>IFERROR((VLOOKUP($A632,Pitchers!$A1:$S251,19,FALSE)-AVERAGE(Rankings!AR2:AR651))/STDEV(Rankings!AR2:AR651)*-1,0)</f>
        <v>0.47686441955275594</v>
      </c>
    </row>
    <row r="633" spans="1:37" ht="20.100000000000001" customHeight="1">
      <c r="A633" s="26" t="s">
        <v>648</v>
      </c>
      <c r="B633" s="27" t="s">
        <v>134</v>
      </c>
      <c r="C633" s="128" t="s">
        <v>34</v>
      </c>
      <c r="D633" s="67">
        <f>(V633*Settings!$G$2)+(Y633*Settings!$G$5)+(Z633*Settings!$G$6)+(AA633*Settings!$G$7)+(AB633*Settings!$G$8)+(AC633*Settings!$G$9)+(AD633*Settings!$G$10)+(AE633*Settings!$G$11)+(AF633*Settings!$G$12)+(AG633*Settings!$G$13)+(AH633*Settings!$G$14)+(AI633*Settings!$G$15)+(AJ633*Settings!$G$16)+(AK633*Settings!$G$17)+(W633*Settings!$G$3)+(X633*Settings!$G$4)</f>
        <v>-2.9871211866312275</v>
      </c>
      <c r="E633" s="67"/>
      <c r="F633" s="67"/>
      <c r="G633" s="67"/>
      <c r="H633" s="67"/>
      <c r="I633" s="67"/>
      <c r="J633" s="67"/>
      <c r="K633" s="72"/>
      <c r="L633" s="72"/>
      <c r="M633" s="67"/>
      <c r="N633" s="67"/>
      <c r="O633" s="67"/>
      <c r="P633" s="67"/>
      <c r="Q633" s="67"/>
      <c r="R633" s="72"/>
      <c r="S633" s="72"/>
      <c r="T633" s="67"/>
      <c r="U633" s="67"/>
      <c r="V633" s="118">
        <f>(VLOOKUP($A633,Pitchers!$A1:$S251,4,FALSE)-AVERAGE(Rankings!AC2:AC651))/STDEV(Rankings!AC2:AC651)</f>
        <v>-1.0943996063280133</v>
      </c>
      <c r="W633" s="118">
        <f>(VLOOKUP($A633,Pitchers!$A1:$S251,5,FALSE)-AVERAGE(Rankings!AD2:AD651))/STDEV(Rankings!AD2:AD651)*-1</f>
        <v>0.24194863327852179</v>
      </c>
      <c r="X633" s="118">
        <f>(VLOOKUP($A633,Pitchers!$A1:$S251,6,FALSE)-AVERAGE(Rankings!AE2:AE651))/STDEV(Rankings!AE2:AE651)*-1</f>
        <v>-1.694137281055534</v>
      </c>
      <c r="Y633" s="118">
        <f>(VLOOKUP($A633,Pitchers!$A1:$S251,7,FALSE)-AVERAGE(Rankings!AF2:AF651))/STDEV(Rankings!AF2:AF651)</f>
        <v>-0.78393757288810295</v>
      </c>
      <c r="Z633" s="118">
        <f>(VLOOKUP($A633,Pitchers!$A1:$S251,8,FALSE)-AVERAGE(Rankings!AG2:AG651))/STDEV(Rankings!AG2:AG651)</f>
        <v>-1.068014970716207</v>
      </c>
      <c r="AA633" s="118">
        <f>(VLOOKUP($A633,Pitchers!$A1:$S251,9,FALSE)-AVERAGE(Rankings!AH2:AH651))/STDEV(Rankings!AH2:AH651)</f>
        <v>0.31702000475009456</v>
      </c>
      <c r="AB633" s="118">
        <f>(VLOOKUP($A633,Pitchers!$A1:$S251,10,FALSE)-AVERAGE(Rankings!AI2:AI651))/STDEV(Rankings!AI2:AI651)*-1</f>
        <v>1.0775338039673816</v>
      </c>
      <c r="AC633" s="118">
        <f>(VLOOKUP($A633,Pitchers!$A1:$S251,11,FALSE)-AVERAGE(Rankings!AJ2:AJ651))/STDEV(Rankings!AJ2:AJ651)*-1</f>
        <v>1.1343383686799198</v>
      </c>
      <c r="AD633" s="118">
        <f>(VLOOKUP($A633,Pitchers!$A1:$S251,12,FALSE)-AVERAGE(Rankings!AK2:AK651))/STDEV(Rankings!AK2:AK651)*-1</f>
        <v>0.15018630135813107</v>
      </c>
      <c r="AE633" s="118">
        <f>IFERROR((VLOOKUP($A633,Pitchers!$A1:$S251,13,FALSE)-AVERAGE(Rankings!AL2:AL651))/STDEV(Rankings!AL2:AL651)*-1,0)</f>
        <v>1.3104602392653217</v>
      </c>
      <c r="AF633" s="118">
        <f>(VLOOKUP($A633,Pitchers!$A1:$S251,14,FALSE)-AVERAGE(Rankings!AM2:AM651))/STDEV(Rankings!AM2:AM651)</f>
        <v>1.4870139109888412</v>
      </c>
      <c r="AG633" s="118">
        <f>(VLOOKUP($A633,Pitchers!$A1:$S251,15,FALSE)-AVERAGE(Rankings!AN2:AN651))/STDEV(Rankings!AN2:AN651)</f>
        <v>-1.2302545831997735</v>
      </c>
      <c r="AH633" s="118">
        <f>(VLOOKUP($A633,Pitchers!$A1:$S251,16,FALSE)-AVERAGE(Rankings!AO2:AO651))/STDEV(Rankings!AO2:AO651)*-1</f>
        <v>1.0371209365077456</v>
      </c>
      <c r="AI633" s="118">
        <f>IFERROR((VLOOKUP($A633,Pitchers!$A1:$S251,17,FALSE)-AVERAGE(Rankings!AP2:AP651))/STDEV(Rankings!AP2:AP651),0)</f>
        <v>-1.1136479910031813</v>
      </c>
      <c r="AJ633" s="118">
        <f>(VLOOKUP($A633,Pitchers!$A1:$S251,18,FALSE)-AVERAGE(Rankings!AQ2:AQ651))/STDEV(Rankings!AQ2:AQ651)</f>
        <v>1.3810304431875378</v>
      </c>
      <c r="AK633" s="118">
        <f>IFERROR((VLOOKUP($A633,Pitchers!$A1:$S251,19,FALSE)-AVERAGE(Rankings!AR2:AR651))/STDEV(Rankings!AR2:AR651)*-1,0)</f>
        <v>-0.46817010195488579</v>
      </c>
    </row>
    <row r="634" spans="1:37" ht="20.100000000000001" customHeight="1">
      <c r="A634" s="26" t="s">
        <v>575</v>
      </c>
      <c r="B634" s="27" t="s">
        <v>158</v>
      </c>
      <c r="C634" s="128" t="s">
        <v>34</v>
      </c>
      <c r="D634" s="67">
        <f>(V634*Settings!$G$2)+(Y634*Settings!$G$5)+(Z634*Settings!$G$6)+(AA634*Settings!$G$7)+(AB634*Settings!$G$8)+(AC634*Settings!$G$9)+(AD634*Settings!$G$10)+(AE634*Settings!$G$11)+(AF634*Settings!$G$12)+(AG634*Settings!$G$13)+(AH634*Settings!$G$14)+(AI634*Settings!$G$15)+(AJ634*Settings!$G$16)+(AK634*Settings!$G$17)+(W634*Settings!$G$3)+(X634*Settings!$G$4)</f>
        <v>-2.0838036221547269</v>
      </c>
      <c r="E634" s="67"/>
      <c r="F634" s="67"/>
      <c r="G634" s="67"/>
      <c r="H634" s="67"/>
      <c r="I634" s="67"/>
      <c r="J634" s="67"/>
      <c r="K634" s="72"/>
      <c r="L634" s="72"/>
      <c r="M634" s="67"/>
      <c r="N634" s="67"/>
      <c r="O634" s="67"/>
      <c r="P634" s="67"/>
      <c r="Q634" s="67"/>
      <c r="R634" s="72"/>
      <c r="S634" s="72"/>
      <c r="T634" s="67"/>
      <c r="U634" s="67"/>
      <c r="V634" s="118">
        <f>(VLOOKUP($A634,Pitchers!$A1:$S251,4,FALSE)-AVERAGE(Rankings!AC2:AC651))/STDEV(Rankings!AC2:AC651)</f>
        <v>-1.0640017488987359</v>
      </c>
      <c r="W634" s="118">
        <f>(VLOOKUP($A634,Pitchers!$A1:$S251,5,FALSE)-AVERAGE(Rankings!AD2:AD651))/STDEV(Rankings!AD2:AD651)*-1</f>
        <v>-0.29039328954892479</v>
      </c>
      <c r="X634" s="118">
        <f>(VLOOKUP($A634,Pitchers!$A1:$S251,6,FALSE)-AVERAGE(Rankings!AE2:AE651))/STDEV(Rankings!AE2:AE651)*-1</f>
        <v>0.13847752323423465</v>
      </c>
      <c r="Y634" s="118">
        <f>(VLOOKUP($A634,Pitchers!$A1:$S251,7,FALSE)-AVERAGE(Rankings!AF2:AF651))/STDEV(Rankings!AF2:AF651)</f>
        <v>-1.0029676888043291</v>
      </c>
      <c r="Z634" s="118">
        <f>(VLOOKUP($A634,Pitchers!$A1:$S251,8,FALSE)-AVERAGE(Rankings!AG2:AG651))/STDEV(Rankings!AG2:AG651)</f>
        <v>-1.1067601402275711</v>
      </c>
      <c r="AA634" s="118">
        <f>(VLOOKUP($A634,Pitchers!$A1:$S251,9,FALSE)-AVERAGE(Rankings!AH2:AH651))/STDEV(Rankings!AH2:AH651)</f>
        <v>0.17783997319186365</v>
      </c>
      <c r="AB634" s="118">
        <f>(VLOOKUP($A634,Pitchers!$A1:$S251,10,FALSE)-AVERAGE(Rankings!AI2:AI651))/STDEV(Rankings!AI2:AI651)*-1</f>
        <v>0.97537390517506006</v>
      </c>
      <c r="AC634" s="118">
        <f>(VLOOKUP($A634,Pitchers!$A1:$S251,11,FALSE)-AVERAGE(Rankings!AJ2:AJ651))/STDEV(Rankings!AJ2:AJ651)*-1</f>
        <v>1.0085695744603742</v>
      </c>
      <c r="AD634" s="118">
        <f>(VLOOKUP($A634,Pitchers!$A1:$S251,12,FALSE)-AVERAGE(Rankings!AK2:AK651))/STDEV(Rankings!AK2:AK651)*-1</f>
        <v>1.1621446222841345</v>
      </c>
      <c r="AE634" s="118">
        <f>IFERROR((VLOOKUP($A634,Pitchers!$A1:$S251,13,FALSE)-AVERAGE(Rankings!AL2:AL651))/STDEV(Rankings!AL2:AL651)*-1,0)</f>
        <v>0.80820398369215107</v>
      </c>
      <c r="AF634" s="118">
        <f>(VLOOKUP($A634,Pitchers!$A1:$S251,14,FALSE)-AVERAGE(Rankings!AM2:AM651))/STDEV(Rankings!AM2:AM651)</f>
        <v>0.79130087684566475</v>
      </c>
      <c r="AG634" s="118">
        <f>(VLOOKUP($A634,Pitchers!$A1:$S251,15,FALSE)-AVERAGE(Rankings!AN2:AN651))/STDEV(Rankings!AN2:AN651)</f>
        <v>-1.1438859539264807</v>
      </c>
      <c r="AH634" s="118">
        <f>(VLOOKUP($A634,Pitchers!$A1:$S251,16,FALSE)-AVERAGE(Rankings!AO2:AO651))/STDEV(Rankings!AO2:AO651)*-1</f>
        <v>0.99649393981656131</v>
      </c>
      <c r="AI634" s="118">
        <f>IFERROR((VLOOKUP($A634,Pitchers!$A1:$S251,17,FALSE)-AVERAGE(Rankings!AP2:AP651))/STDEV(Rankings!AP2:AP651),0)</f>
        <v>-1.1136479910031813</v>
      </c>
      <c r="AJ634" s="118">
        <f>(VLOOKUP($A634,Pitchers!$A1:$S251,18,FALSE)-AVERAGE(Rankings!AQ2:AQ651))/STDEV(Rankings!AQ2:AQ651)</f>
        <v>0.9020121685677075</v>
      </c>
      <c r="AK634" s="118">
        <f>IFERROR((VLOOKUP($A634,Pitchers!$A1:$S251,19,FALSE)-AVERAGE(Rankings!AR2:AR651))/STDEV(Rankings!AR2:AR651)*-1,0)</f>
        <v>4.3471587989350928E-3</v>
      </c>
    </row>
    <row r="635" spans="1:37" ht="20.100000000000001" customHeight="1">
      <c r="A635" s="26" t="s">
        <v>559</v>
      </c>
      <c r="B635" s="27" t="s">
        <v>94</v>
      </c>
      <c r="C635" s="128" t="s">
        <v>34</v>
      </c>
      <c r="D635" s="67">
        <f>(V635*Settings!$G$2)+(Y635*Settings!$G$5)+(Z635*Settings!$G$6)+(AA635*Settings!$G$7)+(AB635*Settings!$G$8)+(AC635*Settings!$G$9)+(AD635*Settings!$G$10)+(AE635*Settings!$G$11)+(AF635*Settings!$G$12)+(AG635*Settings!$G$13)+(AH635*Settings!$G$14)+(AI635*Settings!$G$15)+(AJ635*Settings!$G$16)+(AK635*Settings!$G$17)+(W635*Settings!$G$3)+(X635*Settings!$G$4)</f>
        <v>-2.1438814030788107</v>
      </c>
      <c r="E635" s="67"/>
      <c r="F635" s="67"/>
      <c r="G635" s="67"/>
      <c r="H635" s="67"/>
      <c r="I635" s="67"/>
      <c r="J635" s="67"/>
      <c r="K635" s="72"/>
      <c r="L635" s="72"/>
      <c r="M635" s="67"/>
      <c r="N635" s="67"/>
      <c r="O635" s="67"/>
      <c r="P635" s="67"/>
      <c r="Q635" s="67"/>
      <c r="R635" s="72"/>
      <c r="S635" s="72"/>
      <c r="T635" s="67"/>
      <c r="U635" s="67"/>
      <c r="V635" s="118">
        <f>(VLOOKUP($A635,Pitchers!$A1:$S251,4,FALSE)-AVERAGE(Rankings!AC2:AC651))/STDEV(Rankings!AC2:AC651)</f>
        <v>-1.0419879275049635</v>
      </c>
      <c r="W635" s="118">
        <f>(VLOOKUP($A635,Pitchers!$A1:$S251,5,FALSE)-AVERAGE(Rankings!AD2:AD651))/STDEV(Rankings!AD2:AD651)*-1</f>
        <v>-0.38960273169688703</v>
      </c>
      <c r="X635" s="118">
        <f>(VLOOKUP($A635,Pitchers!$A1:$S251,6,FALSE)-AVERAGE(Rankings!AE2:AE651))/STDEV(Rankings!AE2:AE651)*-1</f>
        <v>0.45585451414063821</v>
      </c>
      <c r="Y635" s="118">
        <f>(VLOOKUP($A635,Pitchers!$A1:$S251,7,FALSE)-AVERAGE(Rankings!AF2:AF651))/STDEV(Rankings!AF2:AF651)</f>
        <v>-1.1064602705347979</v>
      </c>
      <c r="Z635" s="118">
        <f>(VLOOKUP($A635,Pitchers!$A1:$S251,8,FALSE)-AVERAGE(Rankings!AG2:AG651))/STDEV(Rankings!AG2:AG651)</f>
        <v>-0.8197886565023218</v>
      </c>
      <c r="AA635" s="118">
        <f>(VLOOKUP($A635,Pitchers!$A1:$S251,9,FALSE)-AVERAGE(Rankings!AH2:AH651))/STDEV(Rankings!AH2:AH651)</f>
        <v>-0.2838842584854418</v>
      </c>
      <c r="AB635" s="118">
        <f>(VLOOKUP($A635,Pitchers!$A1:$S251,10,FALSE)-AVERAGE(Rankings!AI2:AI651))/STDEV(Rankings!AI2:AI651)*-1</f>
        <v>0.93997508082617032</v>
      </c>
      <c r="AC635" s="118">
        <f>(VLOOKUP($A635,Pitchers!$A1:$S251,11,FALSE)-AVERAGE(Rankings!AJ2:AJ651))/STDEV(Rankings!AJ2:AJ651)*-1</f>
        <v>0.98909889417680807</v>
      </c>
      <c r="AD635" s="118">
        <f>(VLOOKUP($A635,Pitchers!$A1:$S251,12,FALSE)-AVERAGE(Rankings!AK2:AK651))/STDEV(Rankings!AK2:AK651)*-1</f>
        <v>1.2653639781013588</v>
      </c>
      <c r="AE635" s="118">
        <f>IFERROR((VLOOKUP($A635,Pitchers!$A1:$S251,13,FALSE)-AVERAGE(Rankings!AL2:AL651))/STDEV(Rankings!AL2:AL651)*-1,0)</f>
        <v>0.65366359736194479</v>
      </c>
      <c r="AF635" s="118">
        <f>(VLOOKUP($A635,Pitchers!$A1:$S251,14,FALSE)-AVERAGE(Rankings!AM2:AM651))/STDEV(Rankings!AM2:AM651)</f>
        <v>1.5720297603749727</v>
      </c>
      <c r="AG635" s="118">
        <f>(VLOOKUP($A635,Pitchers!$A1:$S251,15,FALSE)-AVERAGE(Rankings!AN2:AN651))/STDEV(Rankings!AN2:AN651)</f>
        <v>-1.2302545831997735</v>
      </c>
      <c r="AH635" s="118">
        <f>(VLOOKUP($A635,Pitchers!$A1:$S251,16,FALSE)-AVERAGE(Rankings!AO2:AO651))/STDEV(Rankings!AO2:AO651)*-1</f>
        <v>0.91332357866573988</v>
      </c>
      <c r="AI635" s="118">
        <f>IFERROR((VLOOKUP($A635,Pitchers!$A1:$S251,17,FALSE)-AVERAGE(Rankings!AP2:AP651))/STDEV(Rankings!AP2:AP651),0)</f>
        <v>-1.1136479910031813</v>
      </c>
      <c r="AJ635" s="118">
        <f>(VLOOKUP($A635,Pitchers!$A1:$S251,18,FALSE)-AVERAGE(Rankings!AQ2:AQ651))/STDEV(Rankings!AQ2:AQ651)</f>
        <v>2.0197214760139781</v>
      </c>
      <c r="AK635" s="118">
        <f>IFERROR((VLOOKUP($A635,Pitchers!$A1:$S251,19,FALSE)-AVERAGE(Rankings!AR2:AR651))/STDEV(Rankings!AR2:AR651)*-1,0)</f>
        <v>4.3471587989350928E-3</v>
      </c>
    </row>
    <row r="636" spans="1:37" ht="20.100000000000001" customHeight="1">
      <c r="A636" s="26" t="s">
        <v>756</v>
      </c>
      <c r="B636" s="27" t="s">
        <v>63</v>
      </c>
      <c r="C636" s="128" t="s">
        <v>34</v>
      </c>
      <c r="D636" s="67">
        <f>(V636*Settings!$G$2)+(Y636*Settings!$G$5)+(Z636*Settings!$G$6)+(AA636*Settings!$G$7)+(AB636*Settings!$G$8)+(AC636*Settings!$G$9)+(AD636*Settings!$G$10)+(AE636*Settings!$G$11)+(AF636*Settings!$G$12)+(AG636*Settings!$G$13)+(AH636*Settings!$G$14)+(AI636*Settings!$G$15)+(AJ636*Settings!$G$16)+(AK636*Settings!$G$17)+(W636*Settings!$G$3)+(X636*Settings!$G$4)</f>
        <v>-2.6908662343677245</v>
      </c>
      <c r="E636" s="67"/>
      <c r="F636" s="67"/>
      <c r="G636" s="67"/>
      <c r="H636" s="67"/>
      <c r="I636" s="67"/>
      <c r="J636" s="67"/>
      <c r="K636" s="72"/>
      <c r="L636" s="72"/>
      <c r="M636" s="67"/>
      <c r="N636" s="67"/>
      <c r="O636" s="67"/>
      <c r="P636" s="67"/>
      <c r="Q636" s="67"/>
      <c r="R636" s="72"/>
      <c r="S636" s="72"/>
      <c r="T636" s="67"/>
      <c r="U636" s="67"/>
      <c r="V636" s="118">
        <f>(VLOOKUP($A636,Pitchers!$A1:$S251,4,FALSE)-AVERAGE(Rankings!AC2:AC651))/STDEV(Rankings!AC2:AC651)</f>
        <v>-1.2727779905041887</v>
      </c>
      <c r="W636" s="118">
        <f>(VLOOKUP($A636,Pitchers!$A1:$S251,5,FALSE)-AVERAGE(Rankings!AD2:AD651))/STDEV(Rankings!AD2:AD651)*-1</f>
        <v>0.12295532792837158</v>
      </c>
      <c r="X636" s="118">
        <f>(VLOOKUP($A636,Pitchers!$A1:$S251,6,FALSE)-AVERAGE(Rankings!AE2:AE651))/STDEV(Rankings!AE2:AE651)*-1</f>
        <v>-0.66409735740335973</v>
      </c>
      <c r="Y636" s="118">
        <f>(VLOOKUP($A636,Pitchers!$A1:$S251,7,FALSE)-AVERAGE(Rankings!AF2:AF651))/STDEV(Rankings!AF2:AF651)</f>
        <v>-1.1554920404076694</v>
      </c>
      <c r="Z636" s="118">
        <f>(VLOOKUP($A636,Pitchers!$A1:$S251,8,FALSE)-AVERAGE(Rankings!AG2:AG651))/STDEV(Rankings!AG2:AG651)</f>
        <v>-1.4007250466654528</v>
      </c>
      <c r="AA636" s="118">
        <f>(VLOOKUP($A636,Pitchers!$A1:$S251,9,FALSE)-AVERAGE(Rankings!AH2:AH651))/STDEV(Rankings!AH2:AH651)</f>
        <v>0.40649288218038565</v>
      </c>
      <c r="AB636" s="118">
        <f>(VLOOKUP($A636,Pitchers!$A1:$S251,10,FALSE)-AVERAGE(Rankings!AI2:AI651))/STDEV(Rankings!AI2:AI651)*-1</f>
        <v>1.2255372900878823</v>
      </c>
      <c r="AC636" s="118">
        <f>(VLOOKUP($A636,Pitchers!$A1:$S251,11,FALSE)-AVERAGE(Rankings!AJ2:AJ651))/STDEV(Rankings!AJ2:AJ651)*-1</f>
        <v>1.2913074530023434</v>
      </c>
      <c r="AD636" s="118">
        <f>(VLOOKUP($A636,Pitchers!$A1:$S251,12,FALSE)-AVERAGE(Rankings!AK2:AK651))/STDEV(Rankings!AK2:AK651)*-1</f>
        <v>0.8173597546419028</v>
      </c>
      <c r="AE636" s="118">
        <f>IFERROR((VLOOKUP($A636,Pitchers!$A1:$S251,13,FALSE)-AVERAGE(Rankings!AL2:AL651))/STDEV(Rankings!AL2:AL651)*-1,0)</f>
        <v>1.2923500377422508</v>
      </c>
      <c r="AF636" s="118">
        <f>(VLOOKUP($A636,Pitchers!$A1:$S251,14,FALSE)-AVERAGE(Rankings!AM2:AM651))/STDEV(Rankings!AM2:AM651)</f>
        <v>0.76629204781791105</v>
      </c>
      <c r="AG636" s="118">
        <f>(VLOOKUP($A636,Pitchers!$A1:$S251,15,FALSE)-AVERAGE(Rankings!AN2:AN651))/STDEV(Rankings!AN2:AN651)</f>
        <v>-1.2302545831997735</v>
      </c>
      <c r="AH636" s="118">
        <f>(VLOOKUP($A636,Pitchers!$A1:$S251,16,FALSE)-AVERAGE(Rankings!AO2:AO651))/STDEV(Rankings!AO2:AO651)*-1</f>
        <v>1.0484275063416133</v>
      </c>
      <c r="AI636" s="118">
        <f>IFERROR((VLOOKUP($A636,Pitchers!$A1:$S251,17,FALSE)-AVERAGE(Rankings!AP2:AP651))/STDEV(Rankings!AP2:AP651),0)</f>
        <v>-1.1136479910031813</v>
      </c>
      <c r="AJ636" s="118">
        <f>(VLOOKUP($A636,Pitchers!$A1:$S251,18,FALSE)-AVERAGE(Rankings!AQ2:AQ651))/STDEV(Rankings!AQ2:AQ651)</f>
        <v>1.2692595124429109</v>
      </c>
      <c r="AK636" s="118">
        <f>IFERROR((VLOOKUP($A636,Pitchers!$A1:$S251,19,FALSE)-AVERAGE(Rankings!AR2:AR651))/STDEV(Rankings!AR2:AR651)*-1,0)</f>
        <v>-3.3977771186285746</v>
      </c>
    </row>
    <row r="637" spans="1:37" ht="20.100000000000001" customHeight="1">
      <c r="A637" s="26" t="s">
        <v>571</v>
      </c>
      <c r="B637" s="27" t="s">
        <v>84</v>
      </c>
      <c r="C637" s="128" t="s">
        <v>34</v>
      </c>
      <c r="D637" s="67">
        <f>(V637*Settings!$G$2)+(Y637*Settings!$G$5)+(Z637*Settings!$G$6)+(AA637*Settings!$G$7)+(AB637*Settings!$G$8)+(AC637*Settings!$G$9)+(AD637*Settings!$G$10)+(AE637*Settings!$G$11)+(AF637*Settings!$G$12)+(AG637*Settings!$G$13)+(AH637*Settings!$G$14)+(AI637*Settings!$G$15)+(AJ637*Settings!$G$16)+(AK637*Settings!$G$17)+(W637*Settings!$G$3)+(X637*Settings!$G$4)</f>
        <v>-2.3732637379010559</v>
      </c>
      <c r="E637" s="67"/>
      <c r="F637" s="67"/>
      <c r="G637" s="67"/>
      <c r="H637" s="67"/>
      <c r="I637" s="67"/>
      <c r="J637" s="67"/>
      <c r="K637" s="72"/>
      <c r="L637" s="72"/>
      <c r="M637" s="67"/>
      <c r="N637" s="67"/>
      <c r="O637" s="67"/>
      <c r="P637" s="67"/>
      <c r="Q637" s="67"/>
      <c r="R637" s="72"/>
      <c r="S637" s="72"/>
      <c r="T637" s="67"/>
      <c r="U637" s="67"/>
      <c r="V637" s="118">
        <f>(VLOOKUP($A637,Pitchers!$A1:$S251,4,FALSE)-AVERAGE(Rankings!AC2:AC651))/STDEV(Rankings!AC2:AC651)</f>
        <v>-0.99974704649547752</v>
      </c>
      <c r="W637" s="118">
        <f>(VLOOKUP($A637,Pitchers!$A1:$S251,5,FALSE)-AVERAGE(Rankings!AD2:AD651))/STDEV(Rankings!AD2:AD651)*-1</f>
        <v>-0.42579428135175329</v>
      </c>
      <c r="X637" s="118">
        <f>(VLOOKUP($A637,Pitchers!$A1:$S251,6,FALSE)-AVERAGE(Rankings!AE2:AE651))/STDEV(Rankings!AE2:AE651)*-1</f>
        <v>-0.30068313694597626</v>
      </c>
      <c r="Y637" s="118">
        <f>(VLOOKUP($A637,Pitchers!$A1:$S251,7,FALSE)-AVERAGE(Rankings!AF2:AF651))/STDEV(Rankings!AF2:AF651)</f>
        <v>-1.1008314586069115</v>
      </c>
      <c r="Z637" s="118">
        <f>(VLOOKUP($A637,Pitchers!$A1:$S251,8,FALSE)-AVERAGE(Rankings!AG2:AG651))/STDEV(Rankings!AG2:AG651)</f>
        <v>-1.1133516420946497</v>
      </c>
      <c r="AA637" s="118">
        <f>(VLOOKUP($A637,Pitchers!$A1:$S251,9,FALSE)-AVERAGE(Rankings!AH2:AH651))/STDEV(Rankings!AH2:AH651)</f>
        <v>0.56739678109823455</v>
      </c>
      <c r="AB637" s="118">
        <f>(VLOOKUP($A637,Pitchers!$A1:$S251,10,FALSE)-AVERAGE(Rankings!AI2:AI651))/STDEV(Rankings!AI2:AI651)*-1</f>
        <v>0.89339077703847214</v>
      </c>
      <c r="AC637" s="118">
        <f>(VLOOKUP($A637,Pitchers!$A1:$S251,11,FALSE)-AVERAGE(Rankings!AJ2:AJ651))/STDEV(Rankings!AJ2:AJ651)*-1</f>
        <v>0.89981697476743649</v>
      </c>
      <c r="AD637" s="118">
        <f>(VLOOKUP($A637,Pitchers!$A1:$S251,12,FALSE)-AVERAGE(Rankings!AK2:AK651))/STDEV(Rankings!AK2:AK651)*-1</f>
        <v>1.0720487018848597</v>
      </c>
      <c r="AE637" s="118">
        <f>IFERROR((VLOOKUP($A637,Pitchers!$A1:$S251,13,FALSE)-AVERAGE(Rankings!AL2:AL651))/STDEV(Rankings!AL2:AL651)*-1,0)</f>
        <v>0.93376804758544374</v>
      </c>
      <c r="AF637" s="118">
        <f>(VLOOKUP($A637,Pitchers!$A1:$S251,14,FALSE)-AVERAGE(Rankings!AM2:AM651))/STDEV(Rankings!AM2:AM651)</f>
        <v>1.4401843472853137</v>
      </c>
      <c r="AG637" s="118">
        <f>(VLOOKUP($A637,Pitchers!$A1:$S251,15,FALSE)-AVERAGE(Rankings!AN2:AN651))/STDEV(Rankings!AN2:AN651)</f>
        <v>-1.228965499180769</v>
      </c>
      <c r="AH637" s="118">
        <f>(VLOOKUP($A637,Pitchers!$A1:$S251,16,FALSE)-AVERAGE(Rankings!AO2:AO651))/STDEV(Rankings!AO2:AO651)*-1</f>
        <v>1.0852217674958937</v>
      </c>
      <c r="AI637" s="118">
        <f>IFERROR((VLOOKUP($A637,Pitchers!$A1:$S251,17,FALSE)-AVERAGE(Rankings!AP2:AP651))/STDEV(Rankings!AP2:AP651),0)</f>
        <v>-1.1136479910031813</v>
      </c>
      <c r="AJ637" s="118">
        <f>(VLOOKUP($A637,Pitchers!$A1:$S251,18,FALSE)-AVERAGE(Rankings!AQ2:AQ651))/STDEV(Rankings!AQ2:AQ651)</f>
        <v>0.98184854767101259</v>
      </c>
      <c r="AK637" s="118">
        <f>IFERROR((VLOOKUP($A637,Pitchers!$A1:$S251,19,FALSE)-AVERAGE(Rankings!AR2:AR651))/STDEV(Rankings!AR2:AR651)*-1,0)</f>
        <v>-0.46817010195488579</v>
      </c>
    </row>
    <row r="638" spans="1:37" ht="20.100000000000001" customHeight="1">
      <c r="A638" s="26" t="s">
        <v>479</v>
      </c>
      <c r="B638" s="27" t="s">
        <v>94</v>
      </c>
      <c r="C638" s="128" t="s">
        <v>34</v>
      </c>
      <c r="D638" s="67">
        <f>(V638*Settings!$G$2)+(Y638*Settings!$G$5)+(Z638*Settings!$G$6)+(AA638*Settings!$G$7)+(AB638*Settings!$G$8)+(AC638*Settings!$G$9)+(AD638*Settings!$G$10)+(AE638*Settings!$G$11)+(AF638*Settings!$G$12)+(AG638*Settings!$G$13)+(AH638*Settings!$G$14)+(AI638*Settings!$G$15)+(AJ638*Settings!$G$16)+(AK638*Settings!$G$17)+(W638*Settings!$G$3)+(X638*Settings!$G$4)</f>
        <v>-1.2723989354391119</v>
      </c>
      <c r="E638" s="67"/>
      <c r="F638" s="67"/>
      <c r="G638" s="67"/>
      <c r="H638" s="67"/>
      <c r="I638" s="67"/>
      <c r="J638" s="67"/>
      <c r="K638" s="72"/>
      <c r="L638" s="72"/>
      <c r="M638" s="67"/>
      <c r="N638" s="67"/>
      <c r="O638" s="67"/>
      <c r="P638" s="67"/>
      <c r="Q638" s="67"/>
      <c r="R638" s="72"/>
      <c r="S638" s="72"/>
      <c r="T638" s="67"/>
      <c r="U638" s="67"/>
      <c r="V638" s="118">
        <f>(VLOOKUP($A638,Pitchers!$A1:$S251,4,FALSE)-AVERAGE(Rankings!AC2:AC651))/STDEV(Rankings!AC2:AC651)</f>
        <v>-1.9568672258766309</v>
      </c>
      <c r="W638" s="118">
        <f>(VLOOKUP($A638,Pitchers!$A1:$S251,5,FALSE)-AVERAGE(Rankings!AD2:AD651))/STDEV(Rankings!AD2:AD651)*-1</f>
        <v>0.56632341433438282</v>
      </c>
      <c r="X638" s="118">
        <f>(VLOOKUP($A638,Pitchers!$A1:$S251,6,FALSE)-AVERAGE(Rankings!AE2:AE651))/STDEV(Rankings!AE2:AE651)*-1</f>
        <v>2.0397188673625277</v>
      </c>
      <c r="Y638" s="118">
        <f>(VLOOKUP($A638,Pitchers!$A1:$S251,7,FALSE)-AVERAGE(Rankings!AF2:AF651))/STDEV(Rankings!AF2:AF651)</f>
        <v>-1.9627095004417576</v>
      </c>
      <c r="Z638" s="118">
        <f>(VLOOKUP($A638,Pitchers!$A1:$S251,8,FALSE)-AVERAGE(Rankings!AG2:AG651))/STDEV(Rankings!AG2:AG651)</f>
        <v>-1.5302239431028135</v>
      </c>
      <c r="AA638" s="118">
        <f>(VLOOKUP($A638,Pitchers!$A1:$S251,9,FALSE)-AVERAGE(Rankings!AH2:AH651))/STDEV(Rankings!AH2:AH651)</f>
        <v>-0.38550777359145161</v>
      </c>
      <c r="AB638" s="118">
        <f>(VLOOKUP($A638,Pitchers!$A1:$S251,10,FALSE)-AVERAGE(Rankings!AI2:AI651))/STDEV(Rankings!AI2:AI651)*-1</f>
        <v>1.8744776076341807</v>
      </c>
      <c r="AC638" s="118">
        <f>(VLOOKUP($A638,Pitchers!$A1:$S251,11,FALSE)-AVERAGE(Rankings!AJ2:AJ651))/STDEV(Rankings!AJ2:AJ651)*-1</f>
        <v>1.8721237460672731</v>
      </c>
      <c r="AD638" s="118">
        <f>(VLOOKUP($A638,Pitchers!$A1:$S251,12,FALSE)-AVERAGE(Rankings!AK2:AK651))/STDEV(Rankings!AK2:AK651)*-1</f>
        <v>2.2273039358924831</v>
      </c>
      <c r="AE638" s="118">
        <f>IFERROR((VLOOKUP($A638,Pitchers!$A1:$S251,13,FALSE)-AVERAGE(Rankings!AL2:AL651))/STDEV(Rankings!AL2:AL651)*-1,0)</f>
        <v>1.6533467214354671</v>
      </c>
      <c r="AF638" s="118">
        <f>(VLOOKUP($A638,Pitchers!$A1:$S251,14,FALSE)-AVERAGE(Rankings!AM2:AM651))/STDEV(Rankings!AM2:AM651)</f>
        <v>-1.4324303569309154</v>
      </c>
      <c r="AG638" s="118">
        <f>(VLOOKUP($A638,Pitchers!$A1:$S251,15,FALSE)-AVERAGE(Rankings!AN2:AN651))/STDEV(Rankings!AN2:AN651)</f>
        <v>-1.2302545831997735</v>
      </c>
      <c r="AH638" s="118">
        <f>(VLOOKUP($A638,Pitchers!$A1:$S251,16,FALSE)-AVERAGE(Rankings!AO2:AO651))/STDEV(Rankings!AO2:AO651)*-1</f>
        <v>1.7500097463719286</v>
      </c>
      <c r="AI638" s="118">
        <f>IFERROR((VLOOKUP($A638,Pitchers!$A1:$S251,17,FALSE)-AVERAGE(Rankings!AP2:AP651))/STDEV(Rankings!AP2:AP651),0)</f>
        <v>-1.1136479910031813</v>
      </c>
      <c r="AJ638" s="118">
        <f>(VLOOKUP($A638,Pitchers!$A1:$S251,18,FALSE)-AVERAGE(Rankings!AQ2:AQ651))/STDEV(Rankings!AQ2:AQ651)</f>
        <v>0.9020121685677075</v>
      </c>
      <c r="AK638" s="118">
        <f>IFERROR((VLOOKUP($A638,Pitchers!$A1:$S251,19,FALSE)-AVERAGE(Rankings!AR2:AR651))/STDEV(Rankings!AR2:AR651)*-1,0)</f>
        <v>0.47686441955275594</v>
      </c>
    </row>
    <row r="639" spans="1:37" ht="20.100000000000001" customHeight="1">
      <c r="A639" s="26" t="s">
        <v>507</v>
      </c>
      <c r="B639" s="27" t="s">
        <v>73</v>
      </c>
      <c r="C639" s="128" t="s">
        <v>34</v>
      </c>
      <c r="D639" s="67">
        <f>(V639*Settings!$G$2)+(Y639*Settings!$G$5)+(Z639*Settings!$G$6)+(AA639*Settings!$G$7)+(AB639*Settings!$G$8)+(AC639*Settings!$G$9)+(AD639*Settings!$G$10)+(AE639*Settings!$G$11)+(AF639*Settings!$G$12)+(AG639*Settings!$G$13)+(AH639*Settings!$G$14)+(AI639*Settings!$G$15)+(AJ639*Settings!$G$16)+(AK639*Settings!$G$17)+(W639*Settings!$G$3)+(X639*Settings!$G$4)</f>
        <v>-0.58256284859358187</v>
      </c>
      <c r="E639" s="67"/>
      <c r="F639" s="67"/>
      <c r="G639" s="67"/>
      <c r="H639" s="67"/>
      <c r="I639" s="67"/>
      <c r="J639" s="67"/>
      <c r="K639" s="72"/>
      <c r="L639" s="72"/>
      <c r="M639" s="67"/>
      <c r="N639" s="67"/>
      <c r="O639" s="67"/>
      <c r="P639" s="67"/>
      <c r="Q639" s="67"/>
      <c r="R639" s="72"/>
      <c r="S639" s="72"/>
      <c r="T639" s="67"/>
      <c r="U639" s="67"/>
      <c r="V639" s="118">
        <f>(VLOOKUP($A639,Pitchers!$A1:$S251,4,FALSE)-AVERAGE(Rankings!AC2:AC651))/STDEV(Rankings!AC2:AC651)</f>
        <v>-1.1901058974655583</v>
      </c>
      <c r="W639" s="118">
        <f>(VLOOKUP($A639,Pitchers!$A1:$S251,5,FALSE)-AVERAGE(Rankings!AD2:AD651))/STDEV(Rankings!AD2:AD651)*-1</f>
        <v>0.92525332636540991</v>
      </c>
      <c r="X639" s="118">
        <f>(VLOOKUP($A639,Pitchers!$A1:$S251,6,FALSE)-AVERAGE(Rankings!AE2:AE651))/STDEV(Rankings!AE2:AE651)*-1</f>
        <v>0.97259180777909915</v>
      </c>
      <c r="Y639" s="118">
        <f>(VLOOKUP($A639,Pitchers!$A1:$S251,7,FALSE)-AVERAGE(Rankings!AF2:AF651))/STDEV(Rankings!AF2:AF651)</f>
        <v>-1.104274552333155</v>
      </c>
      <c r="Z639" s="118">
        <f>(VLOOKUP($A639,Pitchers!$A1:$S251,8,FALSE)-AVERAGE(Rankings!AG2:AG651))/STDEV(Rankings!AG2:AG651)</f>
        <v>-0.89342055540773591</v>
      </c>
      <c r="AA639" s="118">
        <f>(VLOOKUP($A639,Pitchers!$A1:$S251,9,FALSE)-AVERAGE(Rankings!AH2:AH651))/STDEV(Rankings!AH2:AH651)</f>
        <v>-0.48271287499720011</v>
      </c>
      <c r="AB639" s="118">
        <f>(VLOOKUP($A639,Pitchers!$A1:$S251,10,FALSE)-AVERAGE(Rankings!AI2:AI651))/STDEV(Rankings!AI2:AI651)*-1</f>
        <v>1.2507404599442116</v>
      </c>
      <c r="AC639" s="118">
        <f>(VLOOKUP($A639,Pitchers!$A1:$S251,11,FALSE)-AVERAGE(Rankings!AJ2:AJ651))/STDEV(Rankings!AJ2:AJ651)*-1</f>
        <v>1.1491714869323093</v>
      </c>
      <c r="AD639" s="118">
        <f>(VLOOKUP($A639,Pitchers!$A1:$S251,12,FALSE)-AVERAGE(Rankings!AK2:AK651))/STDEV(Rankings!AK2:AK651)*-1</f>
        <v>1.5200529253443154</v>
      </c>
      <c r="AE639" s="118">
        <f>IFERROR((VLOOKUP($A639,Pitchers!$A1:$S251,13,FALSE)-AVERAGE(Rankings!AL2:AL651))/STDEV(Rankings!AL2:AL651)*-1,0)</f>
        <v>1.04242925672387</v>
      </c>
      <c r="AF639" s="118">
        <f>(VLOOKUP($A639,Pitchers!$A1:$S251,14,FALSE)-AVERAGE(Rankings!AM2:AM651))/STDEV(Rankings!AM2:AM651)</f>
        <v>0.88970672251011218</v>
      </c>
      <c r="AG639" s="118">
        <f>(VLOOKUP($A639,Pitchers!$A1:$S251,15,FALSE)-AVERAGE(Rankings!AN2:AN651))/STDEV(Rankings!AN2:AN651)</f>
        <v>-1.2302545831997735</v>
      </c>
      <c r="AH639" s="118">
        <f>(VLOOKUP($A639,Pitchers!$A1:$S251,16,FALSE)-AVERAGE(Rankings!AO2:AO651))/STDEV(Rankings!AO2:AO651)*-1</f>
        <v>1.4209694005287024</v>
      </c>
      <c r="AI639" s="118">
        <f>IFERROR((VLOOKUP($A639,Pitchers!$A1:$S251,17,FALSE)-AVERAGE(Rankings!AP2:AP651))/STDEV(Rankings!AP2:AP651),0)</f>
        <v>-1.1136479910031813</v>
      </c>
      <c r="AJ639" s="118">
        <f>(VLOOKUP($A639,Pitchers!$A1:$S251,18,FALSE)-AVERAGE(Rankings!AQ2:AQ651))/STDEV(Rankings!AQ2:AQ651)</f>
        <v>1.0616849267743176</v>
      </c>
      <c r="AK639" s="118">
        <f>IFERROR((VLOOKUP($A639,Pitchers!$A1:$S251,19,FALSE)-AVERAGE(Rankings!AR2:AR651))/STDEV(Rankings!AR2:AR651)*-1,0)</f>
        <v>-0.46817010195488579</v>
      </c>
    </row>
    <row r="640" spans="1:37" ht="20.100000000000001" customHeight="1">
      <c r="A640" s="26" t="s">
        <v>596</v>
      </c>
      <c r="B640" s="27" t="s">
        <v>95</v>
      </c>
      <c r="C640" s="128" t="s">
        <v>34</v>
      </c>
      <c r="D640" s="67">
        <f>(V640*Settings!$G$2)+(Y640*Settings!$G$5)+(Z640*Settings!$G$6)+(AA640*Settings!$G$7)+(AB640*Settings!$G$8)+(AC640*Settings!$G$9)+(AD640*Settings!$G$10)+(AE640*Settings!$G$11)+(AF640*Settings!$G$12)+(AG640*Settings!$G$13)+(AH640*Settings!$G$14)+(AI640*Settings!$G$15)+(AJ640*Settings!$G$16)+(AK640*Settings!$G$17)+(W640*Settings!$G$3)+(X640*Settings!$G$4)</f>
        <v>-2.4401248372100017</v>
      </c>
      <c r="E640" s="67"/>
      <c r="F640" s="67"/>
      <c r="G640" s="67"/>
      <c r="H640" s="67"/>
      <c r="I640" s="67"/>
      <c r="J640" s="67"/>
      <c r="K640" s="72"/>
      <c r="L640" s="72"/>
      <c r="M640" s="67"/>
      <c r="N640" s="67"/>
      <c r="O640" s="67"/>
      <c r="P640" s="67"/>
      <c r="Q640" s="67"/>
      <c r="R640" s="72"/>
      <c r="S640" s="72"/>
      <c r="T640" s="67"/>
      <c r="U640" s="67"/>
      <c r="V640" s="118">
        <f>(VLOOKUP($A640,Pitchers!$A1:$S251,4,FALSE)-AVERAGE(Rankings!AC2:AC651))/STDEV(Rankings!AC2:AC651)</f>
        <v>-1.1730629389671536</v>
      </c>
      <c r="W640" s="118">
        <f>(VLOOKUP($A640,Pitchers!$A1:$S251,5,FALSE)-AVERAGE(Rankings!AD2:AD651))/STDEV(Rankings!AD2:AD651)*-1</f>
        <v>-1.7623898523220282E-2</v>
      </c>
      <c r="X640" s="118">
        <f>(VLOOKUP($A640,Pitchers!$A1:$S251,6,FALSE)-AVERAGE(Rankings!AE2:AE651))/STDEV(Rankings!AE2:AE651)*-1</f>
        <v>0.11452037831040558</v>
      </c>
      <c r="Y640" s="118">
        <f>(VLOOKUP($A640,Pitchers!$A1:$S251,7,FALSE)-AVERAGE(Rankings!AF2:AF651))/STDEV(Rankings!AF2:AF651)</f>
        <v>-1.0829226707611941</v>
      </c>
      <c r="Z640" s="118">
        <f>(VLOOKUP($A640,Pitchers!$A1:$S251,8,FALSE)-AVERAGE(Rankings!AG2:AG651))/STDEV(Rankings!AG2:AG651)</f>
        <v>-1.2644738800227924</v>
      </c>
      <c r="AA640" s="118">
        <f>(VLOOKUP($A640,Pitchers!$A1:$S251,9,FALSE)-AVERAGE(Rankings!AH2:AH651))/STDEV(Rankings!AH2:AH651)</f>
        <v>-0.18962476621320079</v>
      </c>
      <c r="AB640" s="118">
        <f>(VLOOKUP($A640,Pitchers!$A1:$S251,10,FALSE)-AVERAGE(Rankings!AI2:AI651))/STDEV(Rankings!AI2:AI651)*-1</f>
        <v>1.1156880732102965</v>
      </c>
      <c r="AC640" s="118">
        <f>(VLOOKUP($A640,Pitchers!$A1:$S251,11,FALSE)-AVERAGE(Rankings!AJ2:AJ651))/STDEV(Rankings!AJ2:AJ651)*-1</f>
        <v>1.1268805081106992</v>
      </c>
      <c r="AD640" s="118">
        <f>(VLOOKUP($A640,Pitchers!$A1:$S251,12,FALSE)-AVERAGE(Rankings!AK2:AK651))/STDEV(Rankings!AK2:AK651)*-1</f>
        <v>1.2122415688646295</v>
      </c>
      <c r="AE640" s="118">
        <f>IFERROR((VLOOKUP($A640,Pitchers!$A1:$S251,13,FALSE)-AVERAGE(Rankings!AL2:AL651))/STDEV(Rankings!AL2:AL651)*-1,0)</f>
        <v>1.0834790468428313</v>
      </c>
      <c r="AF640" s="118">
        <f>(VLOOKUP($A640,Pitchers!$A1:$S251,14,FALSE)-AVERAGE(Rankings!AM2:AM651))/STDEV(Rankings!AM2:AM651)</f>
        <v>1.1497135285493647</v>
      </c>
      <c r="AG640" s="118">
        <f>(VLOOKUP($A640,Pitchers!$A1:$S251,15,FALSE)-AVERAGE(Rankings!AN2:AN651))/STDEV(Rankings!AN2:AN651)</f>
        <v>-1.1761130544015901</v>
      </c>
      <c r="AH640" s="118">
        <f>(VLOOKUP($A640,Pitchers!$A1:$S251,16,FALSE)-AVERAGE(Rankings!AO2:AO651))/STDEV(Rankings!AO2:AO651)*-1</f>
        <v>1.4127290191243584</v>
      </c>
      <c r="AI640" s="118">
        <f>IFERROR((VLOOKUP($A640,Pitchers!$A1:$S251,17,FALSE)-AVERAGE(Rankings!AP2:AP651))/STDEV(Rankings!AP2:AP651),0)</f>
        <v>-1.1136479910031813</v>
      </c>
      <c r="AJ640" s="118">
        <f>(VLOOKUP($A640,Pitchers!$A1:$S251,18,FALSE)-AVERAGE(Rankings!AQ2:AQ651))/STDEV(Rankings!AQ2:AQ651)</f>
        <v>2.3390669924271985</v>
      </c>
      <c r="AK640" s="118">
        <f>IFERROR((VLOOKUP($A640,Pitchers!$A1:$S251,19,FALSE)-AVERAGE(Rankings!AR2:AR651))/STDEV(Rankings!AR2:AR651)*-1,0)</f>
        <v>0.47686441955275594</v>
      </c>
    </row>
    <row r="641" spans="1:37" ht="20.100000000000001" customHeight="1">
      <c r="A641" s="26" t="s">
        <v>601</v>
      </c>
      <c r="B641" s="27" t="s">
        <v>101</v>
      </c>
      <c r="C641" s="128" t="s">
        <v>34</v>
      </c>
      <c r="D641" s="67">
        <f>(V641*Settings!$G$2)+(Y641*Settings!$G$5)+(Z641*Settings!$G$6)+(AA641*Settings!$G$7)+(AB641*Settings!$G$8)+(AC641*Settings!$G$9)+(AD641*Settings!$G$10)+(AE641*Settings!$G$11)+(AF641*Settings!$G$12)+(AG641*Settings!$G$13)+(AH641*Settings!$G$14)+(AI641*Settings!$G$15)+(AJ641*Settings!$G$16)+(AK641*Settings!$G$17)+(W641*Settings!$G$3)+(X641*Settings!$G$4)</f>
        <v>-1.5452948240902766</v>
      </c>
      <c r="E641" s="67"/>
      <c r="F641" s="67"/>
      <c r="G641" s="67"/>
      <c r="H641" s="67"/>
      <c r="I641" s="67"/>
      <c r="J641" s="67"/>
      <c r="K641" s="72"/>
      <c r="L641" s="72"/>
      <c r="M641" s="67"/>
      <c r="N641" s="67"/>
      <c r="O641" s="67"/>
      <c r="P641" s="67"/>
      <c r="Q641" s="67"/>
      <c r="R641" s="72"/>
      <c r="S641" s="72"/>
      <c r="T641" s="67"/>
      <c r="U641" s="67"/>
      <c r="V641" s="118">
        <f>(VLOOKUP($A641,Pitchers!$A1:$S251,4,FALSE)-AVERAGE(Rankings!AC2:AC651))/STDEV(Rankings!AC2:AC651)</f>
        <v>-1.2331256233526591</v>
      </c>
      <c r="W641" s="118">
        <f>(VLOOKUP($A641,Pitchers!$A1:$S251,5,FALSE)-AVERAGE(Rankings!AD2:AD651))/STDEV(Rankings!AD2:AD651)*-1</f>
        <v>0.84331082988905559</v>
      </c>
      <c r="X641" s="118">
        <f>(VLOOKUP($A641,Pitchers!$A1:$S251,6,FALSE)-AVERAGE(Rankings!AE2:AE651))/STDEV(Rankings!AE2:AE651)*-1</f>
        <v>-1.5434534514747088E-2</v>
      </c>
      <c r="Y641" s="118">
        <f>(VLOOKUP($A641,Pitchers!$A1:$S251,7,FALSE)-AVERAGE(Rankings!AF2:AF651))/STDEV(Rankings!AF2:AF651)</f>
        <v>-0.89667832786960777</v>
      </c>
      <c r="Z641" s="118">
        <f>(VLOOKUP($A641,Pitchers!$A1:$S251,8,FALSE)-AVERAGE(Rankings!AG2:AG651))/STDEV(Rankings!AG2:AG651)</f>
        <v>-1.1241231207554854</v>
      </c>
      <c r="AA641" s="118">
        <f>(VLOOKUP($A641,Pitchers!$A1:$S251,9,FALSE)-AVERAGE(Rankings!AH2:AH651))/STDEV(Rankings!AH2:AH651)</f>
        <v>-0.35236967083949189</v>
      </c>
      <c r="AB641" s="118">
        <f>(VLOOKUP($A641,Pitchers!$A1:$S251,10,FALSE)-AVERAGE(Rankings!AI2:AI651))/STDEV(Rankings!AI2:AI651)*-1</f>
        <v>1.2766299491007129</v>
      </c>
      <c r="AC641" s="118">
        <f>(VLOOKUP($A641,Pitchers!$A1:$S251,11,FALSE)-AVERAGE(Rankings!AJ2:AJ651))/STDEV(Rankings!AJ2:AJ651)*-1</f>
        <v>1.3313108506758522</v>
      </c>
      <c r="AD641" s="118">
        <f>(VLOOKUP($A641,Pitchers!$A1:$S251,12,FALSE)-AVERAGE(Rankings!AK2:AK651))/STDEV(Rankings!AK2:AK651)*-1</f>
        <v>0.73602588842886363</v>
      </c>
      <c r="AE641" s="118">
        <f>IFERROR((VLOOKUP($A641,Pitchers!$A1:$S251,13,FALSE)-AVERAGE(Rankings!AL2:AL651))/STDEV(Rankings!AL2:AL651)*-1,0)</f>
        <v>1.1655786270807533</v>
      </c>
      <c r="AF641" s="118">
        <f>(VLOOKUP($A641,Pitchers!$A1:$S251,14,FALSE)-AVERAGE(Rankings!AM2:AM651))/STDEV(Rankings!AM2:AM651)</f>
        <v>0.83079782353963805</v>
      </c>
      <c r="AG641" s="118">
        <f>(VLOOKUP($A641,Pitchers!$A1:$S251,15,FALSE)-AVERAGE(Rankings!AN2:AN651))/STDEV(Rankings!AN2:AN651)</f>
        <v>-1.2302545831997735</v>
      </c>
      <c r="AH641" s="118">
        <f>(VLOOKUP($A641,Pitchers!$A1:$S251,16,FALSE)-AVERAGE(Rankings!AO2:AO651))/STDEV(Rankings!AO2:AO651)*-1</f>
        <v>1.4163701178844175</v>
      </c>
      <c r="AI641" s="118">
        <f>IFERROR((VLOOKUP($A641,Pitchers!$A1:$S251,17,FALSE)-AVERAGE(Rankings!AP2:AP651))/STDEV(Rankings!AP2:AP651),0)</f>
        <v>-1.1136479910031813</v>
      </c>
      <c r="AJ641" s="118">
        <f>(VLOOKUP($A641,Pitchers!$A1:$S251,18,FALSE)-AVERAGE(Rankings!AQ2:AQ651))/STDEV(Rankings!AQ2:AQ651)</f>
        <v>0.26332113574126703</v>
      </c>
      <c r="AK641" s="118">
        <f>IFERROR((VLOOKUP($A641,Pitchers!$A1:$S251,19,FALSE)-AVERAGE(Rankings!AR2:AR651))/STDEV(Rankings!AR2:AR651)*-1,0)</f>
        <v>0.47686441955275594</v>
      </c>
    </row>
    <row r="642" spans="1:37" ht="20.100000000000001" customHeight="1">
      <c r="A642" s="26" t="s">
        <v>597</v>
      </c>
      <c r="B642" s="27" t="s">
        <v>99</v>
      </c>
      <c r="C642" s="128" t="s">
        <v>34</v>
      </c>
      <c r="D642" s="67">
        <f>(V642*Settings!$G$2)+(Y642*Settings!$G$5)+(Z642*Settings!$G$6)+(AA642*Settings!$G$7)+(AB642*Settings!$G$8)+(AC642*Settings!$G$9)+(AD642*Settings!$G$10)+(AE642*Settings!$G$11)+(AF642*Settings!$G$12)+(AG642*Settings!$G$13)+(AH642*Settings!$G$14)+(AI642*Settings!$G$15)+(AJ642*Settings!$G$16)+(AK642*Settings!$G$17)+(W642*Settings!$G$3)+(X642*Settings!$G$4)</f>
        <v>-2.7287457631938441</v>
      </c>
      <c r="E642" s="67"/>
      <c r="F642" s="67"/>
      <c r="G642" s="67"/>
      <c r="H642" s="67"/>
      <c r="I642" s="67"/>
      <c r="J642" s="67"/>
      <c r="K642" s="72"/>
      <c r="L642" s="72"/>
      <c r="M642" s="67"/>
      <c r="N642" s="67"/>
      <c r="O642" s="67"/>
      <c r="P642" s="67"/>
      <c r="Q642" s="67"/>
      <c r="R642" s="72"/>
      <c r="S642" s="72"/>
      <c r="T642" s="67"/>
      <c r="U642" s="67"/>
      <c r="V642" s="118">
        <f>(VLOOKUP($A642,Pitchers!$A1:$S251,4,FALSE)-AVERAGE(Rankings!AC2:AC651))/STDEV(Rankings!AC2:AC651)</f>
        <v>-1.087470177637466</v>
      </c>
      <c r="W642" s="118">
        <f>(VLOOKUP($A642,Pitchers!$A1:$S251,5,FALSE)-AVERAGE(Rankings!AD2:AD651))/STDEV(Rankings!AD2:AD651)*-1</f>
        <v>6.8824971303621724E-2</v>
      </c>
      <c r="X642" s="118">
        <f>(VLOOKUP($A642,Pitchers!$A1:$S251,6,FALSE)-AVERAGE(Rankings!AE2:AE651))/STDEV(Rankings!AE2:AE651)*-1</f>
        <v>-0.65348477523727322</v>
      </c>
      <c r="Y642" s="118">
        <f>(VLOOKUP($A642,Pitchers!$A1:$S251,7,FALSE)-AVERAGE(Rankings!AF2:AF651))/STDEV(Rankings!AF2:AF651)</f>
        <v>-0.77309711567834249</v>
      </c>
      <c r="Z642" s="118">
        <f>(VLOOKUP($A642,Pitchers!$A1:$S251,8,FALSE)-AVERAGE(Rankings!AG2:AG651))/STDEV(Rankings!AG2:AG651)</f>
        <v>-0.88827596858465008</v>
      </c>
      <c r="AA642" s="118">
        <f>(VLOOKUP($A642,Pitchers!$A1:$S251,9,FALSE)-AVERAGE(Rankings!AH2:AH651))/STDEV(Rankings!AH2:AH651)</f>
        <v>-0.48271287499720011</v>
      </c>
      <c r="AB642" s="118">
        <f>(VLOOKUP($A642,Pitchers!$A1:$S251,10,FALSE)-AVERAGE(Rankings!AI2:AI651))/STDEV(Rankings!AI2:AI651)*-1</f>
        <v>1.047437431693157</v>
      </c>
      <c r="AC642" s="118">
        <f>(VLOOKUP($A642,Pitchers!$A1:$S251,11,FALSE)-AVERAGE(Rankings!AJ2:AJ651))/STDEV(Rankings!AJ2:AJ651)*-1</f>
        <v>1.1421974432671047</v>
      </c>
      <c r="AD642" s="118">
        <f>(VLOOKUP($A642,Pitchers!$A1:$S251,12,FALSE)-AVERAGE(Rankings!AK2:AK651))/STDEV(Rankings!AK2:AK651)*-1</f>
        <v>0.5020436791058448</v>
      </c>
      <c r="AE642" s="118">
        <f>IFERROR((VLOOKUP($A642,Pitchers!$A1:$S251,13,FALSE)-AVERAGE(Rankings!AL2:AL651))/STDEV(Rankings!AL2:AL651)*-1,0)</f>
        <v>1.0545027244059175</v>
      </c>
      <c r="AF642" s="118">
        <f>(VLOOKUP($A642,Pitchers!$A1:$S251,14,FALSE)-AVERAGE(Rankings!AM2:AM651))/STDEV(Rankings!AM2:AM651)</f>
        <v>-8.5247953595928683E-2</v>
      </c>
      <c r="AG642" s="118">
        <f>(VLOOKUP($A642,Pitchers!$A1:$S251,15,FALSE)-AVERAGE(Rankings!AN2:AN651))/STDEV(Rankings!AN2:AN651)</f>
        <v>-0.80704829976063885</v>
      </c>
      <c r="AH642" s="118">
        <f>(VLOOKUP($A642,Pitchers!$A1:$S251,16,FALSE)-AVERAGE(Rankings!AO2:AO651))/STDEV(Rankings!AO2:AO651)*-1</f>
        <v>0.91619813031841801</v>
      </c>
      <c r="AI642" s="118">
        <f>IFERROR((VLOOKUP($A642,Pitchers!$A1:$S251,17,FALSE)-AVERAGE(Rankings!AP2:AP651))/STDEV(Rankings!AP2:AP651),0)</f>
        <v>-0.70582588808609203</v>
      </c>
      <c r="AJ642" s="118">
        <f>(VLOOKUP($A642,Pitchers!$A1:$S251,18,FALSE)-AVERAGE(Rankings!AQ2:AQ651))/STDEV(Rankings!AQ2:AQ651)</f>
        <v>-5.6024380671953228E-2</v>
      </c>
      <c r="AK642" s="118">
        <f>IFERROR((VLOOKUP($A642,Pitchers!$A1:$S251,19,FALSE)-AVERAGE(Rankings!AR2:AR651))/STDEV(Rankings!AR2:AR651)*-1,0)</f>
        <v>4.3471587989350928E-3</v>
      </c>
    </row>
    <row r="643" spans="1:37" ht="20.100000000000001" customHeight="1">
      <c r="A643" s="26" t="s">
        <v>600</v>
      </c>
      <c r="B643" s="27" t="s">
        <v>97</v>
      </c>
      <c r="C643" s="128" t="s">
        <v>34</v>
      </c>
      <c r="D643" s="67">
        <f>(V643*Settings!$G$2)+(Y643*Settings!$G$5)+(Z643*Settings!$G$6)+(AA643*Settings!$G$7)+(AB643*Settings!$G$8)+(AC643*Settings!$G$9)+(AD643*Settings!$G$10)+(AE643*Settings!$G$11)+(AF643*Settings!$G$12)+(AG643*Settings!$G$13)+(AH643*Settings!$G$14)+(AI643*Settings!$G$15)+(AJ643*Settings!$G$16)+(AK643*Settings!$G$17)+(W643*Settings!$G$3)+(X643*Settings!$G$4)</f>
        <v>-1.9968460183040351</v>
      </c>
      <c r="E643" s="67"/>
      <c r="F643" s="67"/>
      <c r="G643" s="67"/>
      <c r="H643" s="67"/>
      <c r="I643" s="67"/>
      <c r="J643" s="67"/>
      <c r="K643" s="72"/>
      <c r="L643" s="72"/>
      <c r="M643" s="67"/>
      <c r="N643" s="67"/>
      <c r="O643" s="67"/>
      <c r="P643" s="67"/>
      <c r="Q643" s="67"/>
      <c r="R643" s="72"/>
      <c r="S643" s="72"/>
      <c r="T643" s="67"/>
      <c r="U643" s="67"/>
      <c r="V643" s="118">
        <f>(VLOOKUP($A643,Pitchers!$A1:$S251,4,FALSE)-AVERAGE(Rankings!AC2:AC651))/STDEV(Rankings!AC2:AC651)</f>
        <v>-1.165526469416112</v>
      </c>
      <c r="W643" s="118">
        <f>(VLOOKUP($A643,Pitchers!$A1:$S251,5,FALSE)-AVERAGE(Rankings!AD2:AD651))/STDEV(Rankings!AD2:AD651)*-1</f>
        <v>-0.15308655231182092</v>
      </c>
      <c r="X643" s="118">
        <f>(VLOOKUP($A643,Pitchers!$A1:$S251,6,FALSE)-AVERAGE(Rankings!AE2:AE651))/STDEV(Rankings!AE2:AE651)*-1</f>
        <v>0.43771538047221425</v>
      </c>
      <c r="Y643" s="118">
        <f>(VLOOKUP($A643,Pitchers!$A1:$S251,7,FALSE)-AVERAGE(Rankings!AF2:AF651))/STDEV(Rankings!AF2:AF651)</f>
        <v>-0.98208585415745253</v>
      </c>
      <c r="Z643" s="118">
        <f>(VLOOKUP($A643,Pitchers!$A1:$S251,8,FALSE)-AVERAGE(Rankings!AG2:AG651))/STDEV(Rankings!AG2:AG651)</f>
        <v>-1.1583667767966495</v>
      </c>
      <c r="AA643" s="118">
        <f>(VLOOKUP($A643,Pitchers!$A1:$S251,9,FALSE)-AVERAGE(Rankings!AH2:AH651))/STDEV(Rankings!AH2:AH651)</f>
        <v>-0.14102221551032654</v>
      </c>
      <c r="AB643" s="118">
        <f>(VLOOKUP($A643,Pitchers!$A1:$S251,10,FALSE)-AVERAGE(Rankings!AI2:AI651))/STDEV(Rankings!AI2:AI651)*-1</f>
        <v>1.0911585130374697</v>
      </c>
      <c r="AC643" s="118">
        <f>(VLOOKUP($A643,Pitchers!$A1:$S251,11,FALSE)-AVERAGE(Rankings!AJ2:AJ651))/STDEV(Rankings!AJ2:AJ651)*-1</f>
        <v>1.179297939516518</v>
      </c>
      <c r="AD643" s="118">
        <f>(VLOOKUP($A643,Pitchers!$A1:$S251,12,FALSE)-AVERAGE(Rankings!AK2:AK651))/STDEV(Rankings!AK2:AK651)*-1</f>
        <v>1.1260355290233697</v>
      </c>
      <c r="AE643" s="118">
        <f>IFERROR((VLOOKUP($A643,Pitchers!$A1:$S251,13,FALSE)-AVERAGE(Rankings!AL2:AL651))/STDEV(Rankings!AL2:AL651)*-1,0)</f>
        <v>0.76473950003678048</v>
      </c>
      <c r="AF643" s="118">
        <f>(VLOOKUP($A643,Pitchers!$A1:$S251,14,FALSE)-AVERAGE(Rankings!AM2:AM651))/STDEV(Rankings!AM2:AM651)</f>
        <v>1.3368192437400088</v>
      </c>
      <c r="AG643" s="118">
        <f>(VLOOKUP($A643,Pitchers!$A1:$S251,15,FALSE)-AVERAGE(Rankings!AN2:AN651))/STDEV(Rankings!AN2:AN651)</f>
        <v>-1.2018947347816773</v>
      </c>
      <c r="AH643" s="118">
        <f>(VLOOKUP($A643,Pitchers!$A1:$S251,16,FALSE)-AVERAGE(Rankings!AO2:AO651))/STDEV(Rankings!AO2:AO651)*-1</f>
        <v>1.0792810274136921</v>
      </c>
      <c r="AI643" s="118">
        <f>IFERROR((VLOOKUP($A643,Pitchers!$A1:$S251,17,FALSE)-AVERAGE(Rankings!AP2:AP651))/STDEV(Rankings!AP2:AP651),0)</f>
        <v>-1.1136479910031813</v>
      </c>
      <c r="AJ643" s="118">
        <f>(VLOOKUP($A643,Pitchers!$A1:$S251,18,FALSE)-AVERAGE(Rankings!AQ2:AQ651))/STDEV(Rankings!AQ2:AQ651)</f>
        <v>1.7003759596007579</v>
      </c>
      <c r="AK643" s="118">
        <f>IFERROR((VLOOKUP($A643,Pitchers!$A1:$S251,19,FALSE)-AVERAGE(Rankings!AR2:AR651))/STDEV(Rankings!AR2:AR651)*-1,0)</f>
        <v>0.47686441955275594</v>
      </c>
    </row>
    <row r="644" spans="1:37" ht="20.100000000000001" customHeight="1">
      <c r="A644" s="26" t="s">
        <v>583</v>
      </c>
      <c r="B644" s="27" t="s">
        <v>134</v>
      </c>
      <c r="C644" s="128" t="s">
        <v>34</v>
      </c>
      <c r="D644" s="67">
        <f>(V644*Settings!$G$2)+(Y644*Settings!$G$5)+(Z644*Settings!$G$6)+(AA644*Settings!$G$7)+(AB644*Settings!$G$8)+(AC644*Settings!$G$9)+(AD644*Settings!$G$10)+(AE644*Settings!$G$11)+(AF644*Settings!$G$12)+(AG644*Settings!$G$13)+(AH644*Settings!$G$14)+(AI644*Settings!$G$15)+(AJ644*Settings!$G$16)+(AK644*Settings!$G$17)+(W644*Settings!$G$3)+(X644*Settings!$G$4)</f>
        <v>-2.6915208131009942</v>
      </c>
      <c r="E644" s="67"/>
      <c r="F644" s="67"/>
      <c r="G644" s="67"/>
      <c r="H644" s="67"/>
      <c r="I644" s="67"/>
      <c r="J644" s="67"/>
      <c r="K644" s="72"/>
      <c r="L644" s="72"/>
      <c r="M644" s="67"/>
      <c r="N644" s="67"/>
      <c r="O644" s="67"/>
      <c r="P644" s="67"/>
      <c r="Q644" s="67"/>
      <c r="R644" s="72"/>
      <c r="S644" s="72"/>
      <c r="T644" s="67"/>
      <c r="U644" s="67"/>
      <c r="V644" s="118">
        <f>(VLOOKUP($A644,Pitchers!$A1:$S251,4,FALSE)-AVERAGE(Rankings!AC2:AC651))/STDEV(Rankings!AC2:AC651)</f>
        <v>-1.2152121911675087</v>
      </c>
      <c r="W644" s="118">
        <f>(VLOOKUP($A644,Pitchers!$A1:$S251,5,FALSE)-AVERAGE(Rankings!AD2:AD651))/STDEV(Rankings!AD2:AD651)*-1</f>
        <v>-1.9162508735795319E-2</v>
      </c>
      <c r="X644" s="118">
        <f>(VLOOKUP($A644,Pitchers!$A1:$S251,6,FALSE)-AVERAGE(Rankings!AE2:AE651))/STDEV(Rankings!AE2:AE651)*-1</f>
        <v>-0.15089330245035712</v>
      </c>
      <c r="Y644" s="118">
        <f>(VLOOKUP($A644,Pitchers!$A1:$S251,7,FALSE)-AVERAGE(Rankings!AF2:AF651))/STDEV(Rankings!AF2:AF651)</f>
        <v>-1.072898920083768</v>
      </c>
      <c r="Z644" s="118">
        <f>(VLOOKUP($A644,Pitchers!$A1:$S251,8,FALSE)-AVERAGE(Rankings!AG2:AG651))/STDEV(Rankings!AG2:AG651)</f>
        <v>-1.1072424452422354</v>
      </c>
      <c r="AA644" s="118">
        <f>(VLOOKUP($A644,Pitchers!$A1:$S251,9,FALSE)-AVERAGE(Rankings!AH2:AH651))/STDEV(Rankings!AH2:AH651)</f>
        <v>-0.34132363658883869</v>
      </c>
      <c r="AB644" s="118">
        <f>(VLOOKUP($A644,Pitchers!$A1:$S251,10,FALSE)-AVERAGE(Rankings!AI2:AI651))/STDEV(Rankings!AI2:AI651)*-1</f>
        <v>1.1549607887201587</v>
      </c>
      <c r="AC644" s="118">
        <f>(VLOOKUP($A644,Pitchers!$A1:$S251,11,FALSE)-AVERAGE(Rankings!AJ2:AJ651))/STDEV(Rankings!AJ2:AJ651)*-1</f>
        <v>1.2211658023323324</v>
      </c>
      <c r="AD644" s="118">
        <f>(VLOOKUP($A644,Pitchers!$A1:$S251,12,FALSE)-AVERAGE(Rankings!AK2:AK651))/STDEV(Rankings!AK2:AK651)*-1</f>
        <v>0.97947740294866625</v>
      </c>
      <c r="AE644" s="118">
        <f>IFERROR((VLOOKUP($A644,Pitchers!$A1:$S251,13,FALSE)-AVERAGE(Rankings!AL2:AL651))/STDEV(Rankings!AL2:AL651)*-1,0)</f>
        <v>1.0206970148961849</v>
      </c>
      <c r="AF644" s="118">
        <f>(VLOOKUP($A644,Pitchers!$A1:$S251,14,FALSE)-AVERAGE(Rankings!AM2:AM651))/STDEV(Rankings!AM2:AM651)</f>
        <v>1.0775209031123079</v>
      </c>
      <c r="AG644" s="118">
        <f>(VLOOKUP($A644,Pitchers!$A1:$S251,15,FALSE)-AVERAGE(Rankings!AN2:AN651))/STDEV(Rankings!AN2:AN651)</f>
        <v>-1.2302545831997735</v>
      </c>
      <c r="AH644" s="118">
        <f>(VLOOKUP($A644,Pitchers!$A1:$S251,16,FALSE)-AVERAGE(Rankings!AO2:AO651))/STDEV(Rankings!AO2:AO651)*-1</f>
        <v>1.0405703984909598</v>
      </c>
      <c r="AI644" s="118">
        <f>IFERROR((VLOOKUP($A644,Pitchers!$A1:$S251,17,FALSE)-AVERAGE(Rankings!AP2:AP651))/STDEV(Rankings!AP2:AP651),0)</f>
        <v>-1.1136479910031813</v>
      </c>
      <c r="AJ644" s="118">
        <f>(VLOOKUP($A644,Pitchers!$A1:$S251,18,FALSE)-AVERAGE(Rankings!AQ2:AQ651))/STDEV(Rankings!AQ2:AQ651)</f>
        <v>1.6205395804974529</v>
      </c>
      <c r="AK644" s="118">
        <f>IFERROR((VLOOKUP($A644,Pitchers!$A1:$S251,19,FALSE)-AVERAGE(Rankings!AR2:AR651))/STDEV(Rankings!AR2:AR651)*-1,0)</f>
        <v>-0.46817010195488579</v>
      </c>
    </row>
    <row r="645" spans="1:37" ht="20.100000000000001" customHeight="1">
      <c r="A645" s="26" t="s">
        <v>653</v>
      </c>
      <c r="B645" s="27" t="s">
        <v>156</v>
      </c>
      <c r="C645" s="128" t="s">
        <v>34</v>
      </c>
      <c r="D645" s="67">
        <f>(V645*Settings!$G$2)+(Y645*Settings!$G$5)+(Z645*Settings!$G$6)+(AA645*Settings!$G$7)+(AB645*Settings!$G$8)+(AC645*Settings!$G$9)+(AD645*Settings!$G$10)+(AE645*Settings!$G$11)+(AF645*Settings!$G$12)+(AG645*Settings!$G$13)+(AH645*Settings!$G$14)+(AI645*Settings!$G$15)+(AJ645*Settings!$G$16)+(AK645*Settings!$G$17)+(W645*Settings!$G$3)+(X645*Settings!$G$4)</f>
        <v>-2.5490624370738071</v>
      </c>
      <c r="E645" s="67"/>
      <c r="F645" s="67"/>
      <c r="G645" s="67"/>
      <c r="H645" s="67"/>
      <c r="I645" s="67"/>
      <c r="J645" s="67"/>
      <c r="K645" s="72"/>
      <c r="L645" s="72"/>
      <c r="M645" s="67"/>
      <c r="N645" s="67"/>
      <c r="O645" s="67"/>
      <c r="P645" s="67"/>
      <c r="Q645" s="67"/>
      <c r="R645" s="72"/>
      <c r="S645" s="72"/>
      <c r="T645" s="67"/>
      <c r="U645" s="67"/>
      <c r="V645" s="118">
        <f>(VLOOKUP($A645,Pitchers!$A1:$S251,4,FALSE)-AVERAGE(Rankings!AC2:AC651))/STDEV(Rankings!AC2:AC651)</f>
        <v>-1.0428354939894273</v>
      </c>
      <c r="W645" s="118">
        <f>(VLOOKUP($A645,Pitchers!$A1:$S251,5,FALSE)-AVERAGE(Rankings!AD2:AD651))/STDEV(Rankings!AD2:AD651)*-1</f>
        <v>-0.5597522530265765</v>
      </c>
      <c r="X645" s="118">
        <f>(VLOOKUP($A645,Pitchers!$A1:$S251,6,FALSE)-AVERAGE(Rankings!AE2:AE651))/STDEV(Rankings!AE2:AE651)*-1</f>
        <v>0.2603628250645641</v>
      </c>
      <c r="Y645" s="118">
        <f>(VLOOKUP($A645,Pitchers!$A1:$S251,7,FALSE)-AVERAGE(Rankings!AF2:AF651))/STDEV(Rankings!AF2:AF651)</f>
        <v>-0.86248241406971426</v>
      </c>
      <c r="Z645" s="118">
        <f>(VLOOKUP($A645,Pitchers!$A1:$S251,8,FALSE)-AVERAGE(Rankings!AG2:AG651))/STDEV(Rankings!AG2:AG651)</f>
        <v>-1.1077247502568999</v>
      </c>
      <c r="AA645" s="118">
        <f>(VLOOKUP($A645,Pitchers!$A1:$S251,9,FALSE)-AVERAGE(Rankings!AH2:AH651))/STDEV(Rankings!AH2:AH651)</f>
        <v>-0.27946584478518049</v>
      </c>
      <c r="AB645" s="118">
        <f>(VLOOKUP($A645,Pitchers!$A1:$S251,10,FALSE)-AVERAGE(Rankings!AI2:AI651))/STDEV(Rankings!AI2:AI651)*-1</f>
        <v>0.91657921846029522</v>
      </c>
      <c r="AC645" s="118">
        <f>(VLOOKUP($A645,Pitchers!$A1:$S251,11,FALSE)-AVERAGE(Rankings!AJ2:AJ651))/STDEV(Rankings!AJ2:AJ651)*-1</f>
        <v>1.0206767974730646</v>
      </c>
      <c r="AD645" s="118">
        <f>(VLOOKUP($A645,Pitchers!$A1:$S251,12,FALSE)-AVERAGE(Rankings!AK2:AK651))/STDEV(Rankings!AK2:AK651)*-1</f>
        <v>1.0837576352817127</v>
      </c>
      <c r="AE645" s="118">
        <f>IFERROR((VLOOKUP($A645,Pitchers!$A1:$S251,13,FALSE)-AVERAGE(Rankings!AL2:AL651))/STDEV(Rankings!AL2:AL651)*-1,0)</f>
        <v>0.55224646883274697</v>
      </c>
      <c r="AF645" s="118">
        <f>(VLOOKUP($A645,Pitchers!$A1:$S251,14,FALSE)-AVERAGE(Rankings!AM2:AM651))/STDEV(Rankings!AM2:AM651)</f>
        <v>1.3616155331442974</v>
      </c>
      <c r="AG645" s="118">
        <f>(VLOOKUP($A645,Pitchers!$A1:$S251,15,FALSE)-AVERAGE(Rankings!AN2:AN651))/STDEV(Rankings!AN2:AN651)</f>
        <v>-1.2302545831997735</v>
      </c>
      <c r="AH645" s="118">
        <f>(VLOOKUP($A645,Pitchers!$A1:$S251,16,FALSE)-AVERAGE(Rankings!AO2:AO651))/STDEV(Rankings!AO2:AO651)*-1</f>
        <v>0.97656371502465944</v>
      </c>
      <c r="AI645" s="118">
        <f>IFERROR((VLOOKUP($A645,Pitchers!$A1:$S251,17,FALSE)-AVERAGE(Rankings!AP2:AP651))/STDEV(Rankings!AP2:AP651),0)</f>
        <v>-1.1136479910031813</v>
      </c>
      <c r="AJ645" s="118">
        <f>(VLOOKUP($A645,Pitchers!$A1:$S251,18,FALSE)-AVERAGE(Rankings!AQ2:AQ651))/STDEV(Rankings!AQ2:AQ651)</f>
        <v>1.540703201394148</v>
      </c>
      <c r="AK645" s="118">
        <f>IFERROR((VLOOKUP($A645,Pitchers!$A1:$S251,19,FALSE)-AVERAGE(Rankings!AR2:AR651))/STDEV(Rankings!AR2:AR651)*-1,0)</f>
        <v>4.3471587989350928E-3</v>
      </c>
    </row>
    <row r="646" spans="1:37" ht="20.100000000000001" customHeight="1">
      <c r="A646" s="26" t="s">
        <v>594</v>
      </c>
      <c r="B646" s="27" t="s">
        <v>68</v>
      </c>
      <c r="C646" s="128" t="s">
        <v>34</v>
      </c>
      <c r="D646" s="67">
        <f>(V646*Settings!$G$2)+(Y646*Settings!$G$5)+(Z646*Settings!$G$6)+(AA646*Settings!$G$7)+(AB646*Settings!$G$8)+(AC646*Settings!$G$9)+(AD646*Settings!$G$10)+(AE646*Settings!$G$11)+(AF646*Settings!$G$12)+(AG646*Settings!$G$13)+(AH646*Settings!$G$14)+(AI646*Settings!$G$15)+(AJ646*Settings!$G$16)+(AK646*Settings!$G$17)+(W646*Settings!$G$3)+(X646*Settings!$G$4)</f>
        <v>-1.7488165627392047</v>
      </c>
      <c r="E646" s="67"/>
      <c r="F646" s="67"/>
      <c r="G646" s="67"/>
      <c r="H646" s="67"/>
      <c r="I646" s="67"/>
      <c r="J646" s="67"/>
      <c r="K646" s="72"/>
      <c r="L646" s="72"/>
      <c r="M646" s="67"/>
      <c r="N646" s="67"/>
      <c r="O646" s="67"/>
      <c r="P646" s="67"/>
      <c r="Q646" s="67"/>
      <c r="R646" s="72"/>
      <c r="S646" s="72"/>
      <c r="T646" s="67"/>
      <c r="U646" s="67"/>
      <c r="V646" s="118">
        <f>(VLOOKUP($A646,Pitchers!$A1:$S251,4,FALSE)-AVERAGE(Rankings!AC2:AC651))/STDEV(Rankings!AC2:AC651)</f>
        <v>-1.0879855896888291</v>
      </c>
      <c r="W646" s="118">
        <f>(VLOOKUP($A646,Pitchers!$A1:$S251,5,FALSE)-AVERAGE(Rankings!AD2:AD651))/STDEV(Rankings!AD2:AD651)*-1</f>
        <v>0.47418774275049413</v>
      </c>
      <c r="X646" s="118">
        <f>(VLOOKUP($A646,Pitchers!$A1:$S251,6,FALSE)-AVERAGE(Rankings!AE2:AE651))/STDEV(Rankings!AE2:AE651)*-1</f>
        <v>-0.12776164451269875</v>
      </c>
      <c r="Y646" s="118">
        <f>(VLOOKUP($A646,Pitchers!$A1:$S251,7,FALSE)-AVERAGE(Rankings!AF2:AF651))/STDEV(Rankings!AF2:AF651)</f>
        <v>-1.2419983013828986</v>
      </c>
      <c r="Z646" s="118">
        <f>(VLOOKUP($A646,Pitchers!$A1:$S251,8,FALSE)-AVERAGE(Rankings!AG2:AG651))/STDEV(Rankings!AG2:AG651)</f>
        <v>-0.82268248659030729</v>
      </c>
      <c r="AA646" s="118">
        <f>(VLOOKUP($A646,Pitchers!$A1:$S251,9,FALSE)-AVERAGE(Rankings!AH2:AH651))/STDEV(Rankings!AH2:AH651)</f>
        <v>-3.0561873003794111E-2</v>
      </c>
      <c r="AB646" s="118">
        <f>(VLOOKUP($A646,Pitchers!$A1:$S251,10,FALSE)-AVERAGE(Rankings!AI2:AI651))/STDEV(Rankings!AI2:AI651)*-1</f>
        <v>1.1036302056832683</v>
      </c>
      <c r="AC646" s="118">
        <f>(VLOOKUP($A646,Pitchers!$A1:$S251,11,FALSE)-AVERAGE(Rankings!AJ2:AJ651))/STDEV(Rankings!AJ2:AJ651)*-1</f>
        <v>0.99351224837441643</v>
      </c>
      <c r="AD646" s="118">
        <f>(VLOOKUP($A646,Pitchers!$A1:$S251,12,FALSE)-AVERAGE(Rankings!AK2:AK651))/STDEV(Rankings!AK2:AK651)*-1</f>
        <v>1.2068193111170937</v>
      </c>
      <c r="AE646" s="118">
        <f>IFERROR((VLOOKUP($A646,Pitchers!$A1:$S251,13,FALSE)-AVERAGE(Rankings!AL2:AL651))/STDEV(Rankings!AL2:AL651)*-1,0)</f>
        <v>1.2235312719545808</v>
      </c>
      <c r="AF646" s="118">
        <f>(VLOOKUP($A646,Pitchers!$A1:$S251,14,FALSE)-AVERAGE(Rankings!AM2:AM651))/STDEV(Rankings!AM2:AM651)</f>
        <v>1.1639536833215416</v>
      </c>
      <c r="AG646" s="118">
        <f>(VLOOKUP($A646,Pitchers!$A1:$S251,15,FALSE)-AVERAGE(Rankings!AN2:AN651))/STDEV(Rankings!AN2:AN651)</f>
        <v>-1.228965499180769</v>
      </c>
      <c r="AH646" s="118">
        <f>(VLOOKUP($A646,Pitchers!$A1:$S251,16,FALSE)-AVERAGE(Rankings!AO2:AO651))/STDEV(Rankings!AO2:AO651)*-1</f>
        <v>1.0748733815462523</v>
      </c>
      <c r="AI646" s="118">
        <f>IFERROR((VLOOKUP($A646,Pitchers!$A1:$S251,17,FALSE)-AVERAGE(Rankings!AP2:AP651))/STDEV(Rankings!AP2:AP651),0)</f>
        <v>-1.1136479910031813</v>
      </c>
      <c r="AJ646" s="118">
        <f>(VLOOKUP($A646,Pitchers!$A1:$S251,18,FALSE)-AVERAGE(Rankings!AQ2:AQ651))/STDEV(Rankings!AQ2:AQ651)</f>
        <v>1.7802123387040631</v>
      </c>
      <c r="AK646" s="118">
        <f>IFERROR((VLOOKUP($A646,Pitchers!$A1:$S251,19,FALSE)-AVERAGE(Rankings!AR2:AR651))/STDEV(Rankings!AR2:AR651)*-1,0)</f>
        <v>0.47686441955275594</v>
      </c>
    </row>
    <row r="647" spans="1:37" ht="20.100000000000001" customHeight="1">
      <c r="A647" s="26" t="s">
        <v>628</v>
      </c>
      <c r="B647" s="27" t="s">
        <v>76</v>
      </c>
      <c r="C647" s="128" t="s">
        <v>34</v>
      </c>
      <c r="D647" s="67">
        <f>(V647*Settings!$G$2)+(Y647*Settings!$G$5)+(Z647*Settings!$G$6)+(AA647*Settings!$G$7)+(AB647*Settings!$G$8)+(AC647*Settings!$G$9)+(AD647*Settings!$G$10)+(AE647*Settings!$G$11)+(AF647*Settings!$G$12)+(AG647*Settings!$G$13)+(AH647*Settings!$G$14)+(AI647*Settings!$G$15)+(AJ647*Settings!$G$16)+(AK647*Settings!$G$17)+(W647*Settings!$G$3)+(X647*Settings!$G$4)</f>
        <v>-2.7215707005569674</v>
      </c>
      <c r="E647" s="67"/>
      <c r="F647" s="67"/>
      <c r="G647" s="67"/>
      <c r="H647" s="67"/>
      <c r="I647" s="67"/>
      <c r="J647" s="67"/>
      <c r="K647" s="72"/>
      <c r="L647" s="72"/>
      <c r="M647" s="67"/>
      <c r="N647" s="67"/>
      <c r="O647" s="67"/>
      <c r="P647" s="67"/>
      <c r="Q647" s="67"/>
      <c r="R647" s="72"/>
      <c r="S647" s="72"/>
      <c r="T647" s="67"/>
      <c r="U647" s="67"/>
      <c r="V647" s="118">
        <f>(VLOOKUP($A647,Pitchers!$A1:$S251,4,FALSE)-AVERAGE(Rankings!AC2:AC651))/STDEV(Rankings!AC2:AC651)</f>
        <v>-1.1532882965965254</v>
      </c>
      <c r="W647" s="118">
        <f>(VLOOKUP($A647,Pitchers!$A1:$S251,5,FALSE)-AVERAGE(Rankings!AD2:AD651))/STDEV(Rankings!AD2:AD651)*-1</f>
        <v>-6.2219392420268818E-2</v>
      </c>
      <c r="X647" s="118">
        <f>(VLOOKUP($A647,Pitchers!$A1:$S251,6,FALSE)-AVERAGE(Rankings!AE2:AE651))/STDEV(Rankings!AE2:AE651)*-1</f>
        <v>-9.07450711509762E-2</v>
      </c>
      <c r="Y647" s="118">
        <f>(VLOOKUP($A647,Pitchers!$A1:$S251,7,FALSE)-AVERAGE(Rankings!AF2:AF651))/STDEV(Rankings!AF2:AF651)</f>
        <v>-1.0379744335499934</v>
      </c>
      <c r="Z647" s="118">
        <f>(VLOOKUP($A647,Pitchers!$A1:$S251,8,FALSE)-AVERAGE(Rankings!AG2:AG651))/STDEV(Rankings!AG2:AG651)</f>
        <v>-1.0479189284385284</v>
      </c>
      <c r="AA647" s="118">
        <f>(VLOOKUP($A647,Pitchers!$A1:$S251,9,FALSE)-AVERAGE(Rankings!AH2:AH651))/STDEV(Rankings!AH2:AH651)</f>
        <v>-0.48271287499720011</v>
      </c>
      <c r="AB647" s="118">
        <f>(VLOOKUP($A647,Pitchers!$A1:$S251,10,FALSE)-AVERAGE(Rankings!AI2:AI651))/STDEV(Rankings!AI2:AI651)*-1</f>
        <v>1.0913618669041876</v>
      </c>
      <c r="AC647" s="118">
        <f>(VLOOKUP($A647,Pitchers!$A1:$S251,11,FALSE)-AVERAGE(Rankings!AJ2:AJ651))/STDEV(Rankings!AJ2:AJ651)*-1</f>
        <v>1.1312938623083075</v>
      </c>
      <c r="AD647" s="118">
        <f>(VLOOKUP($A647,Pitchers!$A1:$S251,12,FALSE)-AVERAGE(Rankings!AK2:AK651))/STDEV(Rankings!AK2:AK651)*-1</f>
        <v>1.0384935706066301</v>
      </c>
      <c r="AE647" s="118">
        <f>IFERROR((VLOOKUP($A647,Pitchers!$A1:$S251,13,FALSE)-AVERAGE(Rankings!AL2:AL651))/STDEV(Rankings!AL2:AL651)*-1,0)</f>
        <v>1.0206970148961849</v>
      </c>
      <c r="AF647" s="118">
        <f>(VLOOKUP($A647,Pitchers!$A1:$S251,14,FALSE)-AVERAGE(Rankings!AM2:AM651))/STDEV(Rankings!AM2:AM651)</f>
        <v>0.90040455022453336</v>
      </c>
      <c r="AG647" s="118">
        <f>(VLOOKUP($A647,Pitchers!$A1:$S251,15,FALSE)-AVERAGE(Rankings!AN2:AN651))/STDEV(Rankings!AN2:AN651)</f>
        <v>-1.1915820626296425</v>
      </c>
      <c r="AH647" s="118">
        <f>(VLOOKUP($A647,Pitchers!$A1:$S251,16,FALSE)-AVERAGE(Rankings!AO2:AO651))/STDEV(Rankings!AO2:AO651)*-1</f>
        <v>1.3548547125171047</v>
      </c>
      <c r="AI647" s="118">
        <f>IFERROR((VLOOKUP($A647,Pitchers!$A1:$S251,17,FALSE)-AVERAGE(Rankings!AP2:AP651))/STDEV(Rankings!AP2:AP651),0)</f>
        <v>-1.1136479910031813</v>
      </c>
      <c r="AJ647" s="118">
        <f>(VLOOKUP($A647,Pitchers!$A1:$S251,18,FALSE)-AVERAGE(Rankings!AQ2:AQ651))/STDEV(Rankings!AQ2:AQ651)</f>
        <v>0.26332113574126703</v>
      </c>
      <c r="AK647" s="118">
        <f>IFERROR((VLOOKUP($A647,Pitchers!$A1:$S251,19,FALSE)-AVERAGE(Rankings!AR2:AR651))/STDEV(Rankings!AR2:AR651)*-1,0)</f>
        <v>4.3471587989350928E-3</v>
      </c>
    </row>
    <row r="648" spans="1:37" ht="20.100000000000001" customHeight="1">
      <c r="A648" s="26" t="s">
        <v>625</v>
      </c>
      <c r="B648" s="27" t="s">
        <v>84</v>
      </c>
      <c r="C648" s="128" t="s">
        <v>34</v>
      </c>
      <c r="D648" s="67">
        <f>(V648*Settings!$G$2)+(Y648*Settings!$G$5)+(Z648*Settings!$G$6)+(AA648*Settings!$G$7)+(AB648*Settings!$G$8)+(AC648*Settings!$G$9)+(AD648*Settings!$G$10)+(AE648*Settings!$G$11)+(AF648*Settings!$G$12)+(AG648*Settings!$G$13)+(AH648*Settings!$G$14)+(AI648*Settings!$G$15)+(AJ648*Settings!$G$16)+(AK648*Settings!$G$17)+(W648*Settings!$G$3)+(X648*Settings!$G$4)</f>
        <v>-3.4110613629916591</v>
      </c>
      <c r="E648" s="67"/>
      <c r="F648" s="67"/>
      <c r="G648" s="67"/>
      <c r="H648" s="67"/>
      <c r="I648" s="67"/>
      <c r="J648" s="67"/>
      <c r="K648" s="72"/>
      <c r="L648" s="72"/>
      <c r="M648" s="67"/>
      <c r="N648" s="67"/>
      <c r="O648" s="67"/>
      <c r="P648" s="67"/>
      <c r="Q648" s="67"/>
      <c r="R648" s="72"/>
      <c r="S648" s="72"/>
      <c r="T648" s="67"/>
      <c r="U648" s="67"/>
      <c r="V648" s="118">
        <f>(VLOOKUP($A648,Pitchers!$A1:$S251,4,FALSE)-AVERAGE(Rankings!AC2:AC651))/STDEV(Rankings!AC2:AC651)</f>
        <v>-1.0846640453578229</v>
      </c>
      <c r="W648" s="118">
        <f>(VLOOKUP($A648,Pitchers!$A1:$S251,5,FALSE)-AVERAGE(Rankings!AD2:AD651))/STDEV(Rankings!AD2:AD651)*-1</f>
        <v>-0.85901452115355792</v>
      </c>
      <c r="X648" s="118">
        <f>(VLOOKUP($A648,Pitchers!$A1:$S251,6,FALSE)-AVERAGE(Rankings!AE2:AE651))/STDEV(Rankings!AE2:AE651)*-1</f>
        <v>-0.54311485170989759</v>
      </c>
      <c r="Y648" s="118">
        <f>(VLOOKUP($A648,Pitchers!$A1:$S251,7,FALSE)-AVERAGE(Rankings!AF2:AF651))/STDEV(Rankings!AF2:AF651)</f>
        <v>-1.1693290467648427</v>
      </c>
      <c r="Z648" s="118">
        <f>(VLOOKUP($A648,Pitchers!$A1:$S251,8,FALSE)-AVERAGE(Rankings!AG2:AG651))/STDEV(Rankings!AG2:AG651)</f>
        <v>-1.1094932019773354</v>
      </c>
      <c r="AA648" s="118">
        <f>(VLOOKUP($A648,Pitchers!$A1:$S251,9,FALSE)-AVERAGE(Rankings!AH2:AH651))/STDEV(Rankings!AH2:AH651)</f>
        <v>0.26989025861397392</v>
      </c>
      <c r="AB648" s="118">
        <f>(VLOOKUP($A648,Pitchers!$A1:$S251,10,FALSE)-AVERAGE(Rankings!AI2:AI651))/STDEV(Rankings!AI2:AI651)*-1</f>
        <v>0.9169737249617278</v>
      </c>
      <c r="AC648" s="118">
        <f>(VLOOKUP($A648,Pitchers!$A1:$S251,11,FALSE)-AVERAGE(Rankings!AJ2:AJ651))/STDEV(Rankings!AJ2:AJ651)*-1</f>
        <v>1.0156498218362167</v>
      </c>
      <c r="AD648" s="118">
        <f>(VLOOKUP($A648,Pitchers!$A1:$S251,12,FALSE)-AVERAGE(Rankings!AK2:AK651))/STDEV(Rankings!AK2:AK651)*-1</f>
        <v>0.9547236175794801</v>
      </c>
      <c r="AE648" s="118">
        <f>IFERROR((VLOOKUP($A648,Pitchers!$A1:$S251,13,FALSE)-AVERAGE(Rankings!AL2:AL651))/STDEV(Rankings!AL2:AL651)*-1,0)</f>
        <v>0.92410927343980587</v>
      </c>
      <c r="AF648" s="118">
        <f>(VLOOKUP($A648,Pitchers!$A1:$S251,14,FALSE)-AVERAGE(Rankings!AM2:AM651))/STDEV(Rankings!AM2:AM651)</f>
        <v>1.4204181623030381</v>
      </c>
      <c r="AG648" s="118">
        <f>(VLOOKUP($A648,Pitchers!$A1:$S251,15,FALSE)-AVERAGE(Rankings!AN2:AN651))/STDEV(Rankings!AN2:AN651)</f>
        <v>-1.2302545831997735</v>
      </c>
      <c r="AH648" s="118">
        <f>(VLOOKUP($A648,Pitchers!$A1:$S251,16,FALSE)-AVERAGE(Rankings!AO2:AO651))/STDEV(Rankings!AO2:AO651)*-1</f>
        <v>1.0735319241083356</v>
      </c>
      <c r="AI648" s="118">
        <f>IFERROR((VLOOKUP($A648,Pitchers!$A1:$S251,17,FALSE)-AVERAGE(Rankings!AP2:AP651))/STDEV(Rankings!AP2:AP651),0)</f>
        <v>-1.1136479910031813</v>
      </c>
      <c r="AJ648" s="118">
        <f>(VLOOKUP($A648,Pitchers!$A1:$S251,18,FALSE)-AVERAGE(Rankings!AQ2:AQ651))/STDEV(Rankings!AQ2:AQ651)</f>
        <v>2.1793942342205885</v>
      </c>
      <c r="AK648" s="118">
        <f>IFERROR((VLOOKUP($A648,Pitchers!$A1:$S251,19,FALSE)-AVERAGE(Rankings!AR2:AR651))/STDEV(Rankings!AR2:AR651)*-1,0)</f>
        <v>-0.46817010195488579</v>
      </c>
    </row>
    <row r="649" spans="1:37" ht="20.100000000000001" customHeight="1">
      <c r="A649" s="26" t="s">
        <v>614</v>
      </c>
      <c r="B649" s="27" t="s">
        <v>117</v>
      </c>
      <c r="C649" s="128" t="s">
        <v>34</v>
      </c>
      <c r="D649" s="67">
        <f>(V649*Settings!$G$2)+(Y649*Settings!$G$5)+(Z649*Settings!$G$6)+(AA649*Settings!$G$7)+(AB649*Settings!$G$8)+(AC649*Settings!$G$9)+(AD649*Settings!$G$10)+(AE649*Settings!$G$11)+(AF649*Settings!$G$12)+(AG649*Settings!$G$13)+(AH649*Settings!$G$14)+(AI649*Settings!$G$15)+(AJ649*Settings!$G$16)+(AK649*Settings!$G$17)+(W649*Settings!$G$3)+(X649*Settings!$G$4)</f>
        <v>-2.5994695289004044</v>
      </c>
      <c r="E649" s="67"/>
      <c r="F649" s="67"/>
      <c r="G649" s="67"/>
      <c r="H649" s="67"/>
      <c r="I649" s="67"/>
      <c r="J649" s="67"/>
      <c r="K649" s="72"/>
      <c r="L649" s="72"/>
      <c r="M649" s="67"/>
      <c r="N649" s="67"/>
      <c r="O649" s="67"/>
      <c r="P649" s="67"/>
      <c r="Q649" s="67"/>
      <c r="R649" s="72"/>
      <c r="S649" s="72"/>
      <c r="T649" s="67"/>
      <c r="U649" s="67"/>
      <c r="V649" s="118">
        <f>(VLOOKUP($A649,Pitchers!$A1:$S251,4,FALSE)-AVERAGE(Rankings!AC2:AC651))/STDEV(Rankings!AC2:AC651)</f>
        <v>-1.0212569094390282</v>
      </c>
      <c r="W649" s="118">
        <f>(VLOOKUP($A649,Pitchers!$A1:$S251,5,FALSE)-AVERAGE(Rankings!AD2:AD651))/STDEV(Rankings!AD2:AD651)*-1</f>
        <v>0.28684745224362879</v>
      </c>
      <c r="X649" s="118">
        <f>(VLOOKUP($A649,Pitchers!$A1:$S251,6,FALSE)-AVERAGE(Rankings!AE2:AE651))/STDEV(Rankings!AE2:AE651)*-1</f>
        <v>-0.83620747017711639</v>
      </c>
      <c r="Y649" s="118">
        <f>(VLOOKUP($A649,Pitchers!$A1:$S251,7,FALSE)-AVERAGE(Rankings!AF2:AF651))/STDEV(Rankings!AF2:AF651)</f>
        <v>-0.94325997814547691</v>
      </c>
      <c r="Z649" s="118">
        <f>(VLOOKUP($A649,Pitchers!$A1:$S251,8,FALSE)-AVERAGE(Rankings!AG2:AG651))/STDEV(Rankings!AG2:AG651)</f>
        <v>-1.1086893602862282</v>
      </c>
      <c r="AA649" s="118">
        <f>(VLOOKUP($A649,Pitchers!$A1:$S251,9,FALSE)-AVERAGE(Rankings!AH2:AH651))/STDEV(Rankings!AH2:AH651)</f>
        <v>1.8398274647886718E-3</v>
      </c>
      <c r="AB649" s="118">
        <f>(VLOOKUP($A649,Pitchers!$A1:$S251,10,FALSE)-AVERAGE(Rankings!AI2:AI651))/STDEV(Rankings!AI2:AI651)*-1</f>
        <v>1.0176206709856692</v>
      </c>
      <c r="AC649" s="118">
        <f>(VLOOKUP($A649,Pitchers!$A1:$S251,11,FALSE)-AVERAGE(Rankings!AJ2:AJ651))/STDEV(Rankings!AJ2:AJ651)*-1</f>
        <v>1.0512870669612895</v>
      </c>
      <c r="AD649" s="118">
        <f>(VLOOKUP($A649,Pitchers!$A1:$S251,12,FALSE)-AVERAGE(Rankings!AK2:AK651))/STDEV(Rankings!AK2:AK651)*-1</f>
        <v>0.43748737853192021</v>
      </c>
      <c r="AE649" s="118">
        <f>IFERROR((VLOOKUP($A649,Pitchers!$A1:$S251,13,FALSE)-AVERAGE(Rankings!AL2:AL651))/STDEV(Rankings!AL2:AL651)*-1,0)</f>
        <v>1.1607492400079344</v>
      </c>
      <c r="AF649" s="118">
        <f>(VLOOKUP($A649,Pitchers!$A1:$S251,14,FALSE)-AVERAGE(Rankings!AM2:AM651))/STDEV(Rankings!AM2:AM651)</f>
        <v>1.4182927660683848</v>
      </c>
      <c r="AG649" s="118">
        <f>(VLOOKUP($A649,Pitchers!$A1:$S251,15,FALSE)-AVERAGE(Rankings!AN2:AN651))/STDEV(Rankings!AN2:AN651)</f>
        <v>-1.2302545831997735</v>
      </c>
      <c r="AH649" s="118">
        <f>(VLOOKUP($A649,Pitchers!$A1:$S251,16,FALSE)-AVERAGE(Rankings!AO2:AO651))/STDEV(Rankings!AO2:AO651)*-1</f>
        <v>1.0852217674958937</v>
      </c>
      <c r="AI649" s="118">
        <f>IFERROR((VLOOKUP($A649,Pitchers!$A1:$S251,17,FALSE)-AVERAGE(Rankings!AP2:AP651))/STDEV(Rankings!AP2:AP651),0)</f>
        <v>-1.1136479910031813</v>
      </c>
      <c r="AJ649" s="118">
        <f>(VLOOKUP($A649,Pitchers!$A1:$S251,18,FALSE)-AVERAGE(Rankings!AQ2:AQ651))/STDEV(Rankings!AQ2:AQ651)</f>
        <v>1.4608668222908427</v>
      </c>
      <c r="AK649" s="118">
        <f>IFERROR((VLOOKUP($A649,Pitchers!$A1:$S251,19,FALSE)-AVERAGE(Rankings!AR2:AR651))/STDEV(Rankings!AR2:AR651)*-1,0)</f>
        <v>0.47686441955275594</v>
      </c>
    </row>
    <row r="650" spans="1:37" ht="20.100000000000001" customHeight="1">
      <c r="A650" s="26" t="s">
        <v>744</v>
      </c>
      <c r="B650" s="27" t="s">
        <v>86</v>
      </c>
      <c r="C650" s="128" t="s">
        <v>34</v>
      </c>
      <c r="D650" s="67">
        <f>(V650*Settings!$G$2)+(Y650*Settings!$G$5)+(Z650*Settings!$G$6)+(AA650*Settings!$G$7)+(AB650*Settings!$G$8)+(AC650*Settings!$G$9)+(AD650*Settings!$G$10)+(AE650*Settings!$G$11)+(AF650*Settings!$G$12)+(AG650*Settings!$G$13)+(AH650*Settings!$G$14)+(AI650*Settings!$G$15)+(AJ650*Settings!$G$16)+(AK650*Settings!$G$17)+(W650*Settings!$G$3)+(X650*Settings!$G$4)</f>
        <v>-4.6534264257319293</v>
      </c>
      <c r="E650" s="67"/>
      <c r="F650" s="67"/>
      <c r="G650" s="67"/>
      <c r="H650" s="67"/>
      <c r="I650" s="67"/>
      <c r="J650" s="67"/>
      <c r="K650" s="72"/>
      <c r="L650" s="72"/>
      <c r="M650" s="67"/>
      <c r="N650" s="67"/>
      <c r="O650" s="67"/>
      <c r="P650" s="67"/>
      <c r="Q650" s="67"/>
      <c r="R650" s="72"/>
      <c r="S650" s="72"/>
      <c r="T650" s="67"/>
      <c r="U650" s="67"/>
      <c r="V650" s="118">
        <f>(VLOOKUP($A650,Pitchers!$A1:$S251,4,FALSE)-AVERAGE(Rankings!AC2:AC651))/STDEV(Rankings!AC2:AC651)</f>
        <v>-1.1835315304103942</v>
      </c>
      <c r="W650" s="118">
        <f>(VLOOKUP($A650,Pitchers!$A1:$S251,5,FALSE)-AVERAGE(Rankings!AD2:AD651))/STDEV(Rankings!AD2:AD651)*-1</f>
        <v>-0.65128302301293528</v>
      </c>
      <c r="X650" s="118">
        <f>(VLOOKUP($A650,Pitchers!$A1:$S251,6,FALSE)-AVERAGE(Rankings!AE2:AE651))/STDEV(Rankings!AE2:AE651)*-1</f>
        <v>-2.0269124117765061</v>
      </c>
      <c r="Y650" s="118">
        <f>(VLOOKUP($A650,Pitchers!$A1:$S251,7,FALSE)-AVERAGE(Rankings!AF2:AF651))/STDEV(Rankings!AF2:AF651)</f>
        <v>-1.2461817190161504</v>
      </c>
      <c r="Z650" s="118">
        <f>(VLOOKUP($A650,Pitchers!$A1:$S251,8,FALSE)-AVERAGE(Rankings!AG2:AG651))/STDEV(Rankings!AG2:AG651)</f>
        <v>-1.1101362753302213</v>
      </c>
      <c r="AA650" s="118">
        <f>(VLOOKUP($A650,Pitchers!$A1:$S251,9,FALSE)-AVERAGE(Rankings!AH2:AH651))/STDEV(Rankings!AH2:AH651)</f>
        <v>0.38108700340388324</v>
      </c>
      <c r="AB650" s="118">
        <f>(VLOOKUP($A650,Pitchers!$A1:$S251,10,FALSE)-AVERAGE(Rankings!AI2:AI651))/STDEV(Rankings!AI2:AI651)*-1</f>
        <v>1.0449971852925439</v>
      </c>
      <c r="AC650" s="118">
        <f>(VLOOKUP($A650,Pitchers!$A1:$S251,11,FALSE)-AVERAGE(Rankings!AJ2:AJ651))/STDEV(Rankings!AJ2:AJ651)*-1</f>
        <v>1.0856262667341245</v>
      </c>
      <c r="AD650" s="118">
        <f>(VLOOKUP($A650,Pitchers!$A1:$S251,12,FALSE)-AVERAGE(Rankings!AK2:AK651))/STDEV(Rankings!AK2:AK651)*-1</f>
        <v>0.6122569615829343</v>
      </c>
      <c r="AE650" s="118">
        <f>IFERROR((VLOOKUP($A650,Pitchers!$A1:$S251,13,FALSE)-AVERAGE(Rankings!AL2:AL651))/STDEV(Rankings!AL2:AL651)*-1,0)</f>
        <v>1.2235312719545808</v>
      </c>
      <c r="AF650" s="118">
        <f>(VLOOKUP($A650,Pitchers!$A1:$S251,14,FALSE)-AVERAGE(Rankings!AM2:AM651))/STDEV(Rankings!AM2:AM651)</f>
        <v>1.0216938286820814</v>
      </c>
      <c r="AG650" s="118">
        <f>(VLOOKUP($A650,Pitchers!$A1:$S251,15,FALSE)-AVERAGE(Rankings!AN2:AN651))/STDEV(Rankings!AN2:AN651)</f>
        <v>-1.2302545831997735</v>
      </c>
      <c r="AH650" s="118">
        <f>(VLOOKUP($A650,Pitchers!$A1:$S251,16,FALSE)-AVERAGE(Rankings!AO2:AO651))/STDEV(Rankings!AO2:AO651)*-1</f>
        <v>1.0742984712157166</v>
      </c>
      <c r="AI650" s="118">
        <f>IFERROR((VLOOKUP($A650,Pitchers!$A1:$S251,17,FALSE)-AVERAGE(Rankings!AP2:AP651))/STDEV(Rankings!AP2:AP651),0)</f>
        <v>-1.1136479910031813</v>
      </c>
      <c r="AJ650" s="118">
        <f>(VLOOKUP($A650,Pitchers!$A1:$S251,18,FALSE)-AVERAGE(Rankings!AQ2:AQ651))/STDEV(Rankings!AQ2:AQ651)</f>
        <v>0.69443758289911428</v>
      </c>
      <c r="AK650" s="118">
        <f>IFERROR((VLOOKUP($A650,Pitchers!$A1:$S251,19,FALSE)-AVERAGE(Rankings!AR2:AR651))/STDEV(Rankings!AR2:AR651)*-1,0)</f>
        <v>-0.98793908878408876</v>
      </c>
    </row>
    <row r="651" spans="1:37" ht="20.100000000000001" customHeight="1">
      <c r="A651" s="26" t="s">
        <v>674</v>
      </c>
      <c r="B651" s="27" t="s">
        <v>84</v>
      </c>
      <c r="C651" s="128" t="s">
        <v>34</v>
      </c>
      <c r="D651" s="67">
        <f>(V651*Settings!$G$2)+(Y651*Settings!$G$5)+(Z651*Settings!$G$6)+(AA651*Settings!$G$7)+(AB651*Settings!$G$8)+(AC651*Settings!$G$9)+(AD651*Settings!$G$10)+(AE651*Settings!$G$11)+(AF651*Settings!$G$12)+(AG651*Settings!$G$13)+(AH651*Settings!$G$14)+(AI651*Settings!$G$15)+(AJ651*Settings!$G$16)+(AK651*Settings!$G$17)+(W651*Settings!$G$3)+(X651*Settings!$G$4)</f>
        <v>-2.1565262830230933</v>
      </c>
      <c r="E651" s="67"/>
      <c r="F651" s="67"/>
      <c r="G651" s="67"/>
      <c r="H651" s="67"/>
      <c r="I651" s="67"/>
      <c r="J651" s="67"/>
      <c r="K651" s="72"/>
      <c r="L651" s="72"/>
      <c r="M651" s="67"/>
      <c r="N651" s="67"/>
      <c r="O651" s="67"/>
      <c r="P651" s="67"/>
      <c r="Q651" s="67"/>
      <c r="R651" s="72"/>
      <c r="S651" s="72"/>
      <c r="T651" s="67"/>
      <c r="U651" s="67"/>
      <c r="V651" s="118">
        <f>(VLOOKUP($A651,Pitchers!$A1:$S251,4,FALSE)-AVERAGE(Rankings!AC2:AC651))/STDEV(Rankings!AC2:AC651)</f>
        <v>-1.0942621631143166</v>
      </c>
      <c r="W651" s="118">
        <f>(VLOOKUP($A651,Pitchers!$A1:$S251,5,FALSE)-AVERAGE(Rankings!AD2:AD651))/STDEV(Rankings!AD2:AD651)*-1</f>
        <v>-0.57755402959264146</v>
      </c>
      <c r="X651" s="118">
        <f>(VLOOKUP($A651,Pitchers!$A1:$S251,6,FALSE)-AVERAGE(Rankings!AE2:AE651))/STDEV(Rankings!AE2:AE651)*-1</f>
        <v>-0.75052393473782053</v>
      </c>
      <c r="Y651" s="118">
        <f>(VLOOKUP($A651,Pitchers!$A1:$S251,7,FALSE)-AVERAGE(Rankings!AF2:AF651))/STDEV(Rankings!AF2:AF651)</f>
        <v>-1.0895385812317575</v>
      </c>
      <c r="Z651" s="118">
        <f>(VLOOKUP($A651,Pitchers!$A1:$S251,8,FALSE)-AVERAGE(Rankings!AG2:AG651))/STDEV(Rankings!AG2:AG651)</f>
        <v>-1.1104578120066642</v>
      </c>
      <c r="AA651" s="118">
        <f>(VLOOKUP($A651,Pitchers!$A1:$S251,9,FALSE)-AVERAGE(Rankings!AH2:AH651))/STDEV(Rankings!AH2:AH651)</f>
        <v>1.3715480745457904</v>
      </c>
      <c r="AB651" s="118">
        <f>(VLOOKUP($A651,Pitchers!$A1:$S251,10,FALSE)-AVERAGE(Rankings!AI2:AI651))/STDEV(Rankings!AI2:AI651)*-1</f>
        <v>0.96533330800587169</v>
      </c>
      <c r="AC651" s="118">
        <f>(VLOOKUP($A651,Pitchers!$A1:$S251,11,FALSE)-AVERAGE(Rankings!AJ2:AJ651))/STDEV(Rankings!AJ2:AJ651)*-1</f>
        <v>0.98480354410213011</v>
      </c>
      <c r="AD651" s="118">
        <f>(VLOOKUP($A651,Pitchers!$A1:$S251,12,FALSE)-AVERAGE(Rankings!AK2:AK651))/STDEV(Rankings!AK2:AK651)*-1</f>
        <v>1.0179047078551164</v>
      </c>
      <c r="AE651" s="118">
        <f>IFERROR((VLOOKUP($A651,Pitchers!$A1:$S251,13,FALSE)-AVERAGE(Rankings!AL2:AL651))/STDEV(Rankings!AL2:AL651)*-1,0)</f>
        <v>0.87098601563879752</v>
      </c>
      <c r="AF651" s="118">
        <f>(VLOOKUP($A651,Pitchers!$A1:$S251,14,FALSE)-AVERAGE(Rankings!AM2:AM651))/STDEV(Rankings!AM2:AM651)</f>
        <v>1.4632094731607246</v>
      </c>
      <c r="AG651" s="118">
        <f>(VLOOKUP($A651,Pitchers!$A1:$S251,15,FALSE)-AVERAGE(Rankings!AN2:AN651))/STDEV(Rankings!AN2:AN651)</f>
        <v>-1.2302545831997735</v>
      </c>
      <c r="AH651" s="118">
        <f>(VLOOKUP($A651,Pitchers!$A1:$S251,16,FALSE)-AVERAGE(Rankings!AO2:AO651))/STDEV(Rankings!AO2:AO651)*-1</f>
        <v>1.067399547249289</v>
      </c>
      <c r="AI651" s="118">
        <f>IFERROR((VLOOKUP($A651,Pitchers!$A1:$S251,17,FALSE)-AVERAGE(Rankings!AP2:AP651))/STDEV(Rankings!AP2:AP651),0)</f>
        <v>-1.1136479910031813</v>
      </c>
      <c r="AJ651" s="118">
        <f>(VLOOKUP($A651,Pitchers!$A1:$S251,18,FALSE)-AVERAGE(Rankings!AQ2:AQ651))/STDEV(Rankings!AQ2:AQ651)</f>
        <v>1.9398850969106731</v>
      </c>
      <c r="AK651" s="118">
        <f>IFERROR((VLOOKUP($A651,Pitchers!$A1:$S251,19,FALSE)-AVERAGE(Rankings!AR2:AR651))/STDEV(Rankings!AR2:AR651)*-1,0)</f>
        <v>-3.7757909272316317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01"/>
  <sheetViews>
    <sheetView showGridLines="0" workbookViewId="0">
      <selection activeCell="E2" sqref="E2"/>
    </sheetView>
  </sheetViews>
  <sheetFormatPr defaultColWidth="16.28515625" defaultRowHeight="14.1" customHeight="1"/>
  <cols>
    <col min="1" max="1" width="23.7109375" style="1" customWidth="1"/>
    <col min="2" max="19" width="7.140625" style="1" customWidth="1"/>
    <col min="20" max="16384" width="16.28515625" style="1"/>
  </cols>
  <sheetData>
    <row r="1" spans="1:19" ht="36" customHeight="1">
      <c r="A1" s="129" t="s">
        <v>738</v>
      </c>
      <c r="B1" s="130" t="s">
        <v>739</v>
      </c>
      <c r="C1" s="130" t="s">
        <v>740</v>
      </c>
      <c r="D1" s="130" t="s">
        <v>5</v>
      </c>
      <c r="E1" s="130" t="s">
        <v>9</v>
      </c>
      <c r="F1" s="130" t="s">
        <v>13</v>
      </c>
      <c r="G1" s="130" t="s">
        <v>17</v>
      </c>
      <c r="H1" s="130" t="s">
        <v>21</v>
      </c>
      <c r="I1" s="130" t="s">
        <v>33</v>
      </c>
      <c r="J1" s="130" t="s">
        <v>11</v>
      </c>
      <c r="K1" s="130" t="s">
        <v>15</v>
      </c>
      <c r="L1" s="130" t="s">
        <v>36</v>
      </c>
      <c r="M1" s="130" t="s">
        <v>40</v>
      </c>
      <c r="N1" s="130" t="s">
        <v>25</v>
      </c>
      <c r="O1" s="130" t="s">
        <v>29</v>
      </c>
      <c r="P1" s="130" t="s">
        <v>45</v>
      </c>
      <c r="Q1" s="130" t="s">
        <v>47</v>
      </c>
      <c r="R1" s="130" t="s">
        <v>51</v>
      </c>
      <c r="S1" s="130" t="s">
        <v>749</v>
      </c>
    </row>
    <row r="2" spans="1:19" ht="18.600000000000001" customHeight="1">
      <c r="A2" s="26" t="s">
        <v>93</v>
      </c>
      <c r="B2" s="27" t="s">
        <v>94</v>
      </c>
      <c r="C2" s="117" t="s">
        <v>7</v>
      </c>
      <c r="D2" s="31">
        <v>575.31666666666672</v>
      </c>
      <c r="E2" s="31">
        <v>97.761666666666656</v>
      </c>
      <c r="F2" s="31">
        <v>35.516666666666666</v>
      </c>
      <c r="G2" s="31">
        <v>104.60000000000001</v>
      </c>
      <c r="H2" s="31">
        <v>6.8677777777777775</v>
      </c>
      <c r="I2" s="31">
        <v>167.7211111111111</v>
      </c>
      <c r="J2" s="31">
        <v>32.716666666666669</v>
      </c>
      <c r="K2" s="31">
        <v>0.99777777777777776</v>
      </c>
      <c r="L2" s="31">
        <v>65.588888888888889</v>
      </c>
      <c r="M2" s="31">
        <v>101.54444444444444</v>
      </c>
      <c r="N2" s="33">
        <v>0.2915283370510926</v>
      </c>
      <c r="O2" s="33">
        <v>0.37146797575949253</v>
      </c>
      <c r="P2" s="33">
        <v>0.53706654306324053</v>
      </c>
      <c r="Q2" s="33">
        <v>0.90853451882273306</v>
      </c>
      <c r="R2" s="31">
        <v>0</v>
      </c>
      <c r="S2" s="31" t="str">
        <f>VLOOKUP(A2,Rankings!B:D,3,FALSE)</f>
        <v>AL</v>
      </c>
    </row>
    <row r="3" spans="1:19" ht="18.600000000000001" customHeight="1">
      <c r="A3" s="26" t="s">
        <v>105</v>
      </c>
      <c r="B3" s="27" t="s">
        <v>81</v>
      </c>
      <c r="C3" s="117" t="s">
        <v>7</v>
      </c>
      <c r="D3" s="31">
        <v>578.33333333333337</v>
      </c>
      <c r="E3" s="31">
        <v>102.42</v>
      </c>
      <c r="F3" s="31">
        <v>24.822222222222223</v>
      </c>
      <c r="G3" s="31">
        <v>91.722222222222229</v>
      </c>
      <c r="H3" s="31">
        <v>9.9677777777777781</v>
      </c>
      <c r="I3" s="31">
        <v>174.20000000000002</v>
      </c>
      <c r="J3" s="31">
        <v>36.572222222222223</v>
      </c>
      <c r="K3" s="31">
        <v>1.9955555555555555</v>
      </c>
      <c r="L3" s="31">
        <v>78.51166666666667</v>
      </c>
      <c r="M3" s="31">
        <v>100.84777777777778</v>
      </c>
      <c r="N3" s="33">
        <v>0.30121037463976946</v>
      </c>
      <c r="O3" s="33">
        <v>0.39124577152313028</v>
      </c>
      <c r="P3" s="33">
        <v>0.50010951008645532</v>
      </c>
      <c r="Q3" s="33">
        <v>0.89135528160958555</v>
      </c>
      <c r="R3" s="31">
        <v>0</v>
      </c>
      <c r="S3" s="31" t="str">
        <f>VLOOKUP(A3,Rankings!B:D,3,FALSE)</f>
        <v>NL</v>
      </c>
    </row>
    <row r="4" spans="1:19" ht="18.600000000000001" customHeight="1">
      <c r="A4" s="26" t="s">
        <v>127</v>
      </c>
      <c r="B4" s="27" t="s">
        <v>95</v>
      </c>
      <c r="C4" s="117" t="s">
        <v>7</v>
      </c>
      <c r="D4" s="31">
        <v>568.44444444444446</v>
      </c>
      <c r="E4" s="31">
        <v>88.211666666666659</v>
      </c>
      <c r="F4" s="31">
        <v>36.968888888888891</v>
      </c>
      <c r="G4" s="31">
        <v>108.60888888888888</v>
      </c>
      <c r="H4" s="31">
        <v>3.9911111111111111</v>
      </c>
      <c r="I4" s="31">
        <v>148.55222222222221</v>
      </c>
      <c r="J4" s="31">
        <v>26.01</v>
      </c>
      <c r="K4" s="31">
        <v>1.0016666666666667</v>
      </c>
      <c r="L4" s="31">
        <v>65.25333333333333</v>
      </c>
      <c r="M4" s="31">
        <v>128.71444444444444</v>
      </c>
      <c r="N4" s="33">
        <v>0.26133111806098513</v>
      </c>
      <c r="O4" s="33">
        <v>0.34585826240835926</v>
      </c>
      <c r="P4" s="33">
        <v>0.5057173573103988</v>
      </c>
      <c r="Q4" s="33">
        <v>0.85157561971875806</v>
      </c>
      <c r="R4" s="31">
        <v>0</v>
      </c>
      <c r="S4" s="31" t="str">
        <f>VLOOKUP(A4,Rankings!B:D,3,FALSE)</f>
        <v>NL</v>
      </c>
    </row>
    <row r="5" spans="1:19" ht="18.600000000000001" customHeight="1">
      <c r="A5" s="26" t="s">
        <v>132</v>
      </c>
      <c r="B5" s="27" t="s">
        <v>123</v>
      </c>
      <c r="C5" s="117" t="s">
        <v>7</v>
      </c>
      <c r="D5" s="31">
        <v>569.6111111111112</v>
      </c>
      <c r="E5" s="31">
        <v>93.213333333333324</v>
      </c>
      <c r="F5" s="31">
        <v>29.11333333333333</v>
      </c>
      <c r="G5" s="31">
        <v>95.197777777777787</v>
      </c>
      <c r="H5" s="31">
        <v>7.3144444444444447</v>
      </c>
      <c r="I5" s="31">
        <v>157.29444444444445</v>
      </c>
      <c r="J5" s="31">
        <v>31.27888888888889</v>
      </c>
      <c r="K5" s="31">
        <v>0.99777777777777776</v>
      </c>
      <c r="L5" s="31">
        <v>73.143333333333331</v>
      </c>
      <c r="M5" s="31">
        <v>140.06</v>
      </c>
      <c r="N5" s="33">
        <v>0.2761435677362723</v>
      </c>
      <c r="O5" s="33">
        <v>0.36607246384641629</v>
      </c>
      <c r="P5" s="33">
        <v>0.48789232419779571</v>
      </c>
      <c r="Q5" s="33">
        <v>0.85396478804421205</v>
      </c>
      <c r="R5" s="31">
        <v>0</v>
      </c>
      <c r="S5" s="31" t="str">
        <f>VLOOKUP(A5,Rankings!B:D,3,FALSE)</f>
        <v>NL</v>
      </c>
    </row>
    <row r="6" spans="1:19" ht="18.600000000000001" customHeight="1">
      <c r="A6" s="26" t="s">
        <v>180</v>
      </c>
      <c r="B6" s="27" t="s">
        <v>73</v>
      </c>
      <c r="C6" s="117" t="s">
        <v>7</v>
      </c>
      <c r="D6" s="31">
        <v>570.27777777777783</v>
      </c>
      <c r="E6" s="31">
        <v>91.902222222222221</v>
      </c>
      <c r="F6" s="31">
        <v>34.156666666666666</v>
      </c>
      <c r="G6" s="31">
        <v>99.185000000000002</v>
      </c>
      <c r="H6" s="31">
        <v>1.9944444444444445</v>
      </c>
      <c r="I6" s="31">
        <v>145.21111111111111</v>
      </c>
      <c r="J6" s="31">
        <v>31.927777777777777</v>
      </c>
      <c r="K6" s="31">
        <v>0.98333333333333339</v>
      </c>
      <c r="L6" s="31">
        <v>74.711666666666673</v>
      </c>
      <c r="M6" s="31">
        <v>144.3811111111111</v>
      </c>
      <c r="N6" s="33">
        <v>0.25463224549439839</v>
      </c>
      <c r="O6" s="33">
        <v>0.34918220123287991</v>
      </c>
      <c r="P6" s="33">
        <v>0.4937515830491962</v>
      </c>
      <c r="Q6" s="33">
        <v>0.8429337842820761</v>
      </c>
      <c r="R6" s="31">
        <v>0</v>
      </c>
      <c r="S6" s="31" t="str">
        <f>VLOOKUP(A6,Rankings!B:D,3,FALSE)</f>
        <v>NL</v>
      </c>
    </row>
    <row r="7" spans="1:19" ht="18.600000000000001" customHeight="1">
      <c r="A7" s="26" t="s">
        <v>233</v>
      </c>
      <c r="B7" s="27" t="s">
        <v>86</v>
      </c>
      <c r="C7" s="117" t="s">
        <v>7</v>
      </c>
      <c r="D7" s="31">
        <v>550.01111111111106</v>
      </c>
      <c r="E7" s="31">
        <v>76.338888888888889</v>
      </c>
      <c r="F7" s="31">
        <v>23.015000000000001</v>
      </c>
      <c r="G7" s="31">
        <v>78.233333333333334</v>
      </c>
      <c r="H7" s="31">
        <v>4.4988888888888887</v>
      </c>
      <c r="I7" s="31">
        <v>150.17888888888891</v>
      </c>
      <c r="J7" s="31">
        <v>25.981111111111108</v>
      </c>
      <c r="K7" s="31">
        <v>2.0249999999999999</v>
      </c>
      <c r="L7" s="31">
        <v>61.015000000000008</v>
      </c>
      <c r="M7" s="31">
        <v>142.05444444444444</v>
      </c>
      <c r="N7" s="33">
        <v>0.27304700915133034</v>
      </c>
      <c r="O7" s="33">
        <v>0.35381006903280765</v>
      </c>
      <c r="P7" s="33">
        <v>0.45318175390396159</v>
      </c>
      <c r="Q7" s="33">
        <v>0.80699182293676919</v>
      </c>
      <c r="R7" s="31">
        <v>0</v>
      </c>
      <c r="S7" s="31" t="str">
        <f>VLOOKUP(A7,Rankings!B:D,3,FALSE)</f>
        <v>AL</v>
      </c>
    </row>
    <row r="8" spans="1:19" ht="18.600000000000001" customHeight="1">
      <c r="A8" s="26" t="s">
        <v>221</v>
      </c>
      <c r="B8" s="27" t="s">
        <v>78</v>
      </c>
      <c r="C8" s="117" t="s">
        <v>7</v>
      </c>
      <c r="D8" s="31">
        <v>557.33333333333337</v>
      </c>
      <c r="E8" s="31">
        <v>77.959999999999994</v>
      </c>
      <c r="F8" s="31">
        <v>20.498888888888889</v>
      </c>
      <c r="G8" s="31">
        <v>83.057777777777787</v>
      </c>
      <c r="H8" s="31">
        <v>0.98444444444444434</v>
      </c>
      <c r="I8" s="31">
        <v>151.10333333333335</v>
      </c>
      <c r="J8" s="31">
        <v>31.216666666666669</v>
      </c>
      <c r="K8" s="31">
        <v>0.99888888888888883</v>
      </c>
      <c r="L8" s="31">
        <v>52.15</v>
      </c>
      <c r="M8" s="31">
        <v>120.79111111111111</v>
      </c>
      <c r="N8" s="33">
        <v>0.27111842105263162</v>
      </c>
      <c r="O8" s="33">
        <v>0.34226160771974434</v>
      </c>
      <c r="P8" s="33">
        <v>0.44105462519936206</v>
      </c>
      <c r="Q8" s="33">
        <v>0.78331623291910635</v>
      </c>
      <c r="R8" s="31">
        <v>0</v>
      </c>
      <c r="S8" s="31" t="str">
        <f>VLOOKUP(A8,Rankings!B:D,3,FALSE)</f>
        <v>AL</v>
      </c>
    </row>
    <row r="9" spans="1:19" ht="18.600000000000001" customHeight="1">
      <c r="A9" s="26" t="s">
        <v>263</v>
      </c>
      <c r="B9" s="27" t="s">
        <v>120</v>
      </c>
      <c r="C9" s="117" t="s">
        <v>7</v>
      </c>
      <c r="D9" s="31">
        <v>553.67777777777781</v>
      </c>
      <c r="E9" s="31">
        <v>77.593333333333334</v>
      </c>
      <c r="F9" s="31">
        <v>26.16333333333333</v>
      </c>
      <c r="G9" s="31">
        <v>86.683333333333337</v>
      </c>
      <c r="H9" s="31">
        <v>2.5033333333333334</v>
      </c>
      <c r="I9" s="31">
        <v>138.94777777777779</v>
      </c>
      <c r="J9" s="31">
        <v>27.97666666666667</v>
      </c>
      <c r="K9" s="31">
        <v>2</v>
      </c>
      <c r="L9" s="31">
        <v>60.113333333333337</v>
      </c>
      <c r="M9" s="31">
        <v>132.46555555555554</v>
      </c>
      <c r="N9" s="33">
        <v>0.25095422528145134</v>
      </c>
      <c r="O9" s="33">
        <v>0.33333466704718101</v>
      </c>
      <c r="P9" s="33">
        <v>0.45046858381328886</v>
      </c>
      <c r="Q9" s="33">
        <v>0.78380325086046987</v>
      </c>
      <c r="R9" s="31">
        <v>0</v>
      </c>
      <c r="S9" s="31" t="str">
        <f>VLOOKUP(A9,Rankings!B:D,3,FALSE)</f>
        <v>NL</v>
      </c>
    </row>
    <row r="10" spans="1:19" ht="18.600000000000001" customHeight="1">
      <c r="A10" s="26" t="s">
        <v>227</v>
      </c>
      <c r="B10" s="27" t="s">
        <v>176</v>
      </c>
      <c r="C10" s="117" t="s">
        <v>7</v>
      </c>
      <c r="D10" s="31">
        <v>520.98333333333346</v>
      </c>
      <c r="E10" s="31">
        <v>73.166666666666671</v>
      </c>
      <c r="F10" s="31">
        <v>27.051666666666662</v>
      </c>
      <c r="G10" s="31">
        <v>87.391666666666666</v>
      </c>
      <c r="H10" s="31">
        <v>0.43</v>
      </c>
      <c r="I10" s="31">
        <v>133.98499999999999</v>
      </c>
      <c r="J10" s="31">
        <v>26.45</v>
      </c>
      <c r="K10" s="31">
        <v>2.0049999999999999</v>
      </c>
      <c r="L10" s="31">
        <v>47.669999999999995</v>
      </c>
      <c r="M10" s="31">
        <v>141.04111111111112</v>
      </c>
      <c r="N10" s="33">
        <v>0.25717713298570005</v>
      </c>
      <c r="O10" s="33">
        <v>0.32879644979691541</v>
      </c>
      <c r="P10" s="33">
        <v>0.47141623212514777</v>
      </c>
      <c r="Q10" s="33">
        <v>0.80021268192206318</v>
      </c>
      <c r="R10" s="31">
        <v>0</v>
      </c>
      <c r="S10" s="31" t="str">
        <f>VLOOKUP(A10,Rankings!B:D,3,FALSE)</f>
        <v>NL</v>
      </c>
    </row>
    <row r="11" spans="1:19" ht="18.600000000000001" customHeight="1">
      <c r="A11" s="26" t="s">
        <v>271</v>
      </c>
      <c r="B11" s="27" t="s">
        <v>99</v>
      </c>
      <c r="C11" s="117" t="s">
        <v>7</v>
      </c>
      <c r="D11" s="31">
        <v>545.0333333333333</v>
      </c>
      <c r="E11" s="31">
        <v>71.03166666666668</v>
      </c>
      <c r="F11" s="31">
        <v>25.10166666666667</v>
      </c>
      <c r="G11" s="31">
        <v>83.154444444444451</v>
      </c>
      <c r="H11" s="31">
        <v>4.49</v>
      </c>
      <c r="I11" s="31">
        <v>140.92555555555555</v>
      </c>
      <c r="J11" s="31">
        <v>26.090000000000003</v>
      </c>
      <c r="K11" s="31">
        <v>1.0033333333333334</v>
      </c>
      <c r="L11" s="31">
        <v>43.12833333333333</v>
      </c>
      <c r="M11" s="31">
        <v>149.37888888888889</v>
      </c>
      <c r="N11" s="33">
        <v>0.25856318675718098</v>
      </c>
      <c r="O11" s="33">
        <v>0.32264328409947896</v>
      </c>
      <c r="P11" s="33">
        <v>0.44827941206450173</v>
      </c>
      <c r="Q11" s="33">
        <v>0.77092269616398068</v>
      </c>
      <c r="R11" s="31">
        <v>0</v>
      </c>
      <c r="S11" s="31" t="str">
        <f>VLOOKUP(A11,Rankings!B:D,3,FALSE)</f>
        <v>AL</v>
      </c>
    </row>
    <row r="12" spans="1:19" ht="18.600000000000001" customHeight="1">
      <c r="A12" s="166" t="s">
        <v>760</v>
      </c>
      <c r="B12" s="167" t="s">
        <v>176</v>
      </c>
      <c r="C12" s="117" t="s">
        <v>7</v>
      </c>
      <c r="D12" s="31">
        <v>385</v>
      </c>
      <c r="E12" s="31">
        <v>43</v>
      </c>
      <c r="F12" s="31">
        <v>12</v>
      </c>
      <c r="G12" s="31">
        <v>46</v>
      </c>
      <c r="H12" s="31">
        <v>2</v>
      </c>
      <c r="I12" s="31">
        <v>90.5</v>
      </c>
      <c r="J12" s="31">
        <v>26</v>
      </c>
      <c r="K12" s="31">
        <v>1</v>
      </c>
      <c r="L12" s="31">
        <v>36</v>
      </c>
      <c r="M12" s="31">
        <v>105</v>
      </c>
      <c r="N12" s="33">
        <v>0.23499999999999999</v>
      </c>
      <c r="O12" s="33">
        <v>0.30599999999999999</v>
      </c>
      <c r="P12" s="33">
        <v>0.40128999999999998</v>
      </c>
      <c r="Q12" s="33">
        <v>0.70699999999999996</v>
      </c>
      <c r="R12" s="31">
        <v>0</v>
      </c>
      <c r="S12" s="31" t="str">
        <f>VLOOKUP(A12,Rankings!B:D,3,FALSE)</f>
        <v>NL</v>
      </c>
    </row>
    <row r="13" spans="1:19" ht="18.600000000000001" customHeight="1">
      <c r="A13" s="26" t="s">
        <v>260</v>
      </c>
      <c r="B13" s="27" t="s">
        <v>117</v>
      </c>
      <c r="C13" s="117" t="s">
        <v>7</v>
      </c>
      <c r="D13" s="31">
        <v>506.40000000000003</v>
      </c>
      <c r="E13" s="31">
        <v>69.317777777777778</v>
      </c>
      <c r="F13" s="31">
        <v>20.099999999999998</v>
      </c>
      <c r="G13" s="31">
        <v>75.682222222222222</v>
      </c>
      <c r="H13" s="31">
        <v>2.5155555555555558</v>
      </c>
      <c r="I13" s="31">
        <v>139.58000000000001</v>
      </c>
      <c r="J13" s="31">
        <v>29.703333333333333</v>
      </c>
      <c r="K13" s="31">
        <v>1.9799999999999998</v>
      </c>
      <c r="L13" s="31">
        <v>58.781666666666666</v>
      </c>
      <c r="M13" s="31">
        <v>78.993333333333325</v>
      </c>
      <c r="N13" s="33">
        <v>0.27563191153238548</v>
      </c>
      <c r="O13" s="33">
        <v>0.35889890011332781</v>
      </c>
      <c r="P13" s="33">
        <v>0.46118351764086363</v>
      </c>
      <c r="Q13" s="33">
        <v>0.82008241775419144</v>
      </c>
      <c r="R13" s="31">
        <v>0</v>
      </c>
      <c r="S13" s="31" t="str">
        <f>VLOOKUP(A13,Rankings!B:D,3,FALSE)</f>
        <v>AL</v>
      </c>
    </row>
    <row r="14" spans="1:19" ht="18.600000000000001" customHeight="1">
      <c r="A14" s="26" t="s">
        <v>283</v>
      </c>
      <c r="B14" s="27" t="s">
        <v>68</v>
      </c>
      <c r="C14" s="117" t="s">
        <v>7</v>
      </c>
      <c r="D14" s="31">
        <v>486.43333333333334</v>
      </c>
      <c r="E14" s="31">
        <v>74.064999999999998</v>
      </c>
      <c r="F14" s="31">
        <v>25.423333333333336</v>
      </c>
      <c r="G14" s="31">
        <v>74.865000000000009</v>
      </c>
      <c r="H14" s="31">
        <v>7.4866666666666672</v>
      </c>
      <c r="I14" s="31">
        <v>118.16222222222223</v>
      </c>
      <c r="J14" s="31">
        <v>21.178333333333335</v>
      </c>
      <c r="K14" s="31">
        <v>1.0216666666666667</v>
      </c>
      <c r="L14" s="31">
        <v>56.495000000000005</v>
      </c>
      <c r="M14" s="31">
        <v>98.522222222222226</v>
      </c>
      <c r="N14" s="33">
        <v>0.24291555311907537</v>
      </c>
      <c r="O14" s="33">
        <v>0.3307580684077</v>
      </c>
      <c r="P14" s="33">
        <v>0.44744854839078096</v>
      </c>
      <c r="Q14" s="33">
        <v>0.77820661679848091</v>
      </c>
      <c r="R14" s="31">
        <v>0</v>
      </c>
      <c r="S14" s="31" t="str">
        <f>VLOOKUP(A14,Rankings!B:D,3,FALSE)</f>
        <v>AL</v>
      </c>
    </row>
    <row r="15" spans="1:19" ht="18.600000000000001" customHeight="1">
      <c r="A15" s="26" t="s">
        <v>340</v>
      </c>
      <c r="B15" s="27" t="s">
        <v>97</v>
      </c>
      <c r="C15" s="117" t="s">
        <v>7</v>
      </c>
      <c r="D15" s="31">
        <v>485.4111111111111</v>
      </c>
      <c r="E15" s="31">
        <v>68.010000000000005</v>
      </c>
      <c r="F15" s="31">
        <v>28.866666666666664</v>
      </c>
      <c r="G15" s="31">
        <v>81.714999999999989</v>
      </c>
      <c r="H15" s="31">
        <v>1.9911111111111113</v>
      </c>
      <c r="I15" s="31">
        <v>119.60111111111111</v>
      </c>
      <c r="J15" s="31">
        <v>23.595555555555553</v>
      </c>
      <c r="K15" s="31">
        <v>1</v>
      </c>
      <c r="L15" s="31">
        <v>52.048333333333339</v>
      </c>
      <c r="M15" s="31">
        <v>110.33888888888889</v>
      </c>
      <c r="N15" s="33">
        <v>0.2463913750085838</v>
      </c>
      <c r="O15" s="33">
        <v>0.32859602125780968</v>
      </c>
      <c r="P15" s="33">
        <v>0.47752649529608354</v>
      </c>
      <c r="Q15" s="33">
        <v>0.80612251655389322</v>
      </c>
      <c r="R15" s="31">
        <v>0</v>
      </c>
      <c r="S15" s="31" t="str">
        <f>VLOOKUP(A15,Rankings!B:D,3,FALSE)</f>
        <v>NL</v>
      </c>
    </row>
    <row r="16" spans="1:19" ht="18.600000000000001" customHeight="1">
      <c r="A16" s="26" t="s">
        <v>284</v>
      </c>
      <c r="B16" s="27" t="s">
        <v>71</v>
      </c>
      <c r="C16" s="117" t="s">
        <v>7</v>
      </c>
      <c r="D16" s="31">
        <v>545.84444444444443</v>
      </c>
      <c r="E16" s="31">
        <v>73.596666666666664</v>
      </c>
      <c r="F16" s="31">
        <v>18.952222222222222</v>
      </c>
      <c r="G16" s="31">
        <v>74.538888888888891</v>
      </c>
      <c r="H16" s="31">
        <v>1.1666666666666665E-2</v>
      </c>
      <c r="I16" s="31">
        <v>147.68333333333334</v>
      </c>
      <c r="J16" s="31">
        <v>28.968888888888888</v>
      </c>
      <c r="K16" s="31">
        <v>1.0049999999999999</v>
      </c>
      <c r="L16" s="31">
        <v>40.06333333333334</v>
      </c>
      <c r="M16" s="31">
        <v>99.477777777777774</v>
      </c>
      <c r="N16" s="33">
        <v>0.27055937792614909</v>
      </c>
      <c r="O16" s="33">
        <v>0.32989749077078401</v>
      </c>
      <c r="P16" s="33">
        <v>0.43147620404673703</v>
      </c>
      <c r="Q16" s="33">
        <v>0.76137369481752104</v>
      </c>
      <c r="R16" s="31">
        <v>0</v>
      </c>
      <c r="S16" s="31" t="str">
        <f>VLOOKUP(A16,Rankings!B:D,3,FALSE)</f>
        <v>AL</v>
      </c>
    </row>
    <row r="17" spans="1:19" ht="18.600000000000001" customHeight="1">
      <c r="A17" s="26" t="s">
        <v>328</v>
      </c>
      <c r="B17" s="27" t="s">
        <v>114</v>
      </c>
      <c r="C17" s="117" t="s">
        <v>7</v>
      </c>
      <c r="D17" s="31">
        <v>532.6444444444445</v>
      </c>
      <c r="E17" s="31">
        <v>69.847777777777779</v>
      </c>
      <c r="F17" s="31">
        <v>21.724444444444444</v>
      </c>
      <c r="G17" s="31">
        <v>75.254444444444445</v>
      </c>
      <c r="H17" s="31">
        <v>1.125</v>
      </c>
      <c r="I17" s="31">
        <v>140.90666666666667</v>
      </c>
      <c r="J17" s="31">
        <v>29.67</v>
      </c>
      <c r="K17" s="31">
        <v>1.0016666666666667</v>
      </c>
      <c r="L17" s="31">
        <v>44.138333333333328</v>
      </c>
      <c r="M17" s="31">
        <v>105.32444444444445</v>
      </c>
      <c r="N17" s="33">
        <v>0.26454169969543989</v>
      </c>
      <c r="O17" s="33">
        <v>0.33018813834369742</v>
      </c>
      <c r="P17" s="33">
        <v>0.44636405356919351</v>
      </c>
      <c r="Q17" s="33">
        <v>0.77655219191289093</v>
      </c>
      <c r="R17" s="31">
        <v>0</v>
      </c>
      <c r="S17" s="31" t="str">
        <f>VLOOKUP(A17,Rankings!B:D,3,FALSE)</f>
        <v>AL</v>
      </c>
    </row>
    <row r="18" spans="1:19" ht="18.600000000000001" customHeight="1">
      <c r="A18" s="26" t="s">
        <v>318</v>
      </c>
      <c r="B18" s="27" t="s">
        <v>76</v>
      </c>
      <c r="C18" s="117" t="s">
        <v>7</v>
      </c>
      <c r="D18" s="31">
        <v>515.13333333333333</v>
      </c>
      <c r="E18" s="31">
        <v>72.797777777777782</v>
      </c>
      <c r="F18" s="31">
        <v>20.053333333333335</v>
      </c>
      <c r="G18" s="31">
        <v>77.705555555555563</v>
      </c>
      <c r="H18" s="31">
        <v>0.64222222222222214</v>
      </c>
      <c r="I18" s="31">
        <v>134.51222222222222</v>
      </c>
      <c r="J18" s="31">
        <v>25.815555555555559</v>
      </c>
      <c r="K18" s="31">
        <v>2</v>
      </c>
      <c r="L18" s="31">
        <v>68.213333333333324</v>
      </c>
      <c r="M18" s="31">
        <v>104.5</v>
      </c>
      <c r="N18" s="33">
        <v>0.26112117682584873</v>
      </c>
      <c r="O18" s="33">
        <v>0.35547247180626912</v>
      </c>
      <c r="P18" s="33">
        <v>0.43578577283119796</v>
      </c>
      <c r="Q18" s="33">
        <v>0.79125824463746708</v>
      </c>
      <c r="R18" s="31">
        <v>0</v>
      </c>
      <c r="S18" s="31" t="str">
        <f>VLOOKUP(A18,Rankings!B:D,3,FALSE)</f>
        <v>AL</v>
      </c>
    </row>
    <row r="19" spans="1:19" ht="18.600000000000001" customHeight="1">
      <c r="A19" s="26" t="s">
        <v>339</v>
      </c>
      <c r="B19" s="27" t="s">
        <v>76</v>
      </c>
      <c r="C19" s="117" t="s">
        <v>7</v>
      </c>
      <c r="D19" s="31">
        <v>478.32222222222225</v>
      </c>
      <c r="E19" s="31">
        <v>62.818888888888885</v>
      </c>
      <c r="F19" s="31">
        <v>19.393333333333334</v>
      </c>
      <c r="G19" s="31">
        <v>72.3888888888889</v>
      </c>
      <c r="H19" s="31">
        <v>4.9977777777777783</v>
      </c>
      <c r="I19" s="31">
        <v>127.02222222222223</v>
      </c>
      <c r="J19" s="31">
        <v>27.201666666666668</v>
      </c>
      <c r="K19" s="31">
        <v>0.9966666666666667</v>
      </c>
      <c r="L19" s="31">
        <v>41.875000000000007</v>
      </c>
      <c r="M19" s="31">
        <v>83.81</v>
      </c>
      <c r="N19" s="33">
        <v>0.26555785267950477</v>
      </c>
      <c r="O19" s="33">
        <v>0.33385273353241735</v>
      </c>
      <c r="P19" s="33">
        <v>0.44822760110571674</v>
      </c>
      <c r="Q19" s="33">
        <v>0.78208033463813409</v>
      </c>
      <c r="R19" s="31">
        <v>0</v>
      </c>
      <c r="S19" s="31" t="str">
        <f>VLOOKUP(A19,Rankings!B:D,3,FALSE)</f>
        <v>AL</v>
      </c>
    </row>
    <row r="20" spans="1:19" ht="18.600000000000001" customHeight="1">
      <c r="A20" s="26" t="s">
        <v>366</v>
      </c>
      <c r="B20" s="27" t="s">
        <v>81</v>
      </c>
      <c r="C20" s="117" t="s">
        <v>7</v>
      </c>
      <c r="D20" s="31">
        <v>481.17777777777775</v>
      </c>
      <c r="E20" s="31">
        <v>77.447777777777773</v>
      </c>
      <c r="F20" s="31">
        <v>25.929999999999996</v>
      </c>
      <c r="G20" s="31">
        <v>78.581111111111113</v>
      </c>
      <c r="H20" s="31">
        <v>1.9988888888888889</v>
      </c>
      <c r="I20" s="31">
        <v>111.3</v>
      </c>
      <c r="J20" s="31">
        <v>22.709999999999997</v>
      </c>
      <c r="K20" s="31">
        <v>1.0016666666666667</v>
      </c>
      <c r="L20" s="31">
        <v>81.973333333333343</v>
      </c>
      <c r="M20" s="31">
        <v>135.03444444444446</v>
      </c>
      <c r="N20" s="33">
        <v>0.23130744007758741</v>
      </c>
      <c r="O20" s="33">
        <v>0.35106247353102288</v>
      </c>
      <c r="P20" s="33">
        <v>0.44433334872765901</v>
      </c>
      <c r="Q20" s="33">
        <v>0.79539582225868188</v>
      </c>
      <c r="R20" s="31">
        <v>0</v>
      </c>
      <c r="S20" s="31" t="str">
        <f>VLOOKUP(A20,Rankings!B:D,3,FALSE)</f>
        <v>NL</v>
      </c>
    </row>
    <row r="21" spans="1:19" ht="18.600000000000001" customHeight="1">
      <c r="A21" s="26" t="s">
        <v>365</v>
      </c>
      <c r="B21" s="27" t="s">
        <v>156</v>
      </c>
      <c r="C21" s="117" t="s">
        <v>7</v>
      </c>
      <c r="D21" s="31">
        <v>512.62222222222226</v>
      </c>
      <c r="E21" s="31">
        <v>63.629999999999995</v>
      </c>
      <c r="F21" s="31">
        <v>17.461111111111112</v>
      </c>
      <c r="G21" s="31">
        <v>70.808888888888887</v>
      </c>
      <c r="H21" s="31">
        <v>1.9911111111111113</v>
      </c>
      <c r="I21" s="31">
        <v>135.68666666666667</v>
      </c>
      <c r="J21" s="31">
        <v>29.90111111111111</v>
      </c>
      <c r="K21" s="31">
        <v>0.98444444444444434</v>
      </c>
      <c r="L21" s="31">
        <v>33.494999999999997</v>
      </c>
      <c r="M21" s="31">
        <v>94.969999999999985</v>
      </c>
      <c r="N21" s="33">
        <v>0.26469134732096411</v>
      </c>
      <c r="O21" s="33">
        <v>0.31975043468568226</v>
      </c>
      <c r="P21" s="33">
        <v>0.42904889890757758</v>
      </c>
      <c r="Q21" s="33">
        <v>0.7487993335932599</v>
      </c>
      <c r="R21" s="31">
        <v>0</v>
      </c>
      <c r="S21" s="31" t="str">
        <f>VLOOKUP(A21,Rankings!B:D,3,FALSE)</f>
        <v>AL</v>
      </c>
    </row>
    <row r="22" spans="1:19" ht="20.100000000000001" customHeight="1">
      <c r="A22" s="26" t="s">
        <v>371</v>
      </c>
      <c r="B22" s="27" t="s">
        <v>81</v>
      </c>
      <c r="C22" s="117" t="s">
        <v>7</v>
      </c>
      <c r="D22" s="31">
        <v>455.79999999999995</v>
      </c>
      <c r="E22" s="31">
        <v>63.967999999999996</v>
      </c>
      <c r="F22" s="31">
        <v>13.823999999999998</v>
      </c>
      <c r="G22" s="31">
        <v>62.347999999999992</v>
      </c>
      <c r="H22" s="31">
        <v>8.1479999999999997</v>
      </c>
      <c r="I22" s="31">
        <v>120.69600000000001</v>
      </c>
      <c r="J22" s="31">
        <v>26.926666666666666</v>
      </c>
      <c r="K22" s="31">
        <v>2.0840000000000001</v>
      </c>
      <c r="L22" s="31">
        <v>41.253333333333337</v>
      </c>
      <c r="M22" s="31">
        <v>91.463999999999999</v>
      </c>
      <c r="N22" s="33">
        <v>0.26480035103115407</v>
      </c>
      <c r="O22" s="33">
        <v>0.33492325913751153</v>
      </c>
      <c r="P22" s="33">
        <v>0.42400760567500373</v>
      </c>
      <c r="Q22" s="33">
        <v>0.75893086481251526</v>
      </c>
      <c r="R22" s="31">
        <v>0</v>
      </c>
      <c r="S22" s="31" t="str">
        <f>VLOOKUP(A22,Rankings!B:D,3,FALSE)</f>
        <v>NL</v>
      </c>
    </row>
    <row r="23" spans="1:19" ht="20.100000000000001" customHeight="1">
      <c r="A23" s="26" t="s">
        <v>399</v>
      </c>
      <c r="B23" s="27" t="s">
        <v>306</v>
      </c>
      <c r="C23" s="117" t="s">
        <v>7</v>
      </c>
      <c r="D23" s="31">
        <v>514.4</v>
      </c>
      <c r="E23" s="31">
        <v>61.026666666666664</v>
      </c>
      <c r="F23" s="31">
        <v>21.04</v>
      </c>
      <c r="G23" s="31">
        <v>70.91</v>
      </c>
      <c r="H23" s="31">
        <v>1.0216666666666667</v>
      </c>
      <c r="I23" s="31">
        <v>132.60111111111112</v>
      </c>
      <c r="J23" s="31">
        <v>26.152222222222221</v>
      </c>
      <c r="K23" s="31">
        <v>0.99111111111111116</v>
      </c>
      <c r="L23" s="31">
        <v>34.667777777777779</v>
      </c>
      <c r="M23" s="31">
        <v>129.09333333333333</v>
      </c>
      <c r="N23" s="33">
        <v>0.25777820978054261</v>
      </c>
      <c r="O23" s="33">
        <v>0.31479189474366898</v>
      </c>
      <c r="P23" s="33">
        <v>0.43517798513910488</v>
      </c>
      <c r="Q23" s="33">
        <v>0.74996987988277386</v>
      </c>
      <c r="R23" s="31">
        <v>0</v>
      </c>
      <c r="S23" s="31" t="str">
        <f>VLOOKUP(A23,Rankings!B:D,3,FALSE)</f>
        <v>NL</v>
      </c>
    </row>
    <row r="24" spans="1:19" ht="18.600000000000001" customHeight="1">
      <c r="A24" s="26" t="s">
        <v>474</v>
      </c>
      <c r="B24" s="27" t="s">
        <v>103</v>
      </c>
      <c r="C24" s="117" t="s">
        <v>7</v>
      </c>
      <c r="D24" s="31">
        <v>473.64999999999992</v>
      </c>
      <c r="E24" s="31">
        <v>68.196666666666673</v>
      </c>
      <c r="F24" s="31">
        <v>18.647500000000001</v>
      </c>
      <c r="G24" s="31">
        <v>64.37</v>
      </c>
      <c r="H24" s="31">
        <v>4.1050000000000004</v>
      </c>
      <c r="I24" s="31">
        <v>114.55083333333333</v>
      </c>
      <c r="J24" s="31">
        <v>25.1675</v>
      </c>
      <c r="K24" s="31">
        <v>2.1749999999999998</v>
      </c>
      <c r="L24" s="31">
        <v>66.774166666666659</v>
      </c>
      <c r="M24" s="31">
        <v>121.98</v>
      </c>
      <c r="N24" s="33">
        <v>0.24184700376508678</v>
      </c>
      <c r="O24" s="33">
        <v>0.34387224421331353</v>
      </c>
      <c r="P24" s="33">
        <v>0.42227559027411249</v>
      </c>
      <c r="Q24" s="33">
        <v>0.76614783448742596</v>
      </c>
      <c r="R24" s="31">
        <v>0</v>
      </c>
      <c r="S24" s="31" t="str">
        <f>VLOOKUP(A24,Rankings!B:D,3,FALSE)</f>
        <v>AL</v>
      </c>
    </row>
    <row r="25" spans="1:19" ht="18.600000000000001" customHeight="1">
      <c r="A25" s="26" t="s">
        <v>376</v>
      </c>
      <c r="B25" s="27" t="s">
        <v>223</v>
      </c>
      <c r="C25" s="117" t="s">
        <v>7</v>
      </c>
      <c r="D25" s="31">
        <v>460.57777777777778</v>
      </c>
      <c r="E25" s="31">
        <v>58.786666666666669</v>
      </c>
      <c r="F25" s="31">
        <v>17.612222222222222</v>
      </c>
      <c r="G25" s="31">
        <v>64.058888888888887</v>
      </c>
      <c r="H25" s="31">
        <v>6.7588888888888894</v>
      </c>
      <c r="I25" s="31">
        <v>114.005</v>
      </c>
      <c r="J25" s="31">
        <v>26.081666666666663</v>
      </c>
      <c r="K25" s="31">
        <v>1.0183333333333333</v>
      </c>
      <c r="L25" s="31">
        <v>44.82</v>
      </c>
      <c r="M25" s="31">
        <v>146.45111111111112</v>
      </c>
      <c r="N25" s="33">
        <v>0.24752605423140017</v>
      </c>
      <c r="O25" s="33">
        <v>0.3237630604036143</v>
      </c>
      <c r="P25" s="33">
        <v>0.423294412814822</v>
      </c>
      <c r="Q25" s="33">
        <v>0.7470574732184363</v>
      </c>
      <c r="R25" s="31">
        <v>0</v>
      </c>
      <c r="S25" s="31" t="str">
        <f>VLOOKUP(A25,Rankings!B:D,3,FALSE)</f>
        <v>NL</v>
      </c>
    </row>
    <row r="26" spans="1:19" ht="18.600000000000001" customHeight="1">
      <c r="A26" s="26" t="s">
        <v>469</v>
      </c>
      <c r="B26" s="27" t="s">
        <v>140</v>
      </c>
      <c r="C26" s="117" t="s">
        <v>7</v>
      </c>
      <c r="D26" s="31">
        <v>450.33333333333331</v>
      </c>
      <c r="E26" s="31">
        <v>57.663333333333334</v>
      </c>
      <c r="F26" s="31">
        <v>21.416666666666668</v>
      </c>
      <c r="G26" s="31">
        <v>63.843333333333334</v>
      </c>
      <c r="H26" s="31">
        <v>8.4844444444444438</v>
      </c>
      <c r="I26" s="31">
        <v>103.69777777777779</v>
      </c>
      <c r="J26" s="31">
        <v>22.968888888888888</v>
      </c>
      <c r="K26" s="31">
        <v>2.0016666666666665</v>
      </c>
      <c r="L26" s="31">
        <v>40.634999999999998</v>
      </c>
      <c r="M26" s="31">
        <v>132.72777777777779</v>
      </c>
      <c r="N26" s="33">
        <v>0.23026893659018013</v>
      </c>
      <c r="O26" s="33">
        <v>0.30434461324465889</v>
      </c>
      <c r="P26" s="33">
        <v>0.43283493708364179</v>
      </c>
      <c r="Q26" s="33">
        <v>0.73717955032830074</v>
      </c>
      <c r="R26" s="31">
        <v>0</v>
      </c>
      <c r="S26" s="31" t="str">
        <f>VLOOKUP(A26,Rankings!B:D,3,FALSE)</f>
        <v>AL</v>
      </c>
    </row>
    <row r="27" spans="1:19" ht="18.600000000000001" customHeight="1">
      <c r="A27" s="26" t="s">
        <v>501</v>
      </c>
      <c r="B27" s="27" t="s">
        <v>134</v>
      </c>
      <c r="C27" s="117" t="s">
        <v>7</v>
      </c>
      <c r="D27" s="31">
        <v>438.66666666666669</v>
      </c>
      <c r="E27" s="31">
        <v>54.38</v>
      </c>
      <c r="F27" s="31">
        <v>13.005000000000001</v>
      </c>
      <c r="G27" s="31">
        <v>57.625</v>
      </c>
      <c r="H27" s="31">
        <v>0.98888888888888893</v>
      </c>
      <c r="I27" s="31">
        <v>113.54666666666667</v>
      </c>
      <c r="J27" s="31">
        <v>24.03</v>
      </c>
      <c r="K27" s="31">
        <v>1.5277777777777777</v>
      </c>
      <c r="L27" s="31">
        <v>45.226666666666667</v>
      </c>
      <c r="M27" s="31">
        <v>123.62444444444445</v>
      </c>
      <c r="N27" s="33">
        <v>0.25884498480243162</v>
      </c>
      <c r="O27" s="33">
        <v>0.33703090872989611</v>
      </c>
      <c r="P27" s="33">
        <v>0.40953014184397163</v>
      </c>
      <c r="Q27" s="33">
        <v>0.74656105057386779</v>
      </c>
      <c r="R27" s="31">
        <v>0</v>
      </c>
      <c r="S27" s="31" t="str">
        <f>VLOOKUP(A27,Rankings!B:D,3,FALSE)</f>
        <v>NL</v>
      </c>
    </row>
    <row r="28" spans="1:19" ht="18.600000000000001" customHeight="1">
      <c r="A28" s="26" t="s">
        <v>436</v>
      </c>
      <c r="B28" s="27" t="s">
        <v>84</v>
      </c>
      <c r="C28" s="117" t="s">
        <v>7</v>
      </c>
      <c r="D28" s="31">
        <v>412.59999999999997</v>
      </c>
      <c r="E28" s="31">
        <v>52.034999999999997</v>
      </c>
      <c r="F28" s="31">
        <v>18.52</v>
      </c>
      <c r="G28" s="31">
        <v>58.375555555555557</v>
      </c>
      <c r="H28" s="31">
        <v>2.0066666666666668</v>
      </c>
      <c r="I28" s="31">
        <v>100.12777777777778</v>
      </c>
      <c r="J28" s="31">
        <v>21.175555555555555</v>
      </c>
      <c r="K28" s="31">
        <v>1.0249999999999999</v>
      </c>
      <c r="L28" s="31">
        <v>33.543333333333337</v>
      </c>
      <c r="M28" s="31">
        <v>123.41333333333334</v>
      </c>
      <c r="N28" s="33">
        <v>0.24267517638821567</v>
      </c>
      <c r="O28" s="33">
        <v>0.30984056256788878</v>
      </c>
      <c r="P28" s="33">
        <v>0.43362417191791891</v>
      </c>
      <c r="Q28" s="33">
        <v>0.74346473448580763</v>
      </c>
      <c r="R28" s="31">
        <v>0</v>
      </c>
      <c r="S28" s="31" t="str">
        <f>VLOOKUP(A28,Rankings!B:D,3,FALSE)</f>
        <v>AL</v>
      </c>
    </row>
    <row r="29" spans="1:19" ht="20.100000000000001" customHeight="1">
      <c r="A29" s="26" t="s">
        <v>486</v>
      </c>
      <c r="B29" s="27" t="s">
        <v>158</v>
      </c>
      <c r="C29" s="117" t="s">
        <v>7</v>
      </c>
      <c r="D29" s="31">
        <v>444.5888888888889</v>
      </c>
      <c r="E29" s="31">
        <v>55.781111111111109</v>
      </c>
      <c r="F29" s="31">
        <v>15.531111111111111</v>
      </c>
      <c r="G29" s="31">
        <v>58.131111111111117</v>
      </c>
      <c r="H29" s="31">
        <v>2.8333333333333332E-2</v>
      </c>
      <c r="I29" s="31">
        <v>110.22222222222223</v>
      </c>
      <c r="J29" s="31">
        <v>21.382222222222225</v>
      </c>
      <c r="K29" s="31">
        <v>1</v>
      </c>
      <c r="L29" s="31">
        <v>43.918888888888887</v>
      </c>
      <c r="M29" s="31">
        <v>113.75666666666666</v>
      </c>
      <c r="N29" s="33">
        <v>0.24791942618648941</v>
      </c>
      <c r="O29" s="33">
        <v>0.32497776474537965</v>
      </c>
      <c r="P29" s="33">
        <v>0.40531327318621446</v>
      </c>
      <c r="Q29" s="33">
        <v>0.73029103793159411</v>
      </c>
      <c r="R29" s="31">
        <v>0</v>
      </c>
      <c r="S29" s="31" t="str">
        <f>VLOOKUP(A29,Rankings!B:D,3,FALSE)</f>
        <v>NL</v>
      </c>
    </row>
    <row r="30" spans="1:19" ht="18.600000000000001" customHeight="1">
      <c r="A30" s="26" t="s">
        <v>612</v>
      </c>
      <c r="B30" s="27" t="s">
        <v>258</v>
      </c>
      <c r="C30" s="117" t="s">
        <v>7</v>
      </c>
      <c r="D30" s="31">
        <v>459.25822222222223</v>
      </c>
      <c r="E30" s="31">
        <v>57.886133333333333</v>
      </c>
      <c r="F30" s="31">
        <v>17.423333333333332</v>
      </c>
      <c r="G30" s="31">
        <v>58.485288888888896</v>
      </c>
      <c r="H30" s="31">
        <v>1.9878222222222224</v>
      </c>
      <c r="I30" s="31">
        <v>106.1231111111111</v>
      </c>
      <c r="J30" s="31">
        <v>22.920400000000001</v>
      </c>
      <c r="K30" s="31">
        <v>1.5205333333333335</v>
      </c>
      <c r="L30" s="31">
        <v>52.483022222222225</v>
      </c>
      <c r="M30" s="31">
        <v>124.67328888888888</v>
      </c>
      <c r="N30" s="33">
        <v>0.2310750379113759</v>
      </c>
      <c r="O30" s="33">
        <v>0.31946858836574743</v>
      </c>
      <c r="P30" s="33">
        <v>0.40141813223449213</v>
      </c>
      <c r="Q30" s="33">
        <v>0.72088672060023962</v>
      </c>
      <c r="R30" s="31">
        <v>0</v>
      </c>
      <c r="S30" s="31" t="str">
        <f>VLOOKUP(A30,Rankings!B:D,3,FALSE)</f>
        <v>AL</v>
      </c>
    </row>
    <row r="31" spans="1:19" ht="18.600000000000001" customHeight="1">
      <c r="A31" s="26" t="s">
        <v>509</v>
      </c>
      <c r="B31" s="27" t="s">
        <v>158</v>
      </c>
      <c r="C31" s="117" t="s">
        <v>7</v>
      </c>
      <c r="D31" s="31">
        <v>387</v>
      </c>
      <c r="E31" s="31">
        <v>45.108333333333327</v>
      </c>
      <c r="F31" s="31">
        <v>10.468888888888889</v>
      </c>
      <c r="G31" s="31">
        <v>47.77</v>
      </c>
      <c r="H31" s="31">
        <v>2.8966666666666665</v>
      </c>
      <c r="I31" s="31">
        <v>104.19333333333333</v>
      </c>
      <c r="J31" s="31">
        <v>18.444444444444443</v>
      </c>
      <c r="K31" s="31">
        <v>0.98333333333333339</v>
      </c>
      <c r="L31" s="31">
        <v>34.182222222222222</v>
      </c>
      <c r="M31" s="31">
        <v>71.948888888888888</v>
      </c>
      <c r="N31" s="33">
        <v>0.26923341946597762</v>
      </c>
      <c r="O31" s="33">
        <v>0.33755470407549321</v>
      </c>
      <c r="P31" s="33">
        <v>0.40312948607522253</v>
      </c>
      <c r="Q31" s="33">
        <v>0.74068419015071574</v>
      </c>
      <c r="R31" s="31">
        <v>0</v>
      </c>
      <c r="S31" s="31" t="str">
        <f>VLOOKUP(A31,Rankings!B:D,3,FALSE)</f>
        <v>NL</v>
      </c>
    </row>
    <row r="32" spans="1:19" ht="18.600000000000001" customHeight="1">
      <c r="A32" s="26" t="s">
        <v>521</v>
      </c>
      <c r="B32" s="27" t="s">
        <v>101</v>
      </c>
      <c r="C32" s="117" t="s">
        <v>7</v>
      </c>
      <c r="D32" s="31">
        <v>396.70833333333331</v>
      </c>
      <c r="E32" s="31">
        <v>53.927500000000002</v>
      </c>
      <c r="F32" s="31">
        <v>17.61</v>
      </c>
      <c r="G32" s="31">
        <v>56.945833333333333</v>
      </c>
      <c r="H32" s="31">
        <v>1.0375000000000001</v>
      </c>
      <c r="I32" s="31">
        <v>93.866666666666674</v>
      </c>
      <c r="J32" s="31">
        <v>19.465</v>
      </c>
      <c r="K32" s="31">
        <v>1.0049999999999999</v>
      </c>
      <c r="L32" s="31">
        <v>50.056666666666672</v>
      </c>
      <c r="M32" s="31">
        <v>78.466666666666669</v>
      </c>
      <c r="N32" s="33">
        <v>0.23661380107131608</v>
      </c>
      <c r="O32" s="33">
        <v>0.33111376263866155</v>
      </c>
      <c r="P32" s="33">
        <v>0.42391765570843404</v>
      </c>
      <c r="Q32" s="33">
        <v>0.75503141834709564</v>
      </c>
      <c r="R32" s="31">
        <v>0</v>
      </c>
      <c r="S32" s="31" t="str">
        <f>VLOOKUP(A32,Rankings!B:D,3,FALSE)</f>
        <v>AL</v>
      </c>
    </row>
    <row r="33" spans="1:19" ht="18.600000000000001" customHeight="1">
      <c r="A33" s="26" t="s">
        <v>491</v>
      </c>
      <c r="B33" s="27" t="s">
        <v>217</v>
      </c>
      <c r="C33" s="117" t="s">
        <v>7</v>
      </c>
      <c r="D33" s="31">
        <v>396.7166666666667</v>
      </c>
      <c r="E33" s="31">
        <v>51.891666666666673</v>
      </c>
      <c r="F33" s="31">
        <v>14.463333333333333</v>
      </c>
      <c r="G33" s="31">
        <v>52.396666666666668</v>
      </c>
      <c r="H33" s="31">
        <v>1</v>
      </c>
      <c r="I33" s="31">
        <v>98.87833333333333</v>
      </c>
      <c r="J33" s="31">
        <v>19.600000000000001</v>
      </c>
      <c r="K33" s="31">
        <v>1.0033333333333334</v>
      </c>
      <c r="L33" s="31">
        <v>39.063333333333333</v>
      </c>
      <c r="M33" s="31">
        <v>72.053333333333327</v>
      </c>
      <c r="N33" s="33">
        <v>0.24924169222366926</v>
      </c>
      <c r="O33" s="33">
        <v>0.32594592499394237</v>
      </c>
      <c r="P33" s="33">
        <v>0.41307818342225772</v>
      </c>
      <c r="Q33" s="33">
        <v>0.73902410841620014</v>
      </c>
      <c r="R33" s="31">
        <v>0</v>
      </c>
      <c r="S33" s="31" t="str">
        <f>VLOOKUP(A33,Rankings!B:D,3,FALSE)</f>
        <v>NL</v>
      </c>
    </row>
    <row r="34" spans="1:19" ht="18.600000000000001" customHeight="1">
      <c r="A34" s="26" t="s">
        <v>603</v>
      </c>
      <c r="B34" s="27" t="s">
        <v>223</v>
      </c>
      <c r="C34" s="117" t="s">
        <v>7</v>
      </c>
      <c r="D34" s="31">
        <v>408.0888888888889</v>
      </c>
      <c r="E34" s="31">
        <v>54.415555555555557</v>
      </c>
      <c r="F34" s="31">
        <v>17.16</v>
      </c>
      <c r="G34" s="31">
        <v>57.25333333333333</v>
      </c>
      <c r="H34" s="31">
        <v>0.98777777777777775</v>
      </c>
      <c r="I34" s="31">
        <v>94.704444444444448</v>
      </c>
      <c r="J34" s="31">
        <v>19.968888888888888</v>
      </c>
      <c r="K34" s="31">
        <v>1.02</v>
      </c>
      <c r="L34" s="31">
        <v>55.834444444444443</v>
      </c>
      <c r="M34" s="31">
        <v>116.85777777777777</v>
      </c>
      <c r="N34" s="33">
        <v>0.2320681768677848</v>
      </c>
      <c r="O34" s="33">
        <v>0.33328909967456005</v>
      </c>
      <c r="P34" s="33">
        <v>0.41214876933130035</v>
      </c>
      <c r="Q34" s="33">
        <v>0.7454378690058604</v>
      </c>
      <c r="R34" s="31">
        <v>0</v>
      </c>
      <c r="S34" s="31" t="str">
        <f>VLOOKUP(A34,Rankings!B:D,3,FALSE)</f>
        <v>NL</v>
      </c>
    </row>
    <row r="35" spans="1:19" ht="18.600000000000001" customHeight="1">
      <c r="A35" s="26" t="s">
        <v>587</v>
      </c>
      <c r="B35" s="27" t="s">
        <v>137</v>
      </c>
      <c r="C35" s="117" t="s">
        <v>7</v>
      </c>
      <c r="D35" s="31">
        <v>430.58333333333331</v>
      </c>
      <c r="E35" s="31">
        <v>56.339999999999996</v>
      </c>
      <c r="F35" s="31">
        <v>16.231666666666666</v>
      </c>
      <c r="G35" s="31">
        <v>57.603333333333325</v>
      </c>
      <c r="H35" s="31">
        <v>1.0016666666666667</v>
      </c>
      <c r="I35" s="31">
        <v>97.87777777777778</v>
      </c>
      <c r="J35" s="31">
        <v>17.826666666666668</v>
      </c>
      <c r="K35" s="31">
        <v>0.81666666666666676</v>
      </c>
      <c r="L35" s="31">
        <v>68.196666666666673</v>
      </c>
      <c r="M35" s="31">
        <v>84.94</v>
      </c>
      <c r="N35" s="33">
        <v>0.22731436681504422</v>
      </c>
      <c r="O35" s="33">
        <v>0.34128513894752366</v>
      </c>
      <c r="P35" s="33">
        <v>0.38559963873298497</v>
      </c>
      <c r="Q35" s="33">
        <v>0.72688477768050863</v>
      </c>
      <c r="R35" s="31">
        <v>0</v>
      </c>
      <c r="S35" s="31" t="str">
        <f>VLOOKUP(A35,Rankings!B:D,3,FALSE)</f>
        <v>NL</v>
      </c>
    </row>
    <row r="36" spans="1:19" ht="18.600000000000001" customHeight="1">
      <c r="A36" s="26" t="s">
        <v>623</v>
      </c>
      <c r="B36" s="27" t="s">
        <v>306</v>
      </c>
      <c r="C36" s="117" t="s">
        <v>7</v>
      </c>
      <c r="D36" s="31">
        <v>413.77333333333337</v>
      </c>
      <c r="E36" s="31">
        <v>47.812666666666665</v>
      </c>
      <c r="F36" s="31">
        <v>12.233333333333334</v>
      </c>
      <c r="G36" s="31">
        <v>52.134666666666668</v>
      </c>
      <c r="H36" s="31">
        <v>2.0880000000000001</v>
      </c>
      <c r="I36" s="31">
        <v>102.08333333333333</v>
      </c>
      <c r="J36" s="31">
        <v>24.943999999999999</v>
      </c>
      <c r="K36" s="31">
        <v>1.042</v>
      </c>
      <c r="L36" s="31">
        <v>32.747333333333337</v>
      </c>
      <c r="M36" s="31">
        <v>98.24666666666667</v>
      </c>
      <c r="N36" s="33">
        <v>0.24671317629620079</v>
      </c>
      <c r="O36" s="33">
        <v>0.31211001923863285</v>
      </c>
      <c r="P36" s="33">
        <v>0.40072986820481415</v>
      </c>
      <c r="Q36" s="33">
        <v>0.71283988744344695</v>
      </c>
      <c r="R36" s="31">
        <v>0</v>
      </c>
      <c r="S36" s="31" t="str">
        <f>VLOOKUP(A36,Rankings!B:D,3,FALSE)</f>
        <v>NL</v>
      </c>
    </row>
    <row r="37" spans="1:19" ht="18.600000000000001" customHeight="1">
      <c r="A37" s="26" t="s">
        <v>647</v>
      </c>
      <c r="B37" s="27" t="s">
        <v>137</v>
      </c>
      <c r="C37" s="117" t="s">
        <v>7</v>
      </c>
      <c r="D37" s="31">
        <v>397.56666666666666</v>
      </c>
      <c r="E37" s="31">
        <v>51.391111111111115</v>
      </c>
      <c r="F37" s="31">
        <v>13.634444444444446</v>
      </c>
      <c r="G37" s="31">
        <v>54.456666666666671</v>
      </c>
      <c r="H37" s="31">
        <v>9.9999999999999985E-3</v>
      </c>
      <c r="I37" s="31">
        <v>94.215555555555554</v>
      </c>
      <c r="J37" s="31">
        <v>22.016666666666666</v>
      </c>
      <c r="K37" s="31">
        <v>0.81666666666666676</v>
      </c>
      <c r="L37" s="31">
        <v>62.12</v>
      </c>
      <c r="M37" s="31">
        <v>121.89888888888889</v>
      </c>
      <c r="N37" s="33">
        <v>0.23698052038791537</v>
      </c>
      <c r="O37" s="33">
        <v>0.34816304846139468</v>
      </c>
      <c r="P37" s="33">
        <v>0.3993516111902965</v>
      </c>
      <c r="Q37" s="33">
        <v>0.74751465965169117</v>
      </c>
      <c r="R37" s="31">
        <v>0</v>
      </c>
      <c r="S37" s="31" t="str">
        <f>VLOOKUP(A37,Rankings!B:D,3,FALSE)</f>
        <v>NL</v>
      </c>
    </row>
    <row r="38" spans="1:19" ht="18.600000000000001" customHeight="1">
      <c r="A38" s="26" t="s">
        <v>581</v>
      </c>
      <c r="B38" s="27" t="s">
        <v>140</v>
      </c>
      <c r="C38" s="117" t="s">
        <v>7</v>
      </c>
      <c r="D38" s="31">
        <v>394.04444444444442</v>
      </c>
      <c r="E38" s="31">
        <v>42.87833333333333</v>
      </c>
      <c r="F38" s="31">
        <v>14.627777777777778</v>
      </c>
      <c r="G38" s="31">
        <v>54.028888888888893</v>
      </c>
      <c r="H38" s="31">
        <v>0.99777777777777776</v>
      </c>
      <c r="I38" s="31">
        <v>92.974444444444444</v>
      </c>
      <c r="J38" s="31">
        <v>17.817777777777778</v>
      </c>
      <c r="K38" s="31">
        <v>6.6666666666666654E-3</v>
      </c>
      <c r="L38" s="31">
        <v>33.548888888888889</v>
      </c>
      <c r="M38" s="31">
        <v>94.533333333333346</v>
      </c>
      <c r="N38" s="33">
        <v>0.23594913151364766</v>
      </c>
      <c r="O38" s="33">
        <v>0.30623554115742607</v>
      </c>
      <c r="P38" s="33">
        <v>0.39256711030904584</v>
      </c>
      <c r="Q38" s="33">
        <v>0.69880265146647191</v>
      </c>
      <c r="R38" s="31">
        <v>0</v>
      </c>
      <c r="S38" s="31" t="str">
        <f>VLOOKUP(A38,Rankings!B:D,3,FALSE)</f>
        <v>AL</v>
      </c>
    </row>
    <row r="39" spans="1:19" ht="18.600000000000001" customHeight="1">
      <c r="A39" s="26" t="s">
        <v>615</v>
      </c>
      <c r="B39" s="27" t="s">
        <v>94</v>
      </c>
      <c r="C39" s="117" t="s">
        <v>7</v>
      </c>
      <c r="D39" s="31">
        <v>313.95555555555558</v>
      </c>
      <c r="E39" s="31">
        <v>45.338888888888881</v>
      </c>
      <c r="F39" s="31">
        <v>15.985555555555555</v>
      </c>
      <c r="G39" s="31">
        <v>47.331111111111113</v>
      </c>
      <c r="H39" s="31">
        <v>2</v>
      </c>
      <c r="I39" s="31">
        <v>73.578888888888898</v>
      </c>
      <c r="J39" s="31">
        <v>13.479999999999999</v>
      </c>
      <c r="K39" s="31">
        <v>1.02</v>
      </c>
      <c r="L39" s="31">
        <v>42.841111111111111</v>
      </c>
      <c r="M39" s="31">
        <v>95.743333333333339</v>
      </c>
      <c r="N39" s="33">
        <v>0.2343608437146093</v>
      </c>
      <c r="O39" s="33">
        <v>0.33502460218037688</v>
      </c>
      <c r="P39" s="33">
        <v>0.43654445073612685</v>
      </c>
      <c r="Q39" s="33">
        <v>0.77156905291650379</v>
      </c>
      <c r="R39" s="31">
        <v>0</v>
      </c>
      <c r="S39" s="31" t="str">
        <f>VLOOKUP(A39,Rankings!B:D,3,FALSE)</f>
        <v>AL</v>
      </c>
    </row>
    <row r="40" spans="1:19" ht="18.600000000000001" customHeight="1">
      <c r="A40" s="26" t="s">
        <v>687</v>
      </c>
      <c r="B40" s="27" t="s">
        <v>217</v>
      </c>
      <c r="C40" s="117" t="s">
        <v>7</v>
      </c>
      <c r="D40" s="31">
        <v>367.90000000000003</v>
      </c>
      <c r="E40" s="31">
        <v>51.645555555555553</v>
      </c>
      <c r="F40" s="31">
        <v>12.846666666666666</v>
      </c>
      <c r="G40" s="31">
        <v>43.916666666666664</v>
      </c>
      <c r="H40" s="31">
        <v>4.778888888888889</v>
      </c>
      <c r="I40" s="31">
        <v>84.953333333333333</v>
      </c>
      <c r="J40" s="31">
        <v>16.28222222222222</v>
      </c>
      <c r="K40" s="31">
        <v>1.9833333333333334</v>
      </c>
      <c r="L40" s="31">
        <v>45.408888888888889</v>
      </c>
      <c r="M40" s="31">
        <v>88.198333333333338</v>
      </c>
      <c r="N40" s="33">
        <v>0.23091419769864999</v>
      </c>
      <c r="O40" s="33">
        <v>0.3246598830458029</v>
      </c>
      <c r="P40" s="33">
        <v>0.39071003593971793</v>
      </c>
      <c r="Q40" s="33">
        <v>0.71536991898552083</v>
      </c>
      <c r="R40" s="31">
        <v>0</v>
      </c>
      <c r="S40" s="31" t="str">
        <f>VLOOKUP(A40,Rankings!B:D,3,FALSE)</f>
        <v>NL</v>
      </c>
    </row>
    <row r="41" spans="1:19" ht="18.600000000000001" customHeight="1">
      <c r="A41" s="26" t="s">
        <v>688</v>
      </c>
      <c r="B41" s="27" t="s">
        <v>158</v>
      </c>
      <c r="C41" s="117" t="s">
        <v>7</v>
      </c>
      <c r="D41" s="31">
        <v>246.42222222222222</v>
      </c>
      <c r="E41" s="31">
        <v>30.933333333333334</v>
      </c>
      <c r="F41" s="31">
        <v>9.7211111111111119</v>
      </c>
      <c r="G41" s="31">
        <v>34.673333333333332</v>
      </c>
      <c r="H41" s="31">
        <v>0.9966666666666667</v>
      </c>
      <c r="I41" s="31">
        <v>60.232222222222219</v>
      </c>
      <c r="J41" s="31">
        <v>13.017777777777779</v>
      </c>
      <c r="K41" s="31">
        <v>0.99444444444444446</v>
      </c>
      <c r="L41" s="31">
        <v>18.956666666666667</v>
      </c>
      <c r="M41" s="31">
        <v>59.615000000000002</v>
      </c>
      <c r="N41" s="33">
        <v>0.24442690955000451</v>
      </c>
      <c r="O41" s="33">
        <v>0.30871377065690975</v>
      </c>
      <c r="P41" s="33">
        <v>0.42367210749391282</v>
      </c>
      <c r="Q41" s="33">
        <v>0.73238587815082257</v>
      </c>
      <c r="R41" s="31">
        <v>0</v>
      </c>
      <c r="S41" s="31" t="str">
        <f>VLOOKUP(A41,Rankings!B:D,3,FALSE)</f>
        <v>NL</v>
      </c>
    </row>
    <row r="42" spans="1:19" ht="18.600000000000001" customHeight="1">
      <c r="A42" s="26" t="s">
        <v>672</v>
      </c>
      <c r="B42" s="27" t="s">
        <v>156</v>
      </c>
      <c r="C42" s="117" t="s">
        <v>7</v>
      </c>
      <c r="D42" s="31">
        <v>227.04999999999998</v>
      </c>
      <c r="E42" s="31">
        <v>24.858333333333334</v>
      </c>
      <c r="F42" s="31">
        <v>4.0949999999999998</v>
      </c>
      <c r="G42" s="31">
        <v>24.819999999999997</v>
      </c>
      <c r="H42" s="31">
        <v>4.5000000000000005E-2</v>
      </c>
      <c r="I42" s="31">
        <v>61.474999999999994</v>
      </c>
      <c r="J42" s="31">
        <v>12.913333333333332</v>
      </c>
      <c r="K42" s="31">
        <v>6.6666666666666654E-3</v>
      </c>
      <c r="L42" s="31">
        <v>15.198333333333332</v>
      </c>
      <c r="M42" s="31">
        <v>47.661111111111119</v>
      </c>
      <c r="N42" s="33">
        <v>0.27075534023342873</v>
      </c>
      <c r="O42" s="33">
        <v>0.32618142340853723</v>
      </c>
      <c r="P42" s="33">
        <v>0.38179549291639137</v>
      </c>
      <c r="Q42" s="33">
        <v>0.70797691632492854</v>
      </c>
      <c r="R42" s="31">
        <v>0</v>
      </c>
      <c r="S42" s="31" t="str">
        <f>VLOOKUP(A42,Rankings!B:D,3,FALSE)</f>
        <v>AL</v>
      </c>
    </row>
    <row r="43" spans="1:19" ht="20.100000000000001" customHeight="1">
      <c r="A43" s="26" t="s">
        <v>754</v>
      </c>
      <c r="B43" s="27" t="s">
        <v>223</v>
      </c>
      <c r="C43" s="117" t="s">
        <v>7</v>
      </c>
      <c r="D43" s="31">
        <v>197.26041666666666</v>
      </c>
      <c r="E43" s="31">
        <v>25.933333333333337</v>
      </c>
      <c r="F43" s="31">
        <v>9.625</v>
      </c>
      <c r="G43" s="31">
        <v>32.984375</v>
      </c>
      <c r="H43" s="31">
        <v>0.82187500000000002</v>
      </c>
      <c r="I43" s="31">
        <v>47.95624999999999</v>
      </c>
      <c r="J43" s="31">
        <v>9.140625</v>
      </c>
      <c r="K43" s="31">
        <v>1.0375000000000001</v>
      </c>
      <c r="L43" s="31">
        <v>21.011458333333334</v>
      </c>
      <c r="M43" s="31">
        <v>47.133333333333333</v>
      </c>
      <c r="N43" s="33">
        <v>0.24311136927707658</v>
      </c>
      <c r="O43" s="33">
        <v>0.32533425600395111</v>
      </c>
      <c r="P43" s="33">
        <v>0.44634841844009077</v>
      </c>
      <c r="Q43" s="33">
        <v>0.77168267444404193</v>
      </c>
      <c r="R43" s="31">
        <v>0</v>
      </c>
      <c r="S43" s="31" t="str">
        <f>VLOOKUP(A43,Rankings!B:D,3,FALSE)</f>
        <v>NL</v>
      </c>
    </row>
    <row r="44" spans="1:19" ht="18.600000000000001" customHeight="1">
      <c r="A44" s="26" t="s">
        <v>705</v>
      </c>
      <c r="B44" s="27" t="s">
        <v>97</v>
      </c>
      <c r="C44" s="117" t="s">
        <v>7</v>
      </c>
      <c r="D44" s="31">
        <v>226.35</v>
      </c>
      <c r="E44" s="31">
        <v>30.443333333333332</v>
      </c>
      <c r="F44" s="31">
        <v>10.901666666666666</v>
      </c>
      <c r="G44" s="31">
        <v>32.159999999999997</v>
      </c>
      <c r="H44" s="31">
        <v>4.0166666666666666</v>
      </c>
      <c r="I44" s="31">
        <v>49.643333333333338</v>
      </c>
      <c r="J44" s="31">
        <v>9.6783333333333328</v>
      </c>
      <c r="K44" s="31">
        <v>0.99888888888888883</v>
      </c>
      <c r="L44" s="31">
        <v>21.361666666666665</v>
      </c>
      <c r="M44" s="31">
        <v>90.658888888888896</v>
      </c>
      <c r="N44" s="33">
        <v>0.21932111037478833</v>
      </c>
      <c r="O44" s="33">
        <v>0.29726451311874974</v>
      </c>
      <c r="P44" s="33">
        <v>0.41539405542056301</v>
      </c>
      <c r="Q44" s="33">
        <v>0.71265856853931275</v>
      </c>
      <c r="R44" s="31">
        <v>0</v>
      </c>
      <c r="S44" s="31" t="str">
        <f>VLOOKUP(A44,Rankings!B:D,3,FALSE)</f>
        <v>NL</v>
      </c>
    </row>
    <row r="45" spans="1:19" ht="18.600000000000001" customHeight="1">
      <c r="A45" s="26" t="s">
        <v>713</v>
      </c>
      <c r="B45" s="27" t="s">
        <v>137</v>
      </c>
      <c r="C45" s="117" t="s">
        <v>7</v>
      </c>
      <c r="D45" s="31">
        <v>231.11111111111111</v>
      </c>
      <c r="E45" s="31">
        <v>30.709999999999997</v>
      </c>
      <c r="F45" s="31">
        <v>5.5344444444444436</v>
      </c>
      <c r="G45" s="31">
        <v>24.734444444444446</v>
      </c>
      <c r="H45" s="31">
        <v>2.9966666666666666</v>
      </c>
      <c r="I45" s="31">
        <v>55.05777777777778</v>
      </c>
      <c r="J45" s="31">
        <v>11.218888888888889</v>
      </c>
      <c r="K45" s="31">
        <v>1.0183333333333333</v>
      </c>
      <c r="L45" s="31">
        <v>31.15166666666666</v>
      </c>
      <c r="M45" s="31">
        <v>56.773333333333333</v>
      </c>
      <c r="N45" s="33">
        <v>0.23823076923076925</v>
      </c>
      <c r="O45" s="33">
        <v>0.33736626235500505</v>
      </c>
      <c r="P45" s="33">
        <v>0.36742788461538461</v>
      </c>
      <c r="Q45" s="33">
        <v>0.70479414697038967</v>
      </c>
      <c r="R45" s="31">
        <v>0</v>
      </c>
      <c r="S45" s="31" t="str">
        <f>VLOOKUP(A45,Rankings!B:D,3,FALSE)</f>
        <v>NL</v>
      </c>
    </row>
    <row r="46" spans="1:19" ht="18.600000000000001" customHeight="1">
      <c r="A46" s="26" t="s">
        <v>727</v>
      </c>
      <c r="B46" s="27" t="s">
        <v>117</v>
      </c>
      <c r="C46" s="117" t="s">
        <v>7</v>
      </c>
      <c r="D46" s="31">
        <v>214.83333333333334</v>
      </c>
      <c r="E46" s="31">
        <v>27.974444444444444</v>
      </c>
      <c r="F46" s="31">
        <v>8.4633333333333329</v>
      </c>
      <c r="G46" s="31">
        <v>28.192222222222224</v>
      </c>
      <c r="H46" s="31">
        <v>2.9599999999999995</v>
      </c>
      <c r="I46" s="31">
        <v>46.313333333333333</v>
      </c>
      <c r="J46" s="31">
        <v>10.408888888888889</v>
      </c>
      <c r="K46" s="31">
        <v>1.417777777777778</v>
      </c>
      <c r="L46" s="31">
        <v>25.575555555555553</v>
      </c>
      <c r="M46" s="31">
        <v>80.767777777777781</v>
      </c>
      <c r="N46" s="33">
        <v>0.21557796741660201</v>
      </c>
      <c r="O46" s="33">
        <v>0.30894448918386047</v>
      </c>
      <c r="P46" s="33">
        <v>0.39541246444272049</v>
      </c>
      <c r="Q46" s="33">
        <v>0.70435695362658102</v>
      </c>
      <c r="R46" s="31">
        <v>0</v>
      </c>
      <c r="S46" s="31" t="str">
        <f>VLOOKUP(A46,Rankings!B:D,3,FALSE)</f>
        <v>AL</v>
      </c>
    </row>
    <row r="47" spans="1:19" ht="18.600000000000001" customHeight="1">
      <c r="A47" s="26" t="s">
        <v>718</v>
      </c>
      <c r="B47" s="27" t="s">
        <v>94</v>
      </c>
      <c r="C47" s="117" t="s">
        <v>7</v>
      </c>
      <c r="D47" s="31">
        <v>204.2222222222222</v>
      </c>
      <c r="E47" s="31">
        <v>29.012222222222221</v>
      </c>
      <c r="F47" s="31">
        <v>6.07</v>
      </c>
      <c r="G47" s="31">
        <v>23.943333333333332</v>
      </c>
      <c r="H47" s="31">
        <v>3.0233333333333334</v>
      </c>
      <c r="I47" s="31">
        <v>45.19222222222222</v>
      </c>
      <c r="J47" s="31">
        <v>10.568888888888889</v>
      </c>
      <c r="K47" s="31">
        <v>0.99555555555555564</v>
      </c>
      <c r="L47" s="31">
        <v>29.827777777777779</v>
      </c>
      <c r="M47" s="31">
        <v>62.075555555555553</v>
      </c>
      <c r="N47" s="33">
        <v>0.22128944504896628</v>
      </c>
      <c r="O47" s="33">
        <v>0.32940945385444648</v>
      </c>
      <c r="P47" s="33">
        <v>0.37195865070729056</v>
      </c>
      <c r="Q47" s="33">
        <v>0.70136810456173704</v>
      </c>
      <c r="R47" s="31">
        <v>0</v>
      </c>
      <c r="S47" s="31" t="str">
        <f>VLOOKUP(A47,Rankings!B:D,3,FALSE)</f>
        <v>AL</v>
      </c>
    </row>
    <row r="48" spans="1:19" ht="18.600000000000001" customHeight="1">
      <c r="A48" s="26" t="s">
        <v>717</v>
      </c>
      <c r="B48" s="27" t="s">
        <v>103</v>
      </c>
      <c r="C48" s="117" t="s">
        <v>7</v>
      </c>
      <c r="D48" s="31">
        <v>179.56666666666669</v>
      </c>
      <c r="E48" s="31">
        <v>23.14</v>
      </c>
      <c r="F48" s="31">
        <v>8.9533333333333331</v>
      </c>
      <c r="G48" s="31">
        <v>26.815555555555559</v>
      </c>
      <c r="H48" s="31">
        <v>1.0866666666666667</v>
      </c>
      <c r="I48" s="31">
        <v>39.93</v>
      </c>
      <c r="J48" s="31">
        <v>7.1477777777777787</v>
      </c>
      <c r="K48" s="31">
        <v>1.085</v>
      </c>
      <c r="L48" s="31">
        <v>15.425555555555555</v>
      </c>
      <c r="M48" s="31">
        <v>62.743333333333332</v>
      </c>
      <c r="N48" s="33">
        <v>0.22236866530536473</v>
      </c>
      <c r="O48" s="33">
        <v>0.29469601612339746</v>
      </c>
      <c r="P48" s="33">
        <v>0.42384134645133342</v>
      </c>
      <c r="Q48" s="33">
        <v>0.71853736257473089</v>
      </c>
      <c r="R48" s="31">
        <v>0</v>
      </c>
      <c r="S48" s="31" t="str">
        <f>VLOOKUP(A48,Rankings!B:D,3,FALSE)</f>
        <v>AL</v>
      </c>
    </row>
    <row r="49" spans="1:19" ht="18.600000000000001" customHeight="1">
      <c r="A49" s="26" t="s">
        <v>633</v>
      </c>
      <c r="B49" s="27" t="s">
        <v>97</v>
      </c>
      <c r="C49" s="117" t="s">
        <v>7</v>
      </c>
      <c r="D49" s="31">
        <v>166.24444444444444</v>
      </c>
      <c r="E49" s="31">
        <v>21.652222222222221</v>
      </c>
      <c r="F49" s="31">
        <v>7.9955555555555557</v>
      </c>
      <c r="G49" s="31">
        <v>24.99</v>
      </c>
      <c r="H49" s="31">
        <v>4.1666666666666664E-2</v>
      </c>
      <c r="I49" s="31">
        <v>37.756666666666668</v>
      </c>
      <c r="J49" s="31">
        <v>7.0166666666666666</v>
      </c>
      <c r="K49" s="31">
        <v>2.1666666666666667E-2</v>
      </c>
      <c r="L49" s="31">
        <v>17.855555555555554</v>
      </c>
      <c r="M49" s="31">
        <v>55.00333333333333</v>
      </c>
      <c r="N49" s="33">
        <v>0.22711535890923676</v>
      </c>
      <c r="O49" s="33">
        <v>0.31197422152161924</v>
      </c>
      <c r="P49" s="33">
        <v>0.41386846678251571</v>
      </c>
      <c r="Q49" s="33">
        <v>0.7258426883041349</v>
      </c>
      <c r="R49" s="31">
        <v>0</v>
      </c>
      <c r="S49" s="31" t="str">
        <f>VLOOKUP(A49,Rankings!B:D,3,FALSE)</f>
        <v>AL</v>
      </c>
    </row>
    <row r="50" spans="1:19" ht="18.600000000000001" customHeight="1">
      <c r="A50" s="26" t="s">
        <v>725</v>
      </c>
      <c r="B50" s="27" t="s">
        <v>140</v>
      </c>
      <c r="C50" s="117" t="s">
        <v>7</v>
      </c>
      <c r="D50" s="31">
        <v>205.4</v>
      </c>
      <c r="E50" s="31">
        <v>24.62</v>
      </c>
      <c r="F50" s="31">
        <v>7.0625</v>
      </c>
      <c r="G50" s="31">
        <v>24.706666666666667</v>
      </c>
      <c r="H50" s="31">
        <v>3</v>
      </c>
      <c r="I50" s="31">
        <v>42.363333333333337</v>
      </c>
      <c r="J50" s="31">
        <v>9.0124999999999993</v>
      </c>
      <c r="K50" s="31">
        <v>0.35666666666666663</v>
      </c>
      <c r="L50" s="31">
        <v>26.27</v>
      </c>
      <c r="M50" s="31">
        <v>78.06</v>
      </c>
      <c r="N50" s="33">
        <v>0.20624797143784487</v>
      </c>
      <c r="O50" s="33">
        <v>0.30620320752028052</v>
      </c>
      <c r="P50" s="33">
        <v>0.35675105485232067</v>
      </c>
      <c r="Q50" s="33">
        <v>0.66295426237260124</v>
      </c>
      <c r="R50" s="31">
        <v>0</v>
      </c>
      <c r="S50" s="31" t="str">
        <f>VLOOKUP(A50,Rankings!B:D,3,FALSE)</f>
        <v>AL</v>
      </c>
    </row>
    <row r="51" spans="1:19" ht="18.600000000000001" customHeight="1">
      <c r="A51" s="26" t="s">
        <v>148</v>
      </c>
      <c r="B51" s="27" t="s">
        <v>86</v>
      </c>
      <c r="C51" s="119" t="s">
        <v>11</v>
      </c>
      <c r="D51" s="31">
        <v>601.94444444444446</v>
      </c>
      <c r="E51" s="31">
        <v>91.701666666666668</v>
      </c>
      <c r="F51" s="31">
        <v>25.615555555555556</v>
      </c>
      <c r="G51" s="31">
        <v>75.661111111111111</v>
      </c>
      <c r="H51" s="31">
        <v>20.047777777777778</v>
      </c>
      <c r="I51" s="31">
        <v>151.40666666666667</v>
      </c>
      <c r="J51" s="31">
        <v>30.961111111111109</v>
      </c>
      <c r="K51" s="31">
        <v>3.0183333333333331</v>
      </c>
      <c r="L51" s="31">
        <v>57.023333333333333</v>
      </c>
      <c r="M51" s="31">
        <v>122.56555555555555</v>
      </c>
      <c r="N51" s="33">
        <v>0.25152930318412553</v>
      </c>
      <c r="O51" s="33">
        <v>0.32574432170391199</v>
      </c>
      <c r="P51" s="33">
        <v>0.44065712967235809</v>
      </c>
      <c r="Q51" s="33">
        <v>0.76640145137627003</v>
      </c>
      <c r="R51" s="31">
        <v>0</v>
      </c>
      <c r="S51" s="31" t="str">
        <f>VLOOKUP(A51,Rankings!B:D,3,FALSE)</f>
        <v>AL</v>
      </c>
    </row>
    <row r="52" spans="1:19" ht="18.600000000000001" customHeight="1">
      <c r="A52" s="26" t="s">
        <v>160</v>
      </c>
      <c r="B52" s="27" t="s">
        <v>134</v>
      </c>
      <c r="C52" s="119" t="s">
        <v>11</v>
      </c>
      <c r="D52" s="31">
        <v>506.36666666666673</v>
      </c>
      <c r="E52" s="31">
        <v>80.209999999999994</v>
      </c>
      <c r="F52" s="31">
        <v>23.861666666666665</v>
      </c>
      <c r="G52" s="31">
        <v>69.231666666666669</v>
      </c>
      <c r="H52" s="31">
        <v>29.935555555555556</v>
      </c>
      <c r="I52" s="31">
        <v>123.84333333333335</v>
      </c>
      <c r="J52" s="31">
        <v>22.106666666666666</v>
      </c>
      <c r="K52" s="31">
        <v>5.0116666666666667</v>
      </c>
      <c r="L52" s="31">
        <v>45.053333333333335</v>
      </c>
      <c r="M52" s="31">
        <v>148.95444444444445</v>
      </c>
      <c r="N52" s="33">
        <v>0.24457244421038773</v>
      </c>
      <c r="O52" s="33">
        <v>0.31618561150619734</v>
      </c>
      <c r="P52" s="33">
        <v>0.44939437825027972</v>
      </c>
      <c r="Q52" s="33">
        <v>0.76557998975647701</v>
      </c>
      <c r="R52" s="31">
        <v>0</v>
      </c>
      <c r="S52" s="31" t="str">
        <f>VLOOKUP(A52,Rankings!B:D,3,FALSE)</f>
        <v>NL</v>
      </c>
    </row>
    <row r="53" spans="1:19" ht="18.600000000000001" customHeight="1">
      <c r="A53" s="26" t="s">
        <v>196</v>
      </c>
      <c r="B53" s="27" t="s">
        <v>73</v>
      </c>
      <c r="C53" s="119" t="s">
        <v>11</v>
      </c>
      <c r="D53" s="31">
        <v>535.21666666666658</v>
      </c>
      <c r="E53" s="31">
        <v>78.416666666666657</v>
      </c>
      <c r="F53" s="31">
        <v>21.105</v>
      </c>
      <c r="G53" s="31">
        <v>75.186666666666667</v>
      </c>
      <c r="H53" s="31">
        <v>16.936666666666667</v>
      </c>
      <c r="I53" s="31">
        <v>140.28</v>
      </c>
      <c r="J53" s="31">
        <v>31.814999999999998</v>
      </c>
      <c r="K53" s="31">
        <v>3.3744444444444444</v>
      </c>
      <c r="L53" s="31">
        <v>38.366666666666667</v>
      </c>
      <c r="M53" s="31">
        <v>105.75333333333333</v>
      </c>
      <c r="N53" s="33">
        <v>0.26209946127736433</v>
      </c>
      <c r="O53" s="33">
        <v>0.32129385638656466</v>
      </c>
      <c r="P53" s="33">
        <v>0.4524502018912383</v>
      </c>
      <c r="Q53" s="33">
        <v>0.77374405827780302</v>
      </c>
      <c r="R53" s="31">
        <v>0</v>
      </c>
      <c r="S53" s="31" t="str">
        <f>VLOOKUP(A53,Rankings!B:D,3,FALSE)</f>
        <v>NL</v>
      </c>
    </row>
    <row r="54" spans="1:19" ht="18.600000000000001" customHeight="1">
      <c r="A54" s="26" t="s">
        <v>192</v>
      </c>
      <c r="B54" s="27" t="s">
        <v>123</v>
      </c>
      <c r="C54" s="119" t="s">
        <v>11</v>
      </c>
      <c r="D54" s="31">
        <v>569.20000000000005</v>
      </c>
      <c r="E54" s="31">
        <v>83.935555555555553</v>
      </c>
      <c r="F54" s="31">
        <v>11.996666666666668</v>
      </c>
      <c r="G54" s="31">
        <v>58.855000000000011</v>
      </c>
      <c r="H54" s="31">
        <v>29.448888888888888</v>
      </c>
      <c r="I54" s="31">
        <v>149.44444444444446</v>
      </c>
      <c r="J54" s="31">
        <v>31.036666666666665</v>
      </c>
      <c r="K54" s="31">
        <v>3.9744444444444444</v>
      </c>
      <c r="L54" s="31">
        <v>40.571666666666665</v>
      </c>
      <c r="M54" s="31">
        <v>101.33888888888889</v>
      </c>
      <c r="N54" s="33">
        <v>0.26255172952291717</v>
      </c>
      <c r="O54" s="33">
        <v>0.3214521853831207</v>
      </c>
      <c r="P54" s="33">
        <v>0.39427266338721018</v>
      </c>
      <c r="Q54" s="33">
        <v>0.71572484877033093</v>
      </c>
      <c r="R54" s="31">
        <v>0</v>
      </c>
      <c r="S54" s="31" t="str">
        <f>VLOOKUP(A54,Rankings!B:D,3,FALSE)</f>
        <v>NL</v>
      </c>
    </row>
    <row r="55" spans="1:19" ht="18.600000000000001" customHeight="1">
      <c r="A55" s="26" t="s">
        <v>186</v>
      </c>
      <c r="B55" s="27" t="s">
        <v>76</v>
      </c>
      <c r="C55" s="119" t="s">
        <v>11</v>
      </c>
      <c r="D55" s="31">
        <v>534.11111111111109</v>
      </c>
      <c r="E55" s="31">
        <v>73.143333333333331</v>
      </c>
      <c r="F55" s="31">
        <v>16.594444444444445</v>
      </c>
      <c r="G55" s="31">
        <v>69.114999999999995</v>
      </c>
      <c r="H55" s="31">
        <v>23.324444444444442</v>
      </c>
      <c r="I55" s="31">
        <v>142.6311111111111</v>
      </c>
      <c r="J55" s="31">
        <v>28.75</v>
      </c>
      <c r="K55" s="31">
        <v>2.9966666666666666</v>
      </c>
      <c r="L55" s="31">
        <v>35.941111111111113</v>
      </c>
      <c r="M55" s="31">
        <v>121.91444444444444</v>
      </c>
      <c r="N55" s="33">
        <v>0.26704389432078218</v>
      </c>
      <c r="O55" s="33">
        <v>0.32305862307910266</v>
      </c>
      <c r="P55" s="33">
        <v>0.4253006032868733</v>
      </c>
      <c r="Q55" s="33">
        <v>0.74835922636597596</v>
      </c>
      <c r="R55" s="31">
        <v>0</v>
      </c>
      <c r="S55" s="31" t="str">
        <f>VLOOKUP(A55,Rankings!B:D,3,FALSE)</f>
        <v>AL</v>
      </c>
    </row>
    <row r="56" spans="1:19" ht="18.600000000000001" customHeight="1">
      <c r="A56" s="26" t="s">
        <v>239</v>
      </c>
      <c r="B56" s="27" t="s">
        <v>68</v>
      </c>
      <c r="C56" s="119" t="s">
        <v>11</v>
      </c>
      <c r="D56" s="31">
        <v>522.28888888888889</v>
      </c>
      <c r="E56" s="31">
        <v>74.2</v>
      </c>
      <c r="F56" s="31">
        <v>21.293333333333333</v>
      </c>
      <c r="G56" s="31">
        <v>70.908888888888882</v>
      </c>
      <c r="H56" s="31">
        <v>13.375555555555556</v>
      </c>
      <c r="I56" s="31">
        <v>135.19444444444446</v>
      </c>
      <c r="J56" s="31">
        <v>25.441111111111113</v>
      </c>
      <c r="K56" s="31">
        <v>1.0183333333333333</v>
      </c>
      <c r="L56" s="31">
        <v>47.593333333333334</v>
      </c>
      <c r="M56" s="31">
        <v>123.14222222222223</v>
      </c>
      <c r="N56" s="33">
        <v>0.25884993405097223</v>
      </c>
      <c r="O56" s="33">
        <v>0.33004697903760111</v>
      </c>
      <c r="P56" s="33">
        <v>0.43376802961324096</v>
      </c>
      <c r="Q56" s="33">
        <v>0.76381500865084206</v>
      </c>
      <c r="R56" s="31">
        <v>0</v>
      </c>
      <c r="S56" s="31" t="str">
        <f>VLOOKUP(A56,Rankings!B:D,3,FALSE)</f>
        <v>AL</v>
      </c>
    </row>
    <row r="57" spans="1:19" ht="18.600000000000001" customHeight="1">
      <c r="A57" s="26" t="s">
        <v>314</v>
      </c>
      <c r="B57" s="27" t="s">
        <v>217</v>
      </c>
      <c r="C57" s="119" t="s">
        <v>11</v>
      </c>
      <c r="D57" s="31">
        <v>501.42222222222222</v>
      </c>
      <c r="E57" s="31">
        <v>69.316666666666663</v>
      </c>
      <c r="F57" s="31">
        <v>14.634444444444446</v>
      </c>
      <c r="G57" s="31">
        <v>59.928888888888885</v>
      </c>
      <c r="H57" s="31">
        <v>18.362222222222222</v>
      </c>
      <c r="I57" s="31">
        <v>131.77333333333334</v>
      </c>
      <c r="J57" s="31">
        <v>22.986666666666668</v>
      </c>
      <c r="K57" s="31">
        <v>2.1866666666666665</v>
      </c>
      <c r="L57" s="31">
        <v>34</v>
      </c>
      <c r="M57" s="31">
        <v>94.84666666666665</v>
      </c>
      <c r="N57" s="33">
        <v>0.26279914908704133</v>
      </c>
      <c r="O57" s="33">
        <v>0.31955787040540234</v>
      </c>
      <c r="P57" s="33">
        <v>0.40492155646162031</v>
      </c>
      <c r="Q57" s="33">
        <v>0.72447942686702271</v>
      </c>
      <c r="R57" s="31">
        <v>0</v>
      </c>
      <c r="S57" s="31" t="str">
        <f>VLOOKUP(A57,Rankings!B:D,3,FALSE)</f>
        <v>NL</v>
      </c>
    </row>
    <row r="58" spans="1:19" ht="18.600000000000001" customHeight="1">
      <c r="A58" s="26" t="s">
        <v>265</v>
      </c>
      <c r="B58" s="27" t="s">
        <v>156</v>
      </c>
      <c r="C58" s="119" t="s">
        <v>11</v>
      </c>
      <c r="D58" s="31">
        <v>509.95</v>
      </c>
      <c r="E58" s="31">
        <v>74.05</v>
      </c>
      <c r="F58" s="31">
        <v>20.815000000000001</v>
      </c>
      <c r="G58" s="31">
        <v>71.651666666666657</v>
      </c>
      <c r="H58" s="31">
        <v>7.9122222222222227</v>
      </c>
      <c r="I58" s="31">
        <v>130.66833333333332</v>
      </c>
      <c r="J58" s="31">
        <v>26.439999999999998</v>
      </c>
      <c r="K58" s="31">
        <v>1.9677777777777778</v>
      </c>
      <c r="L58" s="31">
        <v>56.244999999999997</v>
      </c>
      <c r="M58" s="31">
        <v>113.48666666666666</v>
      </c>
      <c r="N58" s="33">
        <v>0.25623753962806811</v>
      </c>
      <c r="O58" s="33">
        <v>0.33890272490552309</v>
      </c>
      <c r="P58" s="33">
        <v>0.43825647394624745</v>
      </c>
      <c r="Q58" s="33">
        <v>0.77715919885177054</v>
      </c>
      <c r="R58" s="31">
        <v>0</v>
      </c>
      <c r="S58" s="31" t="str">
        <f>VLOOKUP(A58,Rankings!B:D,3,FALSE)</f>
        <v>AL</v>
      </c>
    </row>
    <row r="59" spans="1:19" ht="18.600000000000001" customHeight="1">
      <c r="A59" s="26" t="s">
        <v>322</v>
      </c>
      <c r="B59" s="27" t="s">
        <v>120</v>
      </c>
      <c r="C59" s="119" t="s">
        <v>11</v>
      </c>
      <c r="D59" s="31">
        <v>531.18888888888887</v>
      </c>
      <c r="E59" s="31">
        <v>74.801111111111112</v>
      </c>
      <c r="F59" s="31">
        <v>15.966666666666667</v>
      </c>
      <c r="G59" s="31">
        <v>67.767777777777781</v>
      </c>
      <c r="H59" s="31">
        <v>5.3855555555555554</v>
      </c>
      <c r="I59" s="31">
        <v>143.34888888888889</v>
      </c>
      <c r="J59" s="31">
        <v>35.56666666666667</v>
      </c>
      <c r="K59" s="31">
        <v>2.9111111111111114</v>
      </c>
      <c r="L59" s="31">
        <v>51.764999999999993</v>
      </c>
      <c r="M59" s="31">
        <v>101.34666666666665</v>
      </c>
      <c r="N59" s="33">
        <v>0.26986424582174162</v>
      </c>
      <c r="O59" s="33">
        <v>0.34339799584983954</v>
      </c>
      <c r="P59" s="33">
        <v>0.43795678457129711</v>
      </c>
      <c r="Q59" s="33">
        <v>0.78135478042113671</v>
      </c>
      <c r="R59" s="31">
        <v>0</v>
      </c>
      <c r="S59" s="31" t="str">
        <f>VLOOKUP(A59,Rankings!B:D,3,FALSE)</f>
        <v>NL</v>
      </c>
    </row>
    <row r="60" spans="1:19" ht="18.600000000000001" customHeight="1">
      <c r="A60" s="26" t="s">
        <v>310</v>
      </c>
      <c r="B60" s="27" t="s">
        <v>134</v>
      </c>
      <c r="C60" s="119" t="s">
        <v>11</v>
      </c>
      <c r="D60" s="31">
        <v>522.5</v>
      </c>
      <c r="E60" s="31">
        <v>72.09</v>
      </c>
      <c r="F60" s="31">
        <v>6.6455555555555561</v>
      </c>
      <c r="G60" s="31">
        <v>56.566666666666663</v>
      </c>
      <c r="H60" s="31">
        <v>5.09</v>
      </c>
      <c r="I60" s="31">
        <v>158.0911111111111</v>
      </c>
      <c r="J60" s="31">
        <v>28.305555555555557</v>
      </c>
      <c r="K60" s="31">
        <v>2.9955555555555553</v>
      </c>
      <c r="L60" s="31">
        <v>49.614444444444445</v>
      </c>
      <c r="M60" s="31">
        <v>48.29</v>
      </c>
      <c r="N60" s="33">
        <v>0.30256671982987771</v>
      </c>
      <c r="O60" s="33">
        <v>0.37064820121841735</v>
      </c>
      <c r="P60" s="33">
        <v>0.4063625730994152</v>
      </c>
      <c r="Q60" s="33">
        <v>0.7770107743178325</v>
      </c>
      <c r="R60" s="31">
        <v>0</v>
      </c>
      <c r="S60" s="31" t="str">
        <f>VLOOKUP(A60,Rankings!B:D,3,FALSE)</f>
        <v>NL</v>
      </c>
    </row>
    <row r="61" spans="1:19" ht="18.600000000000001" customHeight="1">
      <c r="A61" s="26" t="s">
        <v>262</v>
      </c>
      <c r="B61" s="27" t="s">
        <v>223</v>
      </c>
      <c r="C61" s="119" t="s">
        <v>11</v>
      </c>
      <c r="D61" s="31">
        <v>532.65333333333342</v>
      </c>
      <c r="E61" s="31">
        <v>78.678999999999988</v>
      </c>
      <c r="F61" s="31">
        <v>16.935833333333331</v>
      </c>
      <c r="G61" s="31">
        <v>62.912166666666678</v>
      </c>
      <c r="H61" s="31">
        <v>9.6163333333333334</v>
      </c>
      <c r="I61" s="31">
        <v>135.1995</v>
      </c>
      <c r="J61" s="31">
        <v>29.045500000000001</v>
      </c>
      <c r="K61" s="31">
        <v>2.0656666666666665</v>
      </c>
      <c r="L61" s="31">
        <v>55.343833333333329</v>
      </c>
      <c r="M61" s="31">
        <v>133.45811111111109</v>
      </c>
      <c r="N61" s="33">
        <v>0.25382268642519207</v>
      </c>
      <c r="O61" s="33">
        <v>0.33312222884507248</v>
      </c>
      <c r="P61" s="33">
        <v>0.41149434278705344</v>
      </c>
      <c r="Q61" s="33">
        <v>0.74461657163212591</v>
      </c>
      <c r="R61" s="31">
        <v>0</v>
      </c>
      <c r="S61" s="31" t="str">
        <f>VLOOKUP(A61,Rankings!B:D,3,FALSE)</f>
        <v>NL</v>
      </c>
    </row>
    <row r="62" spans="1:19" ht="18.600000000000001" customHeight="1">
      <c r="A62" s="26" t="s">
        <v>299</v>
      </c>
      <c r="B62" s="27" t="s">
        <v>101</v>
      </c>
      <c r="C62" s="119" t="s">
        <v>11</v>
      </c>
      <c r="D62" s="31">
        <v>477.3</v>
      </c>
      <c r="E62" s="31">
        <v>69.986666666666665</v>
      </c>
      <c r="F62" s="31">
        <v>24.11</v>
      </c>
      <c r="G62" s="31">
        <v>74.623333333333335</v>
      </c>
      <c r="H62" s="31">
        <v>4.8533333333333335</v>
      </c>
      <c r="I62" s="31">
        <v>115.53666666666668</v>
      </c>
      <c r="J62" s="31">
        <v>24.413333333333338</v>
      </c>
      <c r="K62" s="31">
        <v>2.0033333333333334</v>
      </c>
      <c r="L62" s="31">
        <v>52.63</v>
      </c>
      <c r="M62" s="31">
        <v>133.5911111111111</v>
      </c>
      <c r="N62" s="33">
        <v>0.24206299322578392</v>
      </c>
      <c r="O62" s="33">
        <v>0.32661659489591954</v>
      </c>
      <c r="P62" s="33">
        <v>0.45314616942523922</v>
      </c>
      <c r="Q62" s="33">
        <v>0.77976276432115876</v>
      </c>
      <c r="R62" s="31">
        <v>0</v>
      </c>
      <c r="S62" s="31" t="str">
        <f>VLOOKUP(A62,Rankings!B:D,3,FALSE)</f>
        <v>AL</v>
      </c>
    </row>
    <row r="63" spans="1:19" ht="18.600000000000001" customHeight="1">
      <c r="A63" s="26" t="s">
        <v>338</v>
      </c>
      <c r="B63" s="27" t="s">
        <v>63</v>
      </c>
      <c r="C63" s="119" t="s">
        <v>11</v>
      </c>
      <c r="D63" s="31">
        <v>541.58333333333326</v>
      </c>
      <c r="E63" s="31">
        <v>77.822222222222223</v>
      </c>
      <c r="F63" s="31">
        <v>16.424444444444443</v>
      </c>
      <c r="G63" s="31">
        <v>73.165555555555557</v>
      </c>
      <c r="H63" s="31">
        <v>4.4933333333333332</v>
      </c>
      <c r="I63" s="31">
        <v>136.81222222222223</v>
      </c>
      <c r="J63" s="31">
        <v>29.492222222222221</v>
      </c>
      <c r="K63" s="31">
        <v>4.3422222222222224</v>
      </c>
      <c r="L63" s="31">
        <v>58.466666666666669</v>
      </c>
      <c r="M63" s="31">
        <v>106.50888888888888</v>
      </c>
      <c r="N63" s="33">
        <v>0.25261527414474028</v>
      </c>
      <c r="O63" s="33">
        <v>0.33441922776046173</v>
      </c>
      <c r="P63" s="33">
        <v>0.41408626968251538</v>
      </c>
      <c r="Q63" s="33">
        <v>0.74850549744297712</v>
      </c>
      <c r="R63" s="31">
        <v>0</v>
      </c>
      <c r="S63" s="31" t="str">
        <f>VLOOKUP(A63,Rankings!B:D,3,FALSE)</f>
        <v>NL</v>
      </c>
    </row>
    <row r="64" spans="1:19" ht="18.600000000000001" customHeight="1">
      <c r="A64" s="26" t="s">
        <v>324</v>
      </c>
      <c r="B64" s="27" t="s">
        <v>95</v>
      </c>
      <c r="C64" s="119" t="s">
        <v>11</v>
      </c>
      <c r="D64" s="31">
        <v>530.83333333333337</v>
      </c>
      <c r="E64" s="31">
        <v>67.948888888888888</v>
      </c>
      <c r="F64" s="31">
        <v>9.9988888888888887</v>
      </c>
      <c r="G64" s="31">
        <v>64.757777777777775</v>
      </c>
      <c r="H64" s="31">
        <v>3.9777777777777779</v>
      </c>
      <c r="I64" s="31">
        <v>152.78555555555556</v>
      </c>
      <c r="J64" s="31">
        <v>32.798888888888889</v>
      </c>
      <c r="K64" s="31">
        <v>1.8133333333333332</v>
      </c>
      <c r="L64" s="31">
        <v>40.42</v>
      </c>
      <c r="M64" s="31">
        <v>70.165555555555557</v>
      </c>
      <c r="N64" s="33">
        <v>0.28782208267922554</v>
      </c>
      <c r="O64" s="33">
        <v>0.34693702284286587</v>
      </c>
      <c r="P64" s="33">
        <v>0.41295028780743065</v>
      </c>
      <c r="Q64" s="33">
        <v>0.75988731065029658</v>
      </c>
      <c r="R64" s="31">
        <v>0</v>
      </c>
      <c r="S64" s="31" t="str">
        <f>VLOOKUP(A64,Rankings!B:D,3,FALSE)</f>
        <v>NL</v>
      </c>
    </row>
    <row r="65" spans="1:19" ht="18.600000000000001" customHeight="1">
      <c r="A65" s="26" t="s">
        <v>145</v>
      </c>
      <c r="B65" s="27" t="s">
        <v>78</v>
      </c>
      <c r="C65" s="119" t="s">
        <v>11</v>
      </c>
      <c r="D65" s="31">
        <v>394.50055555555559</v>
      </c>
      <c r="E65" s="31">
        <v>66.861111111111114</v>
      </c>
      <c r="F65" s="31">
        <v>16.83388888888889</v>
      </c>
      <c r="G65" s="31">
        <v>51.44777777777778</v>
      </c>
      <c r="H65" s="31">
        <v>8.9916666666666671</v>
      </c>
      <c r="I65" s="31">
        <v>108.45777777777778</v>
      </c>
      <c r="J65" s="31">
        <v>21.71166666666667</v>
      </c>
      <c r="K65" s="31">
        <v>0.7877777777777778</v>
      </c>
      <c r="L65" s="31">
        <v>42.644444444444446</v>
      </c>
      <c r="M65" s="31">
        <v>62.976666666666667</v>
      </c>
      <c r="N65" s="33">
        <v>0.27492427133604935</v>
      </c>
      <c r="O65" s="33">
        <v>0.35384834444001667</v>
      </c>
      <c r="P65" s="33">
        <v>0.46196808622998697</v>
      </c>
      <c r="Q65" s="33">
        <v>0.81581643067000364</v>
      </c>
      <c r="R65" s="31">
        <v>0</v>
      </c>
      <c r="S65" s="31" t="str">
        <f>VLOOKUP(A65,Rankings!B:D,3,FALSE)</f>
        <v>AL</v>
      </c>
    </row>
    <row r="66" spans="1:19" ht="18.600000000000001" customHeight="1">
      <c r="A66" s="26" t="s">
        <v>275</v>
      </c>
      <c r="B66" s="27" t="s">
        <v>94</v>
      </c>
      <c r="C66" s="119" t="s">
        <v>11</v>
      </c>
      <c r="D66" s="31">
        <v>465.73333333333335</v>
      </c>
      <c r="E66" s="31">
        <v>63.081111111111113</v>
      </c>
      <c r="F66" s="31">
        <v>9.6255555555555556</v>
      </c>
      <c r="G66" s="31">
        <v>52.187777777777775</v>
      </c>
      <c r="H66" s="31">
        <v>20.39777777777778</v>
      </c>
      <c r="I66" s="31">
        <v>120.61222222222223</v>
      </c>
      <c r="J66" s="31">
        <v>25.708333333333332</v>
      </c>
      <c r="K66" s="31">
        <v>1.9788888888888889</v>
      </c>
      <c r="L66" s="31">
        <v>31.22666666666667</v>
      </c>
      <c r="M66" s="31">
        <v>80.608888888888885</v>
      </c>
      <c r="N66" s="33">
        <v>0.2589727073194007</v>
      </c>
      <c r="O66" s="33">
        <v>0.31565271379296</v>
      </c>
      <c r="P66" s="33">
        <v>0.38467291726309766</v>
      </c>
      <c r="Q66" s="33">
        <v>0.70032563105605772</v>
      </c>
      <c r="R66" s="31">
        <v>0</v>
      </c>
      <c r="S66" s="31" t="str">
        <f>VLOOKUP(A66,Rankings!B:D,3,FALSE)</f>
        <v>AL</v>
      </c>
    </row>
    <row r="67" spans="1:19" ht="18.600000000000001" customHeight="1">
      <c r="A67" s="26" t="s">
        <v>307</v>
      </c>
      <c r="B67" s="27" t="s">
        <v>134</v>
      </c>
      <c r="C67" s="119" t="s">
        <v>11</v>
      </c>
      <c r="D67" s="31">
        <v>491.38333333333338</v>
      </c>
      <c r="E67" s="31">
        <v>62.317777777777771</v>
      </c>
      <c r="F67" s="31">
        <v>10.548333333333334</v>
      </c>
      <c r="G67" s="31">
        <v>53.238888888888887</v>
      </c>
      <c r="H67" s="31">
        <v>12.736666666666666</v>
      </c>
      <c r="I67" s="31">
        <v>133.86333333333334</v>
      </c>
      <c r="J67" s="31">
        <v>22.335555555555555</v>
      </c>
      <c r="K67" s="31">
        <v>1.9988888888888889</v>
      </c>
      <c r="L67" s="31">
        <v>35.476666666666667</v>
      </c>
      <c r="M67" s="31">
        <v>81.792222222222222</v>
      </c>
      <c r="N67" s="33">
        <v>0.27242139538038868</v>
      </c>
      <c r="O67" s="33">
        <v>0.33084474367025535</v>
      </c>
      <c r="P67" s="33">
        <v>0.39041142353220498</v>
      </c>
      <c r="Q67" s="33">
        <v>0.72125616720246033</v>
      </c>
      <c r="R67" s="31">
        <v>0</v>
      </c>
      <c r="S67" s="31" t="str">
        <f>VLOOKUP(A67,Rankings!B:D,3,FALSE)</f>
        <v>NL</v>
      </c>
    </row>
    <row r="68" spans="1:19" ht="18.600000000000001" customHeight="1">
      <c r="A68" s="26" t="s">
        <v>199</v>
      </c>
      <c r="B68" s="27" t="s">
        <v>73</v>
      </c>
      <c r="C68" s="119" t="s">
        <v>11</v>
      </c>
      <c r="D68" s="31">
        <v>416.58333333333331</v>
      </c>
      <c r="E68" s="31">
        <v>57.57</v>
      </c>
      <c r="F68" s="31">
        <v>10.663333333333334</v>
      </c>
      <c r="G68" s="31">
        <v>50.613333333333337</v>
      </c>
      <c r="H68" s="31">
        <v>12.777777777777777</v>
      </c>
      <c r="I68" s="31">
        <v>112.77</v>
      </c>
      <c r="J68" s="31">
        <v>20.58</v>
      </c>
      <c r="K68" s="31">
        <v>1.9911111111111113</v>
      </c>
      <c r="L68" s="31">
        <v>30.906666666666666</v>
      </c>
      <c r="M68" s="31">
        <v>80.459999999999994</v>
      </c>
      <c r="N68" s="33">
        <v>0.2707021404280856</v>
      </c>
      <c r="O68" s="33">
        <v>0.33050036328149091</v>
      </c>
      <c r="P68" s="33">
        <v>0.40645462425818502</v>
      </c>
      <c r="Q68" s="33">
        <v>0.73695498753967592</v>
      </c>
      <c r="R68" s="31">
        <v>0</v>
      </c>
      <c r="S68" s="31" t="str">
        <f>VLOOKUP(A68,Rankings!B:D,3,FALSE)</f>
        <v>NL</v>
      </c>
    </row>
    <row r="69" spans="1:19" ht="18.600000000000001" customHeight="1">
      <c r="A69" s="26" t="s">
        <v>390</v>
      </c>
      <c r="B69" s="27" t="s">
        <v>71</v>
      </c>
      <c r="C69" s="119" t="s">
        <v>11</v>
      </c>
      <c r="D69" s="31">
        <v>454.75555555555553</v>
      </c>
      <c r="E69" s="31">
        <v>62.598888888888894</v>
      </c>
      <c r="F69" s="31">
        <v>11.934444444444445</v>
      </c>
      <c r="G69" s="31">
        <v>48.115000000000002</v>
      </c>
      <c r="H69" s="31">
        <v>16.997777777777777</v>
      </c>
      <c r="I69" s="31">
        <v>113.08777777777777</v>
      </c>
      <c r="J69" s="31">
        <v>23.284444444444443</v>
      </c>
      <c r="K69" s="31">
        <v>2.0499999999999998</v>
      </c>
      <c r="L69" s="31">
        <v>40.173333333333332</v>
      </c>
      <c r="M69" s="31">
        <v>91.981666666666669</v>
      </c>
      <c r="N69" s="33">
        <v>0.24867816653635652</v>
      </c>
      <c r="O69" s="33">
        <v>0.31942621551282563</v>
      </c>
      <c r="P69" s="33">
        <v>0.3876270523846756</v>
      </c>
      <c r="Q69" s="33">
        <v>0.70705326789750123</v>
      </c>
      <c r="R69" s="31">
        <v>0</v>
      </c>
      <c r="S69" s="31" t="str">
        <f>VLOOKUP(A69,Rankings!B:D,3,FALSE)</f>
        <v>AL</v>
      </c>
    </row>
    <row r="70" spans="1:19" ht="18.600000000000001" customHeight="1">
      <c r="A70" s="26" t="s">
        <v>414</v>
      </c>
      <c r="B70" s="27" t="s">
        <v>97</v>
      </c>
      <c r="C70" s="119" t="s">
        <v>11</v>
      </c>
      <c r="D70" s="31">
        <v>493.03333333333336</v>
      </c>
      <c r="E70" s="31">
        <v>66.751666666666665</v>
      </c>
      <c r="F70" s="31">
        <v>18.448333333333334</v>
      </c>
      <c r="G70" s="31">
        <v>64.37833333333333</v>
      </c>
      <c r="H70" s="31">
        <v>3.9888888888888889</v>
      </c>
      <c r="I70" s="31">
        <v>119.28166666666665</v>
      </c>
      <c r="J70" s="31">
        <v>23.425000000000001</v>
      </c>
      <c r="K70" s="31">
        <v>1.9833333333333334</v>
      </c>
      <c r="L70" s="31">
        <v>57.073333333333331</v>
      </c>
      <c r="M70" s="31">
        <v>117.13111111111111</v>
      </c>
      <c r="N70" s="33">
        <v>0.24193428436211206</v>
      </c>
      <c r="O70" s="33">
        <v>0.32969261966259134</v>
      </c>
      <c r="P70" s="33">
        <v>0.40974579135961053</v>
      </c>
      <c r="Q70" s="33">
        <v>0.73943841102220187</v>
      </c>
      <c r="R70" s="31">
        <v>0</v>
      </c>
      <c r="S70" s="31" t="str">
        <f>VLOOKUP(A70,Rankings!B:D,3,FALSE)</f>
        <v>NL</v>
      </c>
    </row>
    <row r="71" spans="1:19" ht="18.600000000000001" customHeight="1">
      <c r="A71" s="26" t="s">
        <v>381</v>
      </c>
      <c r="B71" s="27" t="s">
        <v>120</v>
      </c>
      <c r="C71" s="119" t="s">
        <v>11</v>
      </c>
      <c r="D71" s="31">
        <v>432.74444444444447</v>
      </c>
      <c r="E71" s="31">
        <v>59.734444444444442</v>
      </c>
      <c r="F71" s="31">
        <v>9.4522222222222219</v>
      </c>
      <c r="G71" s="31">
        <v>48.527777777777779</v>
      </c>
      <c r="H71" s="31">
        <v>17.187777777777779</v>
      </c>
      <c r="I71" s="31">
        <v>110.17333333333333</v>
      </c>
      <c r="J71" s="31">
        <v>24.157777777777778</v>
      </c>
      <c r="K71" s="31">
        <v>1.9977777777777777</v>
      </c>
      <c r="L71" s="31">
        <v>51.115000000000002</v>
      </c>
      <c r="M71" s="31">
        <v>101.55555555555556</v>
      </c>
      <c r="N71" s="33">
        <v>0.25459213803373815</v>
      </c>
      <c r="O71" s="33">
        <v>0.34193459089869055</v>
      </c>
      <c r="P71" s="33">
        <v>0.38517729221762909</v>
      </c>
      <c r="Q71" s="33">
        <v>0.72711188311631969</v>
      </c>
      <c r="R71" s="31">
        <v>0</v>
      </c>
      <c r="S71" s="31" t="str">
        <f>VLOOKUP(A71,Rankings!B:D,3,FALSE)</f>
        <v>NL</v>
      </c>
    </row>
    <row r="72" spans="1:19" ht="18.600000000000001" customHeight="1">
      <c r="A72" s="26" t="s">
        <v>422</v>
      </c>
      <c r="B72" s="27" t="s">
        <v>68</v>
      </c>
      <c r="C72" s="119" t="s">
        <v>11</v>
      </c>
      <c r="D72" s="31">
        <v>437.59999999999997</v>
      </c>
      <c r="E72" s="31">
        <v>62.784444444444439</v>
      </c>
      <c r="F72" s="31">
        <v>9.9366666666666656</v>
      </c>
      <c r="G72" s="31">
        <v>47.481111111111112</v>
      </c>
      <c r="H72" s="31">
        <v>4.0016666666666669</v>
      </c>
      <c r="I72" s="31">
        <v>119.94555555555557</v>
      </c>
      <c r="J72" s="31">
        <v>18.88111111111111</v>
      </c>
      <c r="K72" s="31">
        <v>0.99777777777777776</v>
      </c>
      <c r="L72" s="31">
        <v>49.954444444444448</v>
      </c>
      <c r="M72" s="31">
        <v>67.563333333333333</v>
      </c>
      <c r="N72" s="33">
        <v>0.27409861872841768</v>
      </c>
      <c r="O72" s="33">
        <v>0.35651309532206354</v>
      </c>
      <c r="P72" s="33">
        <v>0.38992738167783875</v>
      </c>
      <c r="Q72" s="33">
        <v>0.74644047699990224</v>
      </c>
      <c r="R72" s="31">
        <v>0</v>
      </c>
      <c r="S72" s="31" t="str">
        <f>VLOOKUP(A72,Rankings!B:D,3,FALSE)</f>
        <v>AL</v>
      </c>
    </row>
    <row r="73" spans="1:19" ht="18.600000000000001" customHeight="1">
      <c r="A73" s="26" t="s">
        <v>348</v>
      </c>
      <c r="B73" s="27" t="s">
        <v>306</v>
      </c>
      <c r="C73" s="119" t="s">
        <v>11</v>
      </c>
      <c r="D73" s="31">
        <v>465.97777777777782</v>
      </c>
      <c r="E73" s="31">
        <v>54.248888888888892</v>
      </c>
      <c r="F73" s="31">
        <v>12.205</v>
      </c>
      <c r="G73" s="31">
        <v>54.432222222222229</v>
      </c>
      <c r="H73" s="31">
        <v>5.836666666666666</v>
      </c>
      <c r="I73" s="31">
        <v>122.61000000000001</v>
      </c>
      <c r="J73" s="31">
        <v>25.103333333333335</v>
      </c>
      <c r="K73" s="31">
        <v>2.9899999999999998</v>
      </c>
      <c r="L73" s="31">
        <v>24.62</v>
      </c>
      <c r="M73" s="31">
        <v>96.302222222222213</v>
      </c>
      <c r="N73" s="33">
        <v>0.26312413562878534</v>
      </c>
      <c r="O73" s="33">
        <v>0.31057420330266433</v>
      </c>
      <c r="P73" s="33">
        <v>0.40840645715103246</v>
      </c>
      <c r="Q73" s="33">
        <v>0.7189806604536968</v>
      </c>
      <c r="R73" s="31">
        <v>0</v>
      </c>
      <c r="S73" s="31" t="str">
        <f>VLOOKUP(A73,Rankings!B:D,3,FALSE)</f>
        <v>NL</v>
      </c>
    </row>
    <row r="74" spans="1:19" ht="18.600000000000001" customHeight="1">
      <c r="A74" s="26" t="s">
        <v>421</v>
      </c>
      <c r="B74" s="27" t="s">
        <v>81</v>
      </c>
      <c r="C74" s="119" t="s">
        <v>11</v>
      </c>
      <c r="D74" s="31">
        <v>453.40000000000003</v>
      </c>
      <c r="E74" s="31">
        <v>61.917777777777779</v>
      </c>
      <c r="F74" s="31">
        <v>14.125</v>
      </c>
      <c r="G74" s="31">
        <v>56.646666666666668</v>
      </c>
      <c r="H74" s="31">
        <v>10.192222222222222</v>
      </c>
      <c r="I74" s="31">
        <v>105.68222222222222</v>
      </c>
      <c r="J74" s="31">
        <v>24.637777777777774</v>
      </c>
      <c r="K74" s="31">
        <v>3.01</v>
      </c>
      <c r="L74" s="31">
        <v>49.188333333333333</v>
      </c>
      <c r="M74" s="31">
        <v>156.74777777777777</v>
      </c>
      <c r="N74" s="33">
        <v>0.23308827133264715</v>
      </c>
      <c r="O74" s="33">
        <v>0.31779791549551911</v>
      </c>
      <c r="P74" s="33">
        <v>0.39416629907366563</v>
      </c>
      <c r="Q74" s="33">
        <v>0.71196421456918468</v>
      </c>
      <c r="R74" s="31">
        <v>0</v>
      </c>
      <c r="S74" s="31" t="str">
        <f>VLOOKUP(A74,Rankings!B:D,3,FALSE)</f>
        <v>NL</v>
      </c>
    </row>
    <row r="75" spans="1:19" ht="18.600000000000001" customHeight="1">
      <c r="A75" s="26" t="s">
        <v>477</v>
      </c>
      <c r="B75" s="27" t="s">
        <v>258</v>
      </c>
      <c r="C75" s="119" t="s">
        <v>11</v>
      </c>
      <c r="D75" s="31">
        <v>493.08333333333331</v>
      </c>
      <c r="E75" s="31">
        <v>55.785555555555554</v>
      </c>
      <c r="F75" s="31">
        <v>15.221666666666666</v>
      </c>
      <c r="G75" s="31">
        <v>57.82</v>
      </c>
      <c r="H75" s="31">
        <v>2.9977777777777774</v>
      </c>
      <c r="I75" s="31">
        <v>120</v>
      </c>
      <c r="J75" s="31">
        <v>22.993333333333336</v>
      </c>
      <c r="K75" s="31">
        <v>1.5266666666666666</v>
      </c>
      <c r="L75" s="31">
        <v>25.495000000000001</v>
      </c>
      <c r="M75" s="31">
        <v>107.32444444444445</v>
      </c>
      <c r="N75" s="33">
        <v>0.24336657089741423</v>
      </c>
      <c r="O75" s="33">
        <v>0.29184853922784076</v>
      </c>
      <c r="P75" s="33">
        <v>0.3888017576474565</v>
      </c>
      <c r="Q75" s="33">
        <v>0.68065029687529721</v>
      </c>
      <c r="R75" s="31">
        <v>0</v>
      </c>
      <c r="S75" s="31" t="str">
        <f>VLOOKUP(A75,Rankings!B:D,3,FALSE)</f>
        <v>AL</v>
      </c>
    </row>
    <row r="76" spans="1:19" ht="18.600000000000001" customHeight="1">
      <c r="A76" s="26" t="s">
        <v>405</v>
      </c>
      <c r="B76" s="27" t="s">
        <v>158</v>
      </c>
      <c r="C76" s="119" t="s">
        <v>11</v>
      </c>
      <c r="D76" s="31">
        <v>376.51666666666665</v>
      </c>
      <c r="E76" s="31">
        <v>51.123333333333335</v>
      </c>
      <c r="F76" s="31">
        <v>14.385</v>
      </c>
      <c r="G76" s="31">
        <v>46.226666666666667</v>
      </c>
      <c r="H76" s="31">
        <v>11.135</v>
      </c>
      <c r="I76" s="31">
        <v>86.95</v>
      </c>
      <c r="J76" s="31">
        <v>16.983333333333334</v>
      </c>
      <c r="K76" s="31">
        <v>3.0933333333333333</v>
      </c>
      <c r="L76" s="31">
        <v>33.221666666666664</v>
      </c>
      <c r="M76" s="31">
        <v>122.67</v>
      </c>
      <c r="N76" s="33">
        <v>0.23093267230312958</v>
      </c>
      <c r="O76" s="33">
        <v>0.30370324943717791</v>
      </c>
      <c r="P76" s="33">
        <v>0.40708689301049095</v>
      </c>
      <c r="Q76" s="33">
        <v>0.7107901424476688</v>
      </c>
      <c r="R76" s="31">
        <v>0</v>
      </c>
      <c r="S76" s="31" t="str">
        <f>VLOOKUP(A76,Rankings!B:D,3,FALSE)</f>
        <v>NL</v>
      </c>
    </row>
    <row r="77" spans="1:19" ht="18.600000000000001" customHeight="1">
      <c r="A77" s="26" t="s">
        <v>548</v>
      </c>
      <c r="B77" s="27" t="s">
        <v>94</v>
      </c>
      <c r="C77" s="119" t="s">
        <v>11</v>
      </c>
      <c r="D77" s="31">
        <v>396.56666666666666</v>
      </c>
      <c r="E77" s="31">
        <v>47.582222222222221</v>
      </c>
      <c r="F77" s="31">
        <v>6.6388888888888893</v>
      </c>
      <c r="G77" s="31">
        <v>42.668333333333329</v>
      </c>
      <c r="H77" s="31">
        <v>7.7233333333333336</v>
      </c>
      <c r="I77" s="31">
        <v>104.96333333333332</v>
      </c>
      <c r="J77" s="31">
        <v>21.626666666666665</v>
      </c>
      <c r="K77" s="31">
        <v>0.98444444444444434</v>
      </c>
      <c r="L77" s="31">
        <v>31.830000000000002</v>
      </c>
      <c r="M77" s="31">
        <v>63.97</v>
      </c>
      <c r="N77" s="33">
        <v>0.26468017147179962</v>
      </c>
      <c r="O77" s="33">
        <v>0.32876207350791964</v>
      </c>
      <c r="P77" s="33">
        <v>0.37440251043680484</v>
      </c>
      <c r="Q77" s="33">
        <v>0.70316458394472448</v>
      </c>
      <c r="R77" s="31">
        <v>0</v>
      </c>
      <c r="S77" s="31" t="str">
        <f>VLOOKUP(A77,Rankings!B:D,3,FALSE)</f>
        <v>AL</v>
      </c>
    </row>
    <row r="78" spans="1:19" ht="18.600000000000001" customHeight="1">
      <c r="A78" s="26" t="s">
        <v>545</v>
      </c>
      <c r="B78" s="27" t="s">
        <v>140</v>
      </c>
      <c r="C78" s="119" t="s">
        <v>11</v>
      </c>
      <c r="D78" s="31">
        <v>455.58333333333331</v>
      </c>
      <c r="E78" s="31">
        <v>57.562222222222225</v>
      </c>
      <c r="F78" s="31">
        <v>6.9933333333333332</v>
      </c>
      <c r="G78" s="31">
        <v>40.131666666666668</v>
      </c>
      <c r="H78" s="31">
        <v>10.75</v>
      </c>
      <c r="I78" s="31">
        <v>111.87</v>
      </c>
      <c r="J78" s="31">
        <v>22.191666666666666</v>
      </c>
      <c r="K78" s="31">
        <v>2.4333333333333331</v>
      </c>
      <c r="L78" s="31">
        <v>47.953333333333326</v>
      </c>
      <c r="M78" s="31">
        <v>67.563333333333333</v>
      </c>
      <c r="N78" s="33">
        <v>0.24555331991951712</v>
      </c>
      <c r="O78" s="33">
        <v>0.32671856600707172</v>
      </c>
      <c r="P78" s="33">
        <v>0.35099689043351018</v>
      </c>
      <c r="Q78" s="33">
        <v>0.67771545644058184</v>
      </c>
      <c r="R78" s="31">
        <v>0</v>
      </c>
      <c r="S78" s="31" t="str">
        <f>VLOOKUP(A78,Rankings!B:D,3,FALSE)</f>
        <v>AL</v>
      </c>
    </row>
    <row r="79" spans="1:19" ht="18.600000000000001" customHeight="1">
      <c r="A79" s="26" t="s">
        <v>516</v>
      </c>
      <c r="B79" s="27" t="s">
        <v>99</v>
      </c>
      <c r="C79" s="119" t="s">
        <v>11</v>
      </c>
      <c r="D79" s="31">
        <v>430.43333333333334</v>
      </c>
      <c r="E79" s="31">
        <v>50.781111111111109</v>
      </c>
      <c r="F79" s="31">
        <v>4.3677777777777775</v>
      </c>
      <c r="G79" s="31">
        <v>39.595555555555556</v>
      </c>
      <c r="H79" s="31">
        <v>8.5166666666666675</v>
      </c>
      <c r="I79" s="31">
        <v>113.22222222222223</v>
      </c>
      <c r="J79" s="31">
        <v>22.056666666666668</v>
      </c>
      <c r="K79" s="31">
        <v>3.0116666666666667</v>
      </c>
      <c r="L79" s="31">
        <v>33.71</v>
      </c>
      <c r="M79" s="31">
        <v>56.69222222222222</v>
      </c>
      <c r="N79" s="33">
        <v>0.2630424120395467</v>
      </c>
      <c r="O79" s="33">
        <v>0.32614037246627142</v>
      </c>
      <c r="P79" s="33">
        <v>0.35872118536874981</v>
      </c>
      <c r="Q79" s="33">
        <v>0.68486155783502123</v>
      </c>
      <c r="R79" s="31">
        <v>0</v>
      </c>
      <c r="S79" s="31" t="str">
        <f>VLOOKUP(A79,Rankings!B:D,3,FALSE)</f>
        <v>AL</v>
      </c>
    </row>
    <row r="80" spans="1:19" ht="18.600000000000001" customHeight="1">
      <c r="A80" s="26" t="s">
        <v>544</v>
      </c>
      <c r="B80" s="27" t="s">
        <v>134</v>
      </c>
      <c r="C80" s="119" t="s">
        <v>11</v>
      </c>
      <c r="D80" s="31">
        <v>287.88333333333338</v>
      </c>
      <c r="E80" s="31">
        <v>40.164999999999999</v>
      </c>
      <c r="F80" s="31">
        <v>4.47</v>
      </c>
      <c r="G80" s="31">
        <v>25.315000000000001</v>
      </c>
      <c r="H80" s="31">
        <v>24.744444444444444</v>
      </c>
      <c r="I80" s="31">
        <v>69.093333333333334</v>
      </c>
      <c r="J80" s="31">
        <v>12.755000000000001</v>
      </c>
      <c r="K80" s="31">
        <v>1.9911111111111113</v>
      </c>
      <c r="L80" s="31">
        <v>32.848333333333329</v>
      </c>
      <c r="M80" s="31">
        <v>72.679999999999993</v>
      </c>
      <c r="N80" s="33">
        <v>0.2400046315058183</v>
      </c>
      <c r="O80" s="33">
        <v>0.32706980131295921</v>
      </c>
      <c r="P80" s="33">
        <v>0.34472490785233206</v>
      </c>
      <c r="Q80" s="33">
        <v>0.67179470916529127</v>
      </c>
      <c r="R80" s="31">
        <v>0</v>
      </c>
      <c r="S80" s="31" t="str">
        <f>VLOOKUP(A80,Rankings!B:D,3,FALSE)</f>
        <v>NL</v>
      </c>
    </row>
    <row r="81" spans="1:19" ht="18.600000000000001" customHeight="1">
      <c r="A81" s="26" t="s">
        <v>466</v>
      </c>
      <c r="B81" s="27" t="s">
        <v>117</v>
      </c>
      <c r="C81" s="119" t="s">
        <v>11</v>
      </c>
      <c r="D81" s="31">
        <v>373.76666666666665</v>
      </c>
      <c r="E81" s="31">
        <v>43.25333333333333</v>
      </c>
      <c r="F81" s="31">
        <v>10.15</v>
      </c>
      <c r="G81" s="31">
        <v>44.033333333333331</v>
      </c>
      <c r="H81" s="31">
        <v>6.2511111111111113</v>
      </c>
      <c r="I81" s="31">
        <v>92.57</v>
      </c>
      <c r="J81" s="31">
        <v>21.12</v>
      </c>
      <c r="K81" s="31">
        <v>1.0333333333333334</v>
      </c>
      <c r="L81" s="31">
        <v>22.893333333333334</v>
      </c>
      <c r="M81" s="31">
        <v>92.90666666666668</v>
      </c>
      <c r="N81" s="33">
        <v>0.24766788549005617</v>
      </c>
      <c r="O81" s="33">
        <v>0.30184688720964403</v>
      </c>
      <c r="P81" s="33">
        <v>0.39117096227592968</v>
      </c>
      <c r="Q81" s="33">
        <v>0.69301784948557366</v>
      </c>
      <c r="R81" s="31">
        <v>0</v>
      </c>
      <c r="S81" s="31" t="str">
        <f>VLOOKUP(A81,Rankings!B:D,3,FALSE)</f>
        <v>AL</v>
      </c>
    </row>
    <row r="82" spans="1:19" ht="18.600000000000001" customHeight="1">
      <c r="A82" s="26" t="s">
        <v>543</v>
      </c>
      <c r="B82" s="27" t="s">
        <v>99</v>
      </c>
      <c r="C82" s="119" t="s">
        <v>11</v>
      </c>
      <c r="D82" s="31">
        <v>372.36666666666662</v>
      </c>
      <c r="E82" s="31">
        <v>45.558333333333337</v>
      </c>
      <c r="F82" s="31">
        <v>12.001666666666667</v>
      </c>
      <c r="G82" s="31">
        <v>46.856666666666662</v>
      </c>
      <c r="H82" s="31">
        <v>2</v>
      </c>
      <c r="I82" s="31">
        <v>91.81</v>
      </c>
      <c r="J82" s="31">
        <v>17.863333333333333</v>
      </c>
      <c r="K82" s="31">
        <v>1.0033333333333334</v>
      </c>
      <c r="L82" s="31">
        <v>31.443333333333332</v>
      </c>
      <c r="M82" s="31">
        <v>96.181111111111122</v>
      </c>
      <c r="N82" s="33">
        <v>0.24655805209918544</v>
      </c>
      <c r="O82" s="33">
        <v>0.31519985543308848</v>
      </c>
      <c r="P82" s="33">
        <v>0.39661176259958836</v>
      </c>
      <c r="Q82" s="33">
        <v>0.71181161803267679</v>
      </c>
      <c r="R82" s="31">
        <v>0</v>
      </c>
      <c r="S82" s="31" t="str">
        <f>VLOOKUP(A82,Rankings!B:D,3,FALSE)</f>
        <v>AL</v>
      </c>
    </row>
    <row r="83" spans="1:19" ht="18.600000000000001" customHeight="1">
      <c r="A83" s="26" t="s">
        <v>639</v>
      </c>
      <c r="B83" s="27" t="s">
        <v>140</v>
      </c>
      <c r="C83" s="119" t="s">
        <v>11</v>
      </c>
      <c r="D83" s="31">
        <v>386.67777777777775</v>
      </c>
      <c r="E83" s="31">
        <v>42.621111111111112</v>
      </c>
      <c r="F83" s="31">
        <v>11.687777777777777</v>
      </c>
      <c r="G83" s="31">
        <v>47.72</v>
      </c>
      <c r="H83" s="31">
        <v>1.9911111111111113</v>
      </c>
      <c r="I83" s="31">
        <v>94.508888888888876</v>
      </c>
      <c r="J83" s="31">
        <v>20.565555555555555</v>
      </c>
      <c r="K83" s="31">
        <v>0.98555555555555552</v>
      </c>
      <c r="L83" s="31">
        <v>25.135555555555555</v>
      </c>
      <c r="M83" s="31">
        <v>72.646666666666675</v>
      </c>
      <c r="N83" s="33">
        <v>0.24441251688169879</v>
      </c>
      <c r="O83" s="33">
        <v>0.3012749796171269</v>
      </c>
      <c r="P83" s="33">
        <v>0.39337375362776933</v>
      </c>
      <c r="Q83" s="33">
        <v>0.69464873324489629</v>
      </c>
      <c r="R83" s="31">
        <v>0</v>
      </c>
      <c r="S83" s="31" t="str">
        <f>VLOOKUP(A83,Rankings!B:D,3,FALSE)</f>
        <v>AL</v>
      </c>
    </row>
    <row r="84" spans="1:19" ht="18.600000000000001" customHeight="1">
      <c r="A84" s="26" t="s">
        <v>588</v>
      </c>
      <c r="B84" s="27" t="s">
        <v>103</v>
      </c>
      <c r="C84" s="119" t="s">
        <v>11</v>
      </c>
      <c r="D84" s="31">
        <v>294.56666666666666</v>
      </c>
      <c r="E84" s="31">
        <v>36.201666666666661</v>
      </c>
      <c r="F84" s="31">
        <v>8.0483333333333338</v>
      </c>
      <c r="G84" s="31">
        <v>36.596666666666664</v>
      </c>
      <c r="H84" s="31">
        <v>4.7411111111111106</v>
      </c>
      <c r="I84" s="31">
        <v>77.723333333333329</v>
      </c>
      <c r="J84" s="31">
        <v>16.204999999999998</v>
      </c>
      <c r="K84" s="31">
        <v>1.0183333333333333</v>
      </c>
      <c r="L84" s="31">
        <v>16.930000000000003</v>
      </c>
      <c r="M84" s="31">
        <v>62.662222222222226</v>
      </c>
      <c r="N84" s="33">
        <v>0.26385651239108293</v>
      </c>
      <c r="O84" s="33">
        <v>0.31413955154520395</v>
      </c>
      <c r="P84" s="33">
        <v>0.40775149937761679</v>
      </c>
      <c r="Q84" s="33">
        <v>0.72189105092282069</v>
      </c>
      <c r="R84" s="31">
        <v>0</v>
      </c>
      <c r="S84" s="31" t="str">
        <f>VLOOKUP(A84,Rankings!B:D,3,FALSE)</f>
        <v>AL</v>
      </c>
    </row>
    <row r="85" spans="1:19" ht="18.600000000000001" customHeight="1">
      <c r="A85" s="26" t="s">
        <v>330</v>
      </c>
      <c r="B85" s="27" t="s">
        <v>176</v>
      </c>
      <c r="C85" s="119" t="s">
        <v>11</v>
      </c>
      <c r="D85" s="31">
        <v>259.3533333333333</v>
      </c>
      <c r="E85" s="31">
        <v>34.54</v>
      </c>
      <c r="F85" s="31">
        <v>7.6466666666666674</v>
      </c>
      <c r="G85" s="31">
        <v>33.909333333333336</v>
      </c>
      <c r="H85" s="31">
        <v>0.44800000000000012</v>
      </c>
      <c r="I85" s="31">
        <v>72.041333333333341</v>
      </c>
      <c r="J85" s="31">
        <v>15.173333333333334</v>
      </c>
      <c r="K85" s="31">
        <v>1.2466666666666668</v>
      </c>
      <c r="L85" s="31">
        <v>19.336000000000002</v>
      </c>
      <c r="M85" s="31">
        <v>41.641333333333336</v>
      </c>
      <c r="N85" s="33">
        <v>0.2777729223967304</v>
      </c>
      <c r="O85" s="33">
        <v>0.33703364108514866</v>
      </c>
      <c r="P85" s="33">
        <v>0.43434182453795345</v>
      </c>
      <c r="Q85" s="33">
        <v>0.77137546562310211</v>
      </c>
      <c r="R85" s="31">
        <v>0</v>
      </c>
      <c r="S85" s="31" t="str">
        <f>VLOOKUP(A85,Rankings!B:D,3,FALSE)</f>
        <v>NL</v>
      </c>
    </row>
    <row r="86" spans="1:19" ht="18.600000000000001" customHeight="1">
      <c r="A86" s="26" t="s">
        <v>617</v>
      </c>
      <c r="B86" s="27" t="s">
        <v>123</v>
      </c>
      <c r="C86" s="119" t="s">
        <v>11</v>
      </c>
      <c r="D86" s="31">
        <v>319.77777777777777</v>
      </c>
      <c r="E86" s="31">
        <v>42.731111111111112</v>
      </c>
      <c r="F86" s="31">
        <v>14.911111111111111</v>
      </c>
      <c r="G86" s="31">
        <v>44.984444444444442</v>
      </c>
      <c r="H86" s="31">
        <v>2.3322222222222222</v>
      </c>
      <c r="I86" s="31">
        <v>74.75</v>
      </c>
      <c r="J86" s="31">
        <v>14.555555555555555</v>
      </c>
      <c r="K86" s="31">
        <v>0.98333333333333339</v>
      </c>
      <c r="L86" s="31">
        <v>26.650000000000002</v>
      </c>
      <c r="M86" s="31">
        <v>108.12</v>
      </c>
      <c r="N86" s="33">
        <v>0.2337560806115358</v>
      </c>
      <c r="O86" s="33">
        <v>0.30318474083563263</v>
      </c>
      <c r="P86" s="33">
        <v>0.42531271716469771</v>
      </c>
      <c r="Q86" s="33">
        <v>0.72849745800033028</v>
      </c>
      <c r="R86" s="31">
        <v>0</v>
      </c>
      <c r="S86" s="31" t="str">
        <f>VLOOKUP(A86,Rankings!B:D,3,FALSE)</f>
        <v>NL</v>
      </c>
    </row>
    <row r="87" spans="1:19" ht="18.600000000000001" customHeight="1">
      <c r="A87" s="26" t="s">
        <v>664</v>
      </c>
      <c r="B87" s="27" t="s">
        <v>84</v>
      </c>
      <c r="C87" s="119" t="s">
        <v>11</v>
      </c>
      <c r="D87" s="31">
        <v>344.52222222222218</v>
      </c>
      <c r="E87" s="31">
        <v>39.402222222222221</v>
      </c>
      <c r="F87" s="31">
        <v>2.0099999999999998</v>
      </c>
      <c r="G87" s="31">
        <v>29.352222222222224</v>
      </c>
      <c r="H87" s="31">
        <v>6.169999999999999</v>
      </c>
      <c r="I87" s="31">
        <v>90.963333333333324</v>
      </c>
      <c r="J87" s="31">
        <v>16.551111111111112</v>
      </c>
      <c r="K87" s="31">
        <v>1.6688888888888889</v>
      </c>
      <c r="L87" s="31">
        <v>19.18</v>
      </c>
      <c r="M87" s="31">
        <v>35.550000000000004</v>
      </c>
      <c r="N87" s="33">
        <v>0.26402747766633339</v>
      </c>
      <c r="O87" s="33">
        <v>0.31317140520177922</v>
      </c>
      <c r="P87" s="33">
        <v>0.33925887702776791</v>
      </c>
      <c r="Q87" s="33">
        <v>0.65243028222954713</v>
      </c>
      <c r="R87" s="31">
        <v>0</v>
      </c>
      <c r="S87" s="31" t="str">
        <f>VLOOKUP(A87,Rankings!B:D,3,FALSE)</f>
        <v>AL</v>
      </c>
    </row>
    <row r="88" spans="1:19" ht="18.600000000000001" customHeight="1">
      <c r="A88" s="26" t="s">
        <v>558</v>
      </c>
      <c r="B88" s="27" t="s">
        <v>103</v>
      </c>
      <c r="C88" s="119" t="s">
        <v>11</v>
      </c>
      <c r="D88" s="31">
        <v>219.5</v>
      </c>
      <c r="E88" s="31">
        <v>31.704444444444444</v>
      </c>
      <c r="F88" s="31">
        <v>9.1966666666666672</v>
      </c>
      <c r="G88" s="31">
        <v>31.021111111111111</v>
      </c>
      <c r="H88" s="31">
        <v>8.8488888888888884</v>
      </c>
      <c r="I88" s="31">
        <v>53.580000000000005</v>
      </c>
      <c r="J88" s="31">
        <v>12.623333333333333</v>
      </c>
      <c r="K88" s="31">
        <v>1.0150000000000001</v>
      </c>
      <c r="L88" s="31">
        <v>20.391111111111112</v>
      </c>
      <c r="M88" s="31">
        <v>64.804444444444442</v>
      </c>
      <c r="N88" s="33">
        <v>0.24410022779043283</v>
      </c>
      <c r="O88" s="33">
        <v>0.31812889040634273</v>
      </c>
      <c r="P88" s="33">
        <v>0.43655277145026583</v>
      </c>
      <c r="Q88" s="33">
        <v>0.75468166185660857</v>
      </c>
      <c r="R88" s="31">
        <v>0</v>
      </c>
      <c r="S88" s="31" t="str">
        <f>VLOOKUP(A88,Rankings!B:D,3,FALSE)</f>
        <v>AL</v>
      </c>
    </row>
    <row r="89" spans="1:19" ht="18.600000000000001" customHeight="1">
      <c r="A89" s="26" t="s">
        <v>622</v>
      </c>
      <c r="B89" s="27" t="s">
        <v>71</v>
      </c>
      <c r="C89" s="119" t="s">
        <v>11</v>
      </c>
      <c r="D89" s="31">
        <v>250.51666666666665</v>
      </c>
      <c r="E89" s="31">
        <v>36.293333333333337</v>
      </c>
      <c r="F89" s="31">
        <v>8.4266666666666659</v>
      </c>
      <c r="G89" s="31">
        <v>27.953333333333333</v>
      </c>
      <c r="H89" s="31">
        <v>19.376666666666669</v>
      </c>
      <c r="I89" s="31">
        <v>52.156666666666666</v>
      </c>
      <c r="J89" s="31">
        <v>11.57</v>
      </c>
      <c r="K89" s="31">
        <v>1.175</v>
      </c>
      <c r="L89" s="31">
        <v>29.946666666666662</v>
      </c>
      <c r="M89" s="31">
        <v>81.489999999999995</v>
      </c>
      <c r="N89" s="33">
        <v>0.20819639411882113</v>
      </c>
      <c r="O89" s="33">
        <v>0.30289739116823139</v>
      </c>
      <c r="P89" s="33">
        <v>0.36467300911449668</v>
      </c>
      <c r="Q89" s="33">
        <v>0.66757040028272807</v>
      </c>
      <c r="R89" s="31">
        <v>0</v>
      </c>
      <c r="S89" s="31" t="str">
        <f>VLOOKUP(A89,Rankings!B:D,3,FALSE)</f>
        <v>AL</v>
      </c>
    </row>
    <row r="90" spans="1:19" ht="18.600000000000001" customHeight="1">
      <c r="A90" s="26" t="s">
        <v>691</v>
      </c>
      <c r="B90" s="27" t="s">
        <v>73</v>
      </c>
      <c r="C90" s="119" t="s">
        <v>11</v>
      </c>
      <c r="D90" s="31">
        <v>256.13333333333338</v>
      </c>
      <c r="E90" s="31">
        <v>32.995000000000005</v>
      </c>
      <c r="F90" s="31">
        <v>8.6477777777777778</v>
      </c>
      <c r="G90" s="31">
        <v>32.817777777777778</v>
      </c>
      <c r="H90" s="31">
        <v>2.085</v>
      </c>
      <c r="I90" s="31">
        <v>63.12166666666667</v>
      </c>
      <c r="J90" s="31">
        <v>11.163333333333334</v>
      </c>
      <c r="K90" s="31">
        <v>2.5000000000000005E-2</v>
      </c>
      <c r="L90" s="31">
        <v>22.349999999999998</v>
      </c>
      <c r="M90" s="31">
        <v>54.044444444444444</v>
      </c>
      <c r="N90" s="33">
        <v>0.24644065590838102</v>
      </c>
      <c r="O90" s="33">
        <v>0.31680014896072306</v>
      </c>
      <c r="P90" s="33">
        <v>0.3915083289953149</v>
      </c>
      <c r="Q90" s="33">
        <v>0.70830847795603802</v>
      </c>
      <c r="R90" s="31">
        <v>0</v>
      </c>
      <c r="S90" s="31" t="str">
        <f>VLOOKUP(A90,Rankings!B:D,3,FALSE)</f>
        <v>NL</v>
      </c>
    </row>
    <row r="91" spans="1:19" ht="18.600000000000001" customHeight="1">
      <c r="A91" s="26" t="s">
        <v>635</v>
      </c>
      <c r="B91" s="27" t="s">
        <v>101</v>
      </c>
      <c r="C91" s="119" t="s">
        <v>11</v>
      </c>
      <c r="D91" s="31">
        <v>267.9083333333333</v>
      </c>
      <c r="E91" s="31">
        <v>33.377499999999998</v>
      </c>
      <c r="F91" s="31">
        <v>7.5950000000000015</v>
      </c>
      <c r="G91" s="31">
        <v>33.332499999999996</v>
      </c>
      <c r="H91" s="31">
        <v>1.6866666666666668</v>
      </c>
      <c r="I91" s="31">
        <v>66.338333333333324</v>
      </c>
      <c r="J91" s="31">
        <v>13.426666666666664</v>
      </c>
      <c r="K91" s="31">
        <v>1.0024999999999999</v>
      </c>
      <c r="L91" s="31">
        <v>23.746666666666666</v>
      </c>
      <c r="M91" s="31">
        <v>68.806666666666672</v>
      </c>
      <c r="N91" s="33">
        <v>0.24761578898254999</v>
      </c>
      <c r="O91" s="33">
        <v>0.31866724671394581</v>
      </c>
      <c r="P91" s="33">
        <v>0.39026408286416375</v>
      </c>
      <c r="Q91" s="33">
        <v>0.70893132957810956</v>
      </c>
      <c r="R91" s="31">
        <v>0</v>
      </c>
      <c r="S91" s="31" t="str">
        <f>VLOOKUP(A91,Rankings!B:D,3,FALSE)</f>
        <v>AL</v>
      </c>
    </row>
    <row r="92" spans="1:19" ht="18.600000000000001" customHeight="1">
      <c r="A92" s="26" t="s">
        <v>711</v>
      </c>
      <c r="B92" s="27" t="s">
        <v>91</v>
      </c>
      <c r="C92" s="119" t="s">
        <v>11</v>
      </c>
      <c r="D92" s="31">
        <v>184.97777777777779</v>
      </c>
      <c r="E92" s="31">
        <v>23.49</v>
      </c>
      <c r="F92" s="31">
        <v>3.9422222222222221</v>
      </c>
      <c r="G92" s="31">
        <v>20.573333333333334</v>
      </c>
      <c r="H92" s="31">
        <v>4.0366666666666671</v>
      </c>
      <c r="I92" s="31">
        <v>45.27</v>
      </c>
      <c r="J92" s="31">
        <v>7.9533333333333331</v>
      </c>
      <c r="K92" s="31">
        <v>1.9444444444444446</v>
      </c>
      <c r="L92" s="31">
        <v>8.7166666666666668</v>
      </c>
      <c r="M92" s="31">
        <v>45.84</v>
      </c>
      <c r="N92" s="33">
        <v>0.24473209995194617</v>
      </c>
      <c r="O92" s="33">
        <v>0.2901275241094598</v>
      </c>
      <c r="P92" s="33">
        <v>0.372687409899087</v>
      </c>
      <c r="Q92" s="33">
        <v>0.66281493400854674</v>
      </c>
      <c r="R92" s="31">
        <v>0</v>
      </c>
      <c r="S92" s="31" t="str">
        <f>VLOOKUP(A92,Rankings!B:D,3,FALSE)</f>
        <v>NL</v>
      </c>
    </row>
    <row r="93" spans="1:19" ht="18.600000000000001" customHeight="1">
      <c r="A93" s="26" t="s">
        <v>712</v>
      </c>
      <c r="B93" s="27" t="s">
        <v>258</v>
      </c>
      <c r="C93" s="119" t="s">
        <v>11</v>
      </c>
      <c r="D93" s="31">
        <v>193.2777777777778</v>
      </c>
      <c r="E93" s="31">
        <v>23.29111111111111</v>
      </c>
      <c r="F93" s="31">
        <v>2.6933333333333334</v>
      </c>
      <c r="G93" s="31">
        <v>17.25</v>
      </c>
      <c r="H93" s="31">
        <v>2.6716666666666669</v>
      </c>
      <c r="I93" s="31">
        <v>47.797777777777775</v>
      </c>
      <c r="J93" s="31">
        <v>8.6366666666666667</v>
      </c>
      <c r="K93" s="31">
        <v>1.3699999999999999</v>
      </c>
      <c r="L93" s="31">
        <v>17.351111111111113</v>
      </c>
      <c r="M93" s="31">
        <v>39.93333333333333</v>
      </c>
      <c r="N93" s="33">
        <v>0.2473009485484334</v>
      </c>
      <c r="O93" s="33">
        <v>0.31907165247126618</v>
      </c>
      <c r="P93" s="33">
        <v>0.34796780684104622</v>
      </c>
      <c r="Q93" s="33">
        <v>0.66703945931231234</v>
      </c>
      <c r="R93" s="31">
        <v>0</v>
      </c>
      <c r="S93" s="31" t="str">
        <f>VLOOKUP(A93,Rankings!B:D,3,FALSE)</f>
        <v>AL</v>
      </c>
    </row>
    <row r="94" spans="1:19" ht="18.600000000000001" customHeight="1">
      <c r="A94" s="26" t="s">
        <v>721</v>
      </c>
      <c r="B94" s="27" t="s">
        <v>114</v>
      </c>
      <c r="C94" s="119" t="s">
        <v>11</v>
      </c>
      <c r="D94" s="31">
        <v>163.8111111111111</v>
      </c>
      <c r="E94" s="31">
        <v>19.661111111111111</v>
      </c>
      <c r="F94" s="31">
        <v>2.3544444444444443</v>
      </c>
      <c r="G94" s="31">
        <v>15.793333333333335</v>
      </c>
      <c r="H94" s="31">
        <v>1.9922222222222221</v>
      </c>
      <c r="I94" s="31">
        <v>40.352222222222224</v>
      </c>
      <c r="J94" s="31">
        <v>6.5622222222222222</v>
      </c>
      <c r="K94" s="31">
        <v>0.99444444444444446</v>
      </c>
      <c r="L94" s="31">
        <v>9.3577777777777786</v>
      </c>
      <c r="M94" s="31">
        <v>35.50888888888889</v>
      </c>
      <c r="N94" s="33">
        <v>0.24633385335413419</v>
      </c>
      <c r="O94" s="33">
        <v>0.29802349551208457</v>
      </c>
      <c r="P94" s="33">
        <v>0.34165366614664588</v>
      </c>
      <c r="Q94" s="33">
        <v>0.63967716165873045</v>
      </c>
      <c r="R94" s="31">
        <v>0</v>
      </c>
      <c r="S94" s="31" t="str">
        <f>VLOOKUP(A94,Rankings!B:D,3,FALSE)</f>
        <v>AL</v>
      </c>
    </row>
    <row r="95" spans="1:19" ht="18.600000000000001" customHeight="1">
      <c r="A95" s="26" t="s">
        <v>726</v>
      </c>
      <c r="B95" s="27" t="s">
        <v>114</v>
      </c>
      <c r="C95" s="119" t="s">
        <v>11</v>
      </c>
      <c r="D95" s="31">
        <v>112.11666666666666</v>
      </c>
      <c r="E95" s="31">
        <v>12.561666666666667</v>
      </c>
      <c r="F95" s="31">
        <v>3.1649999999999996</v>
      </c>
      <c r="G95" s="31">
        <v>12.866666666666667</v>
      </c>
      <c r="H95" s="31">
        <v>1.0066666666666666</v>
      </c>
      <c r="I95" s="31">
        <v>27.656666666666666</v>
      </c>
      <c r="J95" s="31">
        <v>5.34</v>
      </c>
      <c r="K95" s="31">
        <v>2.5000000000000005E-2</v>
      </c>
      <c r="L95" s="31">
        <v>5.8683333333333332</v>
      </c>
      <c r="M95" s="31">
        <v>23.361111111111111</v>
      </c>
      <c r="N95" s="33">
        <v>0.2466775680095139</v>
      </c>
      <c r="O95" s="33">
        <v>0.29527629722500498</v>
      </c>
      <c r="P95" s="33">
        <v>0.37944105842128734</v>
      </c>
      <c r="Q95" s="33">
        <v>0.67471735564629232</v>
      </c>
      <c r="R95" s="31">
        <v>0</v>
      </c>
      <c r="S95" s="31" t="str">
        <f>VLOOKUP(A95,Rankings!B:D,3,FALSE)</f>
        <v>AL</v>
      </c>
    </row>
    <row r="96" spans="1:19" ht="18.600000000000001" customHeight="1">
      <c r="A96" s="26" t="s">
        <v>716</v>
      </c>
      <c r="B96" s="27" t="s">
        <v>114</v>
      </c>
      <c r="C96" s="119" t="s">
        <v>11</v>
      </c>
      <c r="D96" s="31">
        <v>94</v>
      </c>
      <c r="E96" s="31">
        <v>10.046666666666667</v>
      </c>
      <c r="F96" s="31">
        <v>1.5577777777777779</v>
      </c>
      <c r="G96" s="31">
        <v>9.5711111111111098</v>
      </c>
      <c r="H96" s="31">
        <v>1.0366666666666666</v>
      </c>
      <c r="I96" s="31">
        <v>23.981111111111108</v>
      </c>
      <c r="J96" s="31">
        <v>5.068888888888889</v>
      </c>
      <c r="K96" s="31">
        <v>5.1666666666666673E-2</v>
      </c>
      <c r="L96" s="31">
        <v>2.632222222222222</v>
      </c>
      <c r="M96" s="31">
        <v>13.045555555555557</v>
      </c>
      <c r="N96" s="33">
        <v>0.25511820330969265</v>
      </c>
      <c r="O96" s="33">
        <v>0.28715739843130345</v>
      </c>
      <c r="P96" s="33">
        <v>0.35985815602836879</v>
      </c>
      <c r="Q96" s="33">
        <v>0.64701555445967229</v>
      </c>
      <c r="R96" s="31">
        <v>0</v>
      </c>
      <c r="S96" s="31" t="str">
        <f>VLOOKUP(A96,Rankings!B:D,3,FALSE)</f>
        <v>AL</v>
      </c>
    </row>
    <row r="97" spans="1:19" ht="20.100000000000001" customHeight="1">
      <c r="A97" s="26" t="s">
        <v>709</v>
      </c>
      <c r="B97" s="27" t="s">
        <v>114</v>
      </c>
      <c r="C97" s="119" t="s">
        <v>11</v>
      </c>
      <c r="D97" s="31">
        <v>147.91666666666666</v>
      </c>
      <c r="E97" s="31">
        <v>17.544999999999998</v>
      </c>
      <c r="F97" s="31">
        <v>4.5166666666666666</v>
      </c>
      <c r="G97" s="31">
        <v>16.166666666666668</v>
      </c>
      <c r="H97" s="31">
        <v>3.1916666666666669</v>
      </c>
      <c r="I97" s="31">
        <v>33.656666666666666</v>
      </c>
      <c r="J97" s="31">
        <v>7.0749999999999993</v>
      </c>
      <c r="K97" s="31">
        <v>0.21166666666666667</v>
      </c>
      <c r="L97" s="31">
        <v>10.203333333333333</v>
      </c>
      <c r="M97" s="31">
        <v>48.545555555555552</v>
      </c>
      <c r="N97" s="33">
        <v>0.22753802816901408</v>
      </c>
      <c r="O97" s="33">
        <v>0.28862118579993573</v>
      </c>
      <c r="P97" s="33">
        <v>0.36983661971830989</v>
      </c>
      <c r="Q97" s="33">
        <v>0.65845780551824562</v>
      </c>
      <c r="R97" s="31">
        <v>0</v>
      </c>
      <c r="S97" s="31" t="str">
        <f>VLOOKUP(A97,Rankings!B:D,3,FALSE)</f>
        <v>AL</v>
      </c>
    </row>
    <row r="98" spans="1:19" ht="18.600000000000001" customHeight="1">
      <c r="A98" s="26" t="s">
        <v>728</v>
      </c>
      <c r="B98" s="27" t="s">
        <v>97</v>
      </c>
      <c r="C98" s="119" t="s">
        <v>11</v>
      </c>
      <c r="D98" s="31">
        <v>124.21111111111111</v>
      </c>
      <c r="E98" s="31">
        <v>15.761111111111111</v>
      </c>
      <c r="F98" s="31">
        <v>4.0988888888888892</v>
      </c>
      <c r="G98" s="31">
        <v>15.737777777777778</v>
      </c>
      <c r="H98" s="31">
        <v>2.0183333333333335</v>
      </c>
      <c r="I98" s="31">
        <v>29.02333333333333</v>
      </c>
      <c r="J98" s="31">
        <v>6.1588888888888889</v>
      </c>
      <c r="K98" s="31">
        <v>8.8333333333333333E-2</v>
      </c>
      <c r="L98" s="31">
        <v>10.613333333333333</v>
      </c>
      <c r="M98" s="31">
        <v>23.624444444444446</v>
      </c>
      <c r="N98" s="33">
        <v>0.23366132927811073</v>
      </c>
      <c r="O98" s="33">
        <v>0.30439957095112818</v>
      </c>
      <c r="P98" s="33">
        <v>0.38366580195008493</v>
      </c>
      <c r="Q98" s="33">
        <v>0.68806537290121317</v>
      </c>
      <c r="R98" s="31">
        <v>0</v>
      </c>
      <c r="S98" s="31" t="str">
        <f>VLOOKUP(A98,Rankings!B:D,3,FALSE)</f>
        <v>NL</v>
      </c>
    </row>
    <row r="99" spans="1:19" ht="18.600000000000001" customHeight="1">
      <c r="A99" s="26" t="s">
        <v>747</v>
      </c>
      <c r="B99" s="27" t="s">
        <v>81</v>
      </c>
      <c r="C99" s="119" t="s">
        <v>11</v>
      </c>
      <c r="D99" s="31">
        <v>78.266666666666666</v>
      </c>
      <c r="E99" s="31">
        <v>10.141666666666667</v>
      </c>
      <c r="F99" s="31">
        <v>0.85416666666666663</v>
      </c>
      <c r="G99" s="31">
        <v>7.2041666666666657</v>
      </c>
      <c r="H99" s="31">
        <v>4.7</v>
      </c>
      <c r="I99" s="31">
        <v>17.903333333333332</v>
      </c>
      <c r="J99" s="31">
        <v>3.3000000000000003</v>
      </c>
      <c r="K99" s="31">
        <v>0.46166666666666667</v>
      </c>
      <c r="L99" s="31">
        <v>8.8800000000000008</v>
      </c>
      <c r="M99" s="31">
        <v>17.828333333333333</v>
      </c>
      <c r="N99" s="33">
        <v>0.22874787052810902</v>
      </c>
      <c r="O99" s="33">
        <v>0.31697830194922172</v>
      </c>
      <c r="P99" s="33">
        <v>0.31544931856899494</v>
      </c>
      <c r="Q99" s="33">
        <v>0.63242762051821666</v>
      </c>
      <c r="R99" s="31">
        <v>0</v>
      </c>
      <c r="S99" s="31" t="str">
        <f>VLOOKUP(A99,Rankings!B:D,3,FALSE)</f>
        <v>NL</v>
      </c>
    </row>
    <row r="100" spans="1:19" ht="20.100000000000001" customHeight="1">
      <c r="A100" s="26" t="s">
        <v>75</v>
      </c>
      <c r="B100" s="27" t="s">
        <v>76</v>
      </c>
      <c r="C100" s="120" t="s">
        <v>15</v>
      </c>
      <c r="D100" s="31">
        <v>568.82222222222219</v>
      </c>
      <c r="E100" s="31">
        <v>93.6388888888889</v>
      </c>
      <c r="F100" s="31">
        <v>29.492222222222221</v>
      </c>
      <c r="G100" s="31">
        <v>100.3288888888889</v>
      </c>
      <c r="H100" s="31">
        <v>24.197777777777777</v>
      </c>
      <c r="I100" s="31">
        <v>153.94444444444446</v>
      </c>
      <c r="J100" s="31">
        <v>36.56444444444444</v>
      </c>
      <c r="K100" s="31">
        <v>4.0049999999999999</v>
      </c>
      <c r="L100" s="31">
        <v>68.539999999999992</v>
      </c>
      <c r="M100" s="31">
        <v>85.490000000000009</v>
      </c>
      <c r="N100" s="33">
        <v>0.27063718404500531</v>
      </c>
      <c r="O100" s="33">
        <v>0.35704307605311075</v>
      </c>
      <c r="P100" s="33">
        <v>0.50454350119154601</v>
      </c>
      <c r="Q100" s="33">
        <v>0.8615865772446567</v>
      </c>
      <c r="R100" s="31">
        <v>0</v>
      </c>
      <c r="S100" s="31" t="str">
        <f>VLOOKUP(A100,Rankings!B:D,3,FALSE)</f>
        <v>AL</v>
      </c>
    </row>
    <row r="101" spans="1:19" ht="18.600000000000001" customHeight="1">
      <c r="A101" s="26" t="s">
        <v>102</v>
      </c>
      <c r="B101" s="27" t="s">
        <v>103</v>
      </c>
      <c r="C101" s="120" t="s">
        <v>15</v>
      </c>
      <c r="D101" s="31">
        <v>582.93333333333328</v>
      </c>
      <c r="E101" s="31">
        <v>92.64222222222223</v>
      </c>
      <c r="F101" s="31">
        <v>31.291666666666668</v>
      </c>
      <c r="G101" s="31">
        <v>97.386666666666656</v>
      </c>
      <c r="H101" s="31">
        <v>4.9255555555555555</v>
      </c>
      <c r="I101" s="31">
        <v>164.06555555555556</v>
      </c>
      <c r="J101" s="31">
        <v>37.047777777777775</v>
      </c>
      <c r="K101" s="31">
        <v>1.9833333333333334</v>
      </c>
      <c r="L101" s="31">
        <v>54.766666666666673</v>
      </c>
      <c r="M101" s="31">
        <v>126.32</v>
      </c>
      <c r="N101" s="33">
        <v>0.28144823116803908</v>
      </c>
      <c r="O101" s="33">
        <v>0.35155039304560642</v>
      </c>
      <c r="P101" s="33">
        <v>0.51284595150960666</v>
      </c>
      <c r="Q101" s="33">
        <v>0.86439634455521308</v>
      </c>
      <c r="R101" s="31">
        <v>0</v>
      </c>
      <c r="S101" s="31" t="str">
        <f>VLOOKUP(A101,Rankings!B:D,3,FALSE)</f>
        <v>AL</v>
      </c>
    </row>
    <row r="102" spans="1:19" ht="18.600000000000001" customHeight="1">
      <c r="A102" s="26" t="s">
        <v>88</v>
      </c>
      <c r="B102" s="27" t="s">
        <v>63</v>
      </c>
      <c r="C102" s="120" t="s">
        <v>15</v>
      </c>
      <c r="D102" s="31">
        <v>582.5</v>
      </c>
      <c r="E102" s="31">
        <v>90.825555555555567</v>
      </c>
      <c r="F102" s="31">
        <v>29.934444444444441</v>
      </c>
      <c r="G102" s="31">
        <v>98.217777777777769</v>
      </c>
      <c r="H102" s="31">
        <v>10.654444444444444</v>
      </c>
      <c r="I102" s="31">
        <v>157.72444444444446</v>
      </c>
      <c r="J102" s="31">
        <v>30.502222222222219</v>
      </c>
      <c r="K102" s="31">
        <v>1.02</v>
      </c>
      <c r="L102" s="31">
        <v>63.958333333333336</v>
      </c>
      <c r="M102" s="31">
        <v>122.60666666666667</v>
      </c>
      <c r="N102" s="33">
        <v>0.27077157844539823</v>
      </c>
      <c r="O102" s="33">
        <v>0.35120487773655185</v>
      </c>
      <c r="P102" s="33">
        <v>0.48080686695278968</v>
      </c>
      <c r="Q102" s="33">
        <v>0.83201174468934158</v>
      </c>
      <c r="R102" s="31">
        <v>0</v>
      </c>
      <c r="S102" s="31" t="str">
        <f>VLOOKUP(A102,Rankings!B:D,3,FALSE)</f>
        <v>NL</v>
      </c>
    </row>
    <row r="103" spans="1:19" ht="18.600000000000001" customHeight="1">
      <c r="A103" s="26" t="s">
        <v>106</v>
      </c>
      <c r="B103" s="27" t="s">
        <v>73</v>
      </c>
      <c r="C103" s="120" t="s">
        <v>15</v>
      </c>
      <c r="D103" s="31">
        <v>582.95555555555552</v>
      </c>
      <c r="E103" s="31">
        <v>90.435555555555553</v>
      </c>
      <c r="F103" s="31">
        <v>33.204999999999998</v>
      </c>
      <c r="G103" s="31">
        <v>100.30444444444443</v>
      </c>
      <c r="H103" s="31">
        <v>1.1266666666666667</v>
      </c>
      <c r="I103" s="31">
        <v>159.46222222222221</v>
      </c>
      <c r="J103" s="31">
        <v>32.13111111111111</v>
      </c>
      <c r="K103" s="31">
        <v>1.9966666666666668</v>
      </c>
      <c r="L103" s="31">
        <v>53.276666666666671</v>
      </c>
      <c r="M103" s="31">
        <v>157.34</v>
      </c>
      <c r="N103" s="33">
        <v>0.27354095985971866</v>
      </c>
      <c r="O103" s="33">
        <v>0.3431316394470687</v>
      </c>
      <c r="P103" s="33">
        <v>0.50638794647962493</v>
      </c>
      <c r="Q103" s="33">
        <v>0.84951958592669363</v>
      </c>
      <c r="R103" s="31">
        <v>0</v>
      </c>
      <c r="S103" s="31" t="str">
        <f>VLOOKUP(A103,Rankings!B:D,3,FALSE)</f>
        <v>NL</v>
      </c>
    </row>
    <row r="104" spans="1:19" ht="18.600000000000001" customHeight="1">
      <c r="A104" s="26" t="s">
        <v>122</v>
      </c>
      <c r="B104" s="27" t="s">
        <v>123</v>
      </c>
      <c r="C104" s="120" t="s">
        <v>15</v>
      </c>
      <c r="D104" s="31">
        <v>577.36666666666667</v>
      </c>
      <c r="E104" s="31">
        <v>80.038888888888891</v>
      </c>
      <c r="F104" s="31">
        <v>28.16333333333333</v>
      </c>
      <c r="G104" s="31">
        <v>96.703333333333333</v>
      </c>
      <c r="H104" s="31">
        <v>4.4866666666666672</v>
      </c>
      <c r="I104" s="31">
        <v>153.60333333333332</v>
      </c>
      <c r="J104" s="31">
        <v>32.585555555555551</v>
      </c>
      <c r="K104" s="31">
        <v>1.9822222222222223</v>
      </c>
      <c r="L104" s="31">
        <v>52.110000000000007</v>
      </c>
      <c r="M104" s="31">
        <v>84.214444444444453</v>
      </c>
      <c r="N104" s="33">
        <v>0.26604122163847349</v>
      </c>
      <c r="O104" s="33">
        <v>0.33586811667868965</v>
      </c>
      <c r="P104" s="33">
        <v>0.47568269730385077</v>
      </c>
      <c r="Q104" s="33">
        <v>0.81155081398254048</v>
      </c>
      <c r="R104" s="31">
        <v>0</v>
      </c>
      <c r="S104" s="31" t="str">
        <f>VLOOKUP(A104,Rankings!B:D,3,FALSE)</f>
        <v>NL</v>
      </c>
    </row>
    <row r="105" spans="1:19" ht="18.600000000000001" customHeight="1">
      <c r="A105" s="26" t="s">
        <v>185</v>
      </c>
      <c r="B105" s="27" t="s">
        <v>78</v>
      </c>
      <c r="C105" s="120" t="s">
        <v>15</v>
      </c>
      <c r="D105" s="31">
        <v>540.75555555555559</v>
      </c>
      <c r="E105" s="31">
        <v>86.171666666666667</v>
      </c>
      <c r="F105" s="31">
        <v>23.136666666666667</v>
      </c>
      <c r="G105" s="31">
        <v>86.8611111111111</v>
      </c>
      <c r="H105" s="31">
        <v>1.99</v>
      </c>
      <c r="I105" s="31">
        <v>142.06</v>
      </c>
      <c r="J105" s="31">
        <v>33.055</v>
      </c>
      <c r="K105" s="31">
        <v>0.9966666666666667</v>
      </c>
      <c r="L105" s="31">
        <v>81.492222222222225</v>
      </c>
      <c r="M105" s="31">
        <v>83.955555555555563</v>
      </c>
      <c r="N105" s="33">
        <v>0.26270650119174815</v>
      </c>
      <c r="O105" s="33">
        <v>0.36665294207005855</v>
      </c>
      <c r="P105" s="33">
        <v>0.455877578696474</v>
      </c>
      <c r="Q105" s="33">
        <v>0.82253052076653255</v>
      </c>
      <c r="R105" s="31">
        <v>0</v>
      </c>
      <c r="S105" s="31" t="str">
        <f>VLOOKUP(A105,Rankings!B:D,3,FALSE)</f>
        <v>AL</v>
      </c>
    </row>
    <row r="106" spans="1:19" ht="18.600000000000001" customHeight="1">
      <c r="A106" s="26" t="s">
        <v>249</v>
      </c>
      <c r="B106" s="27" t="s">
        <v>91</v>
      </c>
      <c r="C106" s="120" t="s">
        <v>15</v>
      </c>
      <c r="D106" s="31">
        <v>563.55208333333337</v>
      </c>
      <c r="E106" s="31">
        <v>72.416666666666671</v>
      </c>
      <c r="F106" s="31">
        <v>17.333333333333332</v>
      </c>
      <c r="G106" s="31">
        <v>72.5</v>
      </c>
      <c r="H106" s="31">
        <v>4.6445833333333333</v>
      </c>
      <c r="I106" s="31">
        <v>153.54250000000002</v>
      </c>
      <c r="J106" s="31">
        <v>27.228750000000002</v>
      </c>
      <c r="K106" s="31">
        <v>2.0522916666666666</v>
      </c>
      <c r="L106" s="31">
        <v>39.055624999999999</v>
      </c>
      <c r="M106" s="31">
        <v>116.6536111111111</v>
      </c>
      <c r="N106" s="33">
        <v>0.27245485296020405</v>
      </c>
      <c r="O106" s="33">
        <v>0.32913631667374005</v>
      </c>
      <c r="P106" s="33">
        <v>0.42032642649858593</v>
      </c>
      <c r="Q106" s="33">
        <v>0.74946274317232597</v>
      </c>
      <c r="R106" s="31">
        <v>0</v>
      </c>
      <c r="S106" s="31" t="str">
        <f>VLOOKUP(A106,Rankings!B:D,3,FALSE)</f>
        <v>NL</v>
      </c>
    </row>
    <row r="107" spans="1:19" ht="18.600000000000001" customHeight="1">
      <c r="A107" s="26" t="s">
        <v>203</v>
      </c>
      <c r="B107" s="27" t="s">
        <v>176</v>
      </c>
      <c r="C107" s="120" t="s">
        <v>15</v>
      </c>
      <c r="D107" s="31">
        <v>517.56666666666672</v>
      </c>
      <c r="E107" s="31">
        <v>72.21833333333332</v>
      </c>
      <c r="F107" s="31">
        <v>21.043333333333333</v>
      </c>
      <c r="G107" s="31">
        <v>72.956666666666663</v>
      </c>
      <c r="H107" s="31">
        <v>6.9866666666666672</v>
      </c>
      <c r="I107" s="31">
        <v>130.13666666666668</v>
      </c>
      <c r="J107" s="31">
        <v>25.63</v>
      </c>
      <c r="K107" s="31">
        <v>2.0066666666666668</v>
      </c>
      <c r="L107" s="31">
        <v>57.071666666666665</v>
      </c>
      <c r="M107" s="31">
        <v>148.38333333333333</v>
      </c>
      <c r="N107" s="33">
        <v>0.2514394280929993</v>
      </c>
      <c r="O107" s="33">
        <v>0.33473465208930936</v>
      </c>
      <c r="P107" s="33">
        <v>0.43068847813486189</v>
      </c>
      <c r="Q107" s="33">
        <v>0.76542313022417119</v>
      </c>
      <c r="R107" s="31">
        <v>0</v>
      </c>
      <c r="S107" s="31" t="str">
        <f>VLOOKUP(A107,Rankings!B:D,3,FALSE)</f>
        <v>NL</v>
      </c>
    </row>
    <row r="108" spans="1:19" ht="18.600000000000001" customHeight="1">
      <c r="A108" s="26" t="s">
        <v>242</v>
      </c>
      <c r="B108" s="27" t="s">
        <v>94</v>
      </c>
      <c r="C108" s="120" t="s">
        <v>15</v>
      </c>
      <c r="D108" s="31">
        <v>542.16666666666674</v>
      </c>
      <c r="E108" s="31">
        <v>79.265000000000001</v>
      </c>
      <c r="F108" s="31">
        <v>28.298333333333332</v>
      </c>
      <c r="G108" s="31">
        <v>82.174444444444447</v>
      </c>
      <c r="H108" s="31">
        <v>3.4899999999999998</v>
      </c>
      <c r="I108" s="31">
        <v>121.99333333333334</v>
      </c>
      <c r="J108" s="31">
        <v>26.068333333333332</v>
      </c>
      <c r="K108" s="31">
        <v>2.0116666666666667</v>
      </c>
      <c r="L108" s="31">
        <v>67.15666666666668</v>
      </c>
      <c r="M108" s="31">
        <v>177.89888888888891</v>
      </c>
      <c r="N108" s="33">
        <v>0.22501075929910849</v>
      </c>
      <c r="O108" s="33">
        <v>0.31986350456628515</v>
      </c>
      <c r="P108" s="33">
        <v>0.43709806332616041</v>
      </c>
      <c r="Q108" s="33">
        <v>0.75696156789244551</v>
      </c>
      <c r="R108" s="31">
        <v>0</v>
      </c>
      <c r="S108" s="31" t="str">
        <f>VLOOKUP(A108,Rankings!B:D,3,FALSE)</f>
        <v>AL</v>
      </c>
    </row>
    <row r="109" spans="1:19" ht="20.100000000000001" customHeight="1">
      <c r="A109" s="26" t="s">
        <v>213</v>
      </c>
      <c r="B109" s="27" t="s">
        <v>99</v>
      </c>
      <c r="C109" s="120" t="s">
        <v>15</v>
      </c>
      <c r="D109" s="31">
        <v>512.21666666666658</v>
      </c>
      <c r="E109" s="31">
        <v>72.088333333333324</v>
      </c>
      <c r="F109" s="31">
        <v>17.436666666666667</v>
      </c>
      <c r="G109" s="31">
        <v>69.504999999999995</v>
      </c>
      <c r="H109" s="31">
        <v>11.105555555555554</v>
      </c>
      <c r="I109" s="31">
        <v>127.13333333333333</v>
      </c>
      <c r="J109" s="31">
        <v>27.573333333333338</v>
      </c>
      <c r="K109" s="31">
        <v>4.0166666666666666</v>
      </c>
      <c r="L109" s="31">
        <v>61.411666666666662</v>
      </c>
      <c r="M109" s="31">
        <v>154.79999999999998</v>
      </c>
      <c r="N109" s="33">
        <v>0.24820225815898223</v>
      </c>
      <c r="O109" s="33">
        <v>0.33745234204317603</v>
      </c>
      <c r="P109" s="33">
        <v>0.41984186379461824</v>
      </c>
      <c r="Q109" s="33">
        <v>0.75729420583779428</v>
      </c>
      <c r="R109" s="31">
        <v>0</v>
      </c>
      <c r="S109" s="31" t="str">
        <f>VLOOKUP(A109,Rankings!B:D,3,FALSE)</f>
        <v>AL</v>
      </c>
    </row>
    <row r="110" spans="1:19" ht="20.100000000000001" customHeight="1">
      <c r="A110" s="26" t="s">
        <v>251</v>
      </c>
      <c r="B110" s="27" t="s">
        <v>101</v>
      </c>
      <c r="C110" s="120" t="s">
        <v>15</v>
      </c>
      <c r="D110" s="31">
        <v>502.65555555555557</v>
      </c>
      <c r="E110" s="31">
        <v>74.797777777777782</v>
      </c>
      <c r="F110" s="31">
        <v>12.782222222222222</v>
      </c>
      <c r="G110" s="31">
        <v>61.067777777777771</v>
      </c>
      <c r="H110" s="31">
        <v>3.9466666666666668</v>
      </c>
      <c r="I110" s="31">
        <v>139.55555555555554</v>
      </c>
      <c r="J110" s="31">
        <v>26.928888888888888</v>
      </c>
      <c r="K110" s="31">
        <v>0.98777777777777775</v>
      </c>
      <c r="L110" s="31">
        <v>74.155555555555551</v>
      </c>
      <c r="M110" s="31">
        <v>77.163333333333341</v>
      </c>
      <c r="N110" s="33">
        <v>0.27763655253210723</v>
      </c>
      <c r="O110" s="33">
        <v>0.37748739521421765</v>
      </c>
      <c r="P110" s="33">
        <v>0.41142819248878182</v>
      </c>
      <c r="Q110" s="33">
        <v>0.78891558770299941</v>
      </c>
      <c r="R110" s="31">
        <v>0</v>
      </c>
      <c r="S110" s="31" t="str">
        <f>VLOOKUP(A110,Rankings!B:D,3,FALSE)</f>
        <v>AL</v>
      </c>
    </row>
    <row r="111" spans="1:19" ht="18.600000000000001" customHeight="1">
      <c r="A111" s="26" t="s">
        <v>228</v>
      </c>
      <c r="B111" s="27" t="s">
        <v>137</v>
      </c>
      <c r="C111" s="120" t="s">
        <v>15</v>
      </c>
      <c r="D111" s="31">
        <v>527.66666666666663</v>
      </c>
      <c r="E111" s="31">
        <v>67.404444444444451</v>
      </c>
      <c r="F111" s="31">
        <v>11.533333333333333</v>
      </c>
      <c r="G111" s="31">
        <v>56.205555555555556</v>
      </c>
      <c r="H111" s="31">
        <v>19.2</v>
      </c>
      <c r="I111" s="31">
        <v>135.25555555555556</v>
      </c>
      <c r="J111" s="31">
        <v>28.96777777777778</v>
      </c>
      <c r="K111" s="31">
        <v>3.0216666666666665</v>
      </c>
      <c r="L111" s="31">
        <v>49.731111111111112</v>
      </c>
      <c r="M111" s="31">
        <v>121.46333333333332</v>
      </c>
      <c r="N111" s="33">
        <v>0.25632764792587914</v>
      </c>
      <c r="O111" s="33">
        <v>0.3296693242592581</v>
      </c>
      <c r="P111" s="33">
        <v>0.3882501579279849</v>
      </c>
      <c r="Q111" s="33">
        <v>0.717919482187243</v>
      </c>
      <c r="R111" s="31">
        <v>0</v>
      </c>
      <c r="S111" s="31" t="str">
        <f>VLOOKUP(A111,Rankings!B:D,3,FALSE)</f>
        <v>NL</v>
      </c>
    </row>
    <row r="112" spans="1:19" ht="18.600000000000001" customHeight="1">
      <c r="A112" s="26" t="s">
        <v>248</v>
      </c>
      <c r="B112" s="27" t="s">
        <v>103</v>
      </c>
      <c r="C112" s="120" t="s">
        <v>15</v>
      </c>
      <c r="D112" s="31">
        <v>466.56666666666666</v>
      </c>
      <c r="E112" s="31">
        <v>62.756666666666668</v>
      </c>
      <c r="F112" s="31">
        <v>14.422222222222222</v>
      </c>
      <c r="G112" s="31">
        <v>66.323333333333338</v>
      </c>
      <c r="H112" s="31">
        <v>2.9911111111111111</v>
      </c>
      <c r="I112" s="31">
        <v>124.63222222222221</v>
      </c>
      <c r="J112" s="31">
        <v>26.788888888888891</v>
      </c>
      <c r="K112" s="31">
        <v>0.12833333333333333</v>
      </c>
      <c r="L112" s="31">
        <v>47.243333333333339</v>
      </c>
      <c r="M112" s="31">
        <v>89.991111111111124</v>
      </c>
      <c r="N112" s="33">
        <v>0.26712628896668333</v>
      </c>
      <c r="O112" s="33">
        <v>0.34318966843501464</v>
      </c>
      <c r="P112" s="33">
        <v>0.41782762973018023</v>
      </c>
      <c r="Q112" s="33">
        <v>0.76101729816519481</v>
      </c>
      <c r="R112" s="31">
        <v>0</v>
      </c>
      <c r="S112" s="31" t="str">
        <f>VLOOKUP(A112,Rankings!B:D,3,FALSE)</f>
        <v>AL</v>
      </c>
    </row>
    <row r="113" spans="1:19" ht="18.600000000000001" customHeight="1">
      <c r="A113" s="26" t="s">
        <v>270</v>
      </c>
      <c r="B113" s="27" t="s">
        <v>71</v>
      </c>
      <c r="C113" s="120" t="s">
        <v>15</v>
      </c>
      <c r="D113" s="31">
        <v>524.56666666666672</v>
      </c>
      <c r="E113" s="31">
        <v>69.364999999999995</v>
      </c>
      <c r="F113" s="31">
        <v>27.602222222222224</v>
      </c>
      <c r="G113" s="31">
        <v>78.206666666666663</v>
      </c>
      <c r="H113" s="31">
        <v>1</v>
      </c>
      <c r="I113" s="31">
        <v>112.23555555555555</v>
      </c>
      <c r="J113" s="31">
        <v>20.884444444444444</v>
      </c>
      <c r="K113" s="31">
        <v>1.02</v>
      </c>
      <c r="L113" s="31">
        <v>63.85</v>
      </c>
      <c r="M113" s="31">
        <v>183.38444444444443</v>
      </c>
      <c r="N113" s="33">
        <v>0.21395861134057736</v>
      </c>
      <c r="O113" s="33">
        <v>0.30913867589581673</v>
      </c>
      <c r="P113" s="33">
        <v>0.41551757005782547</v>
      </c>
      <c r="Q113" s="33">
        <v>0.7246562459536422</v>
      </c>
      <c r="R113" s="31">
        <v>0</v>
      </c>
      <c r="S113" s="31" t="str">
        <f>VLOOKUP(A113,Rankings!B:D,3,FALSE)</f>
        <v>AL</v>
      </c>
    </row>
    <row r="114" spans="1:19" ht="20.100000000000001" customHeight="1">
      <c r="A114" s="26" t="s">
        <v>329</v>
      </c>
      <c r="B114" s="27" t="s">
        <v>84</v>
      </c>
      <c r="C114" s="120" t="s">
        <v>15</v>
      </c>
      <c r="D114" s="31">
        <v>447.64444444444445</v>
      </c>
      <c r="E114" s="31">
        <v>62.133333333333333</v>
      </c>
      <c r="F114" s="31">
        <v>16.433333333333334</v>
      </c>
      <c r="G114" s="31">
        <v>65.855000000000004</v>
      </c>
      <c r="H114" s="31">
        <v>2.9822222222222226</v>
      </c>
      <c r="I114" s="31">
        <v>114.47333333333334</v>
      </c>
      <c r="J114" s="31">
        <v>26.803333333333331</v>
      </c>
      <c r="K114" s="31">
        <v>1.0016666666666667</v>
      </c>
      <c r="L114" s="31">
        <v>58.951666666666661</v>
      </c>
      <c r="M114" s="31">
        <v>88.37</v>
      </c>
      <c r="N114" s="33">
        <v>0.25572378872120732</v>
      </c>
      <c r="O114" s="33">
        <v>0.35048804375592352</v>
      </c>
      <c r="P114" s="33">
        <v>0.43020750595710877</v>
      </c>
      <c r="Q114" s="33">
        <v>0.78069554971303234</v>
      </c>
      <c r="R114" s="31">
        <v>0</v>
      </c>
      <c r="S114" s="31" t="str">
        <f>VLOOKUP(A114,Rankings!B:D,3,FALSE)</f>
        <v>AL</v>
      </c>
    </row>
    <row r="115" spans="1:19" ht="18.600000000000001" customHeight="1">
      <c r="A115" s="26" t="s">
        <v>245</v>
      </c>
      <c r="B115" s="27" t="s">
        <v>123</v>
      </c>
      <c r="C115" s="120" t="s">
        <v>15</v>
      </c>
      <c r="D115" s="31">
        <v>470.59375</v>
      </c>
      <c r="E115" s="31">
        <v>59.648249999999997</v>
      </c>
      <c r="F115" s="31">
        <v>13.405583333333333</v>
      </c>
      <c r="G115" s="31">
        <v>57.980416666666663</v>
      </c>
      <c r="H115" s="31">
        <v>10.194916666666666</v>
      </c>
      <c r="I115" s="31">
        <v>117.32416666666667</v>
      </c>
      <c r="J115" s="31">
        <v>24.952458333333336</v>
      </c>
      <c r="K115" s="31">
        <v>2.2018750000000002</v>
      </c>
      <c r="L115" s="31">
        <v>35.566041666666671</v>
      </c>
      <c r="M115" s="31">
        <v>126.5025</v>
      </c>
      <c r="N115" s="33">
        <v>0.2493109325541758</v>
      </c>
      <c r="O115" s="33">
        <v>0.31223905197315799</v>
      </c>
      <c r="P115" s="33">
        <v>0.39715173650308788</v>
      </c>
      <c r="Q115" s="33">
        <v>0.70939078847624581</v>
      </c>
      <c r="R115" s="31">
        <v>0</v>
      </c>
      <c r="S115" s="31" t="str">
        <f>VLOOKUP(A115,Rankings!B:D,3,FALSE)</f>
        <v>NL</v>
      </c>
    </row>
    <row r="116" spans="1:19" ht="18.600000000000001" customHeight="1">
      <c r="A116" s="26" t="s">
        <v>349</v>
      </c>
      <c r="B116" s="27" t="s">
        <v>114</v>
      </c>
      <c r="C116" s="120" t="s">
        <v>15</v>
      </c>
      <c r="D116" s="31">
        <v>502.5</v>
      </c>
      <c r="E116" s="31">
        <v>65.404444444444451</v>
      </c>
      <c r="F116" s="31">
        <v>16.804444444444446</v>
      </c>
      <c r="G116" s="31">
        <v>64.266666666666666</v>
      </c>
      <c r="H116" s="31">
        <v>3.8222222222222224</v>
      </c>
      <c r="I116" s="31">
        <v>122.51222222222223</v>
      </c>
      <c r="J116" s="31">
        <v>26.47</v>
      </c>
      <c r="K116" s="31">
        <v>1.9944444444444445</v>
      </c>
      <c r="L116" s="31">
        <v>55.300000000000004</v>
      </c>
      <c r="M116" s="31">
        <v>145.79222222222222</v>
      </c>
      <c r="N116" s="33">
        <v>0.24380541735765618</v>
      </c>
      <c r="O116" s="33">
        <v>0.32799900453939612</v>
      </c>
      <c r="P116" s="33">
        <v>0.40474516307352132</v>
      </c>
      <c r="Q116" s="33">
        <v>0.73274416761291739</v>
      </c>
      <c r="R116" s="31">
        <v>0</v>
      </c>
      <c r="S116" s="31" t="str">
        <f>VLOOKUP(A116,Rankings!B:D,3,FALSE)</f>
        <v>AL</v>
      </c>
    </row>
    <row r="117" spans="1:19" ht="18.600000000000001" customHeight="1">
      <c r="A117" s="26" t="s">
        <v>374</v>
      </c>
      <c r="B117" s="27" t="s">
        <v>86</v>
      </c>
      <c r="C117" s="120" t="s">
        <v>15</v>
      </c>
      <c r="D117" s="31">
        <v>477.43786666666665</v>
      </c>
      <c r="E117" s="31">
        <v>55.782933333333339</v>
      </c>
      <c r="F117" s="31">
        <v>20.16</v>
      </c>
      <c r="G117" s="31">
        <v>64.493600000000001</v>
      </c>
      <c r="H117" s="31">
        <v>5.1941333333333324</v>
      </c>
      <c r="I117" s="31">
        <v>113.89253333333333</v>
      </c>
      <c r="J117" s="31">
        <v>23.640799999999999</v>
      </c>
      <c r="K117" s="31">
        <v>2.1663999999999999</v>
      </c>
      <c r="L117" s="31">
        <v>31.009333333333334</v>
      </c>
      <c r="M117" s="31">
        <v>143.00853333333333</v>
      </c>
      <c r="N117" s="33">
        <v>0.23854943498407052</v>
      </c>
      <c r="O117" s="33">
        <v>0.29595842814803114</v>
      </c>
      <c r="P117" s="33">
        <v>0.42381668372066011</v>
      </c>
      <c r="Q117" s="33">
        <v>0.71977511186869125</v>
      </c>
      <c r="R117" s="31">
        <v>0</v>
      </c>
      <c r="S117" s="31" t="str">
        <f>VLOOKUP(A117,Rankings!B:D,3,FALSE)</f>
        <v>AL</v>
      </c>
    </row>
    <row r="118" spans="1:19" ht="18.600000000000001" customHeight="1">
      <c r="A118" s="26" t="s">
        <v>456</v>
      </c>
      <c r="B118" s="27" t="s">
        <v>95</v>
      </c>
      <c r="C118" s="120" t="s">
        <v>15</v>
      </c>
      <c r="D118" s="31">
        <v>433.14398933333331</v>
      </c>
      <c r="E118" s="31">
        <v>57.96769066666667</v>
      </c>
      <c r="F118" s="31">
        <v>20.074506666666668</v>
      </c>
      <c r="G118" s="31">
        <v>56.900015999999994</v>
      </c>
      <c r="H118" s="31">
        <v>2.2097119999999997</v>
      </c>
      <c r="I118" s="31">
        <v>107.83209599999998</v>
      </c>
      <c r="J118" s="31">
        <v>19.420687999999998</v>
      </c>
      <c r="K118" s="31">
        <v>0</v>
      </c>
      <c r="L118" s="31">
        <v>42.353050666666661</v>
      </c>
      <c r="M118" s="31">
        <v>101.71219199999997</v>
      </c>
      <c r="N118" s="33">
        <v>0.24895207749729609</v>
      </c>
      <c r="O118" s="33">
        <v>0.32528784012230855</v>
      </c>
      <c r="P118" s="33">
        <v>0.43282674726377052</v>
      </c>
      <c r="Q118" s="33">
        <v>0.75811458738607906</v>
      </c>
      <c r="R118" s="31">
        <v>0</v>
      </c>
      <c r="S118" s="31" t="str">
        <f>VLOOKUP(A118,Rankings!B:D,3,FALSE)</f>
        <v>NL</v>
      </c>
    </row>
    <row r="119" spans="1:19" ht="18.600000000000001" customHeight="1">
      <c r="A119" s="26" t="s">
        <v>302</v>
      </c>
      <c r="B119" s="27" t="s">
        <v>84</v>
      </c>
      <c r="C119" s="120" t="s">
        <v>15</v>
      </c>
      <c r="D119" s="31">
        <v>448.38888888888891</v>
      </c>
      <c r="E119" s="31">
        <v>58.606666666666662</v>
      </c>
      <c r="F119" s="31">
        <v>18.60777777777778</v>
      </c>
      <c r="G119" s="31">
        <v>61.957777777777778</v>
      </c>
      <c r="H119" s="31">
        <v>2.5088888888888889</v>
      </c>
      <c r="I119" s="31">
        <v>109.93777777777778</v>
      </c>
      <c r="J119" s="31">
        <v>23.452222222222222</v>
      </c>
      <c r="K119" s="31">
        <v>1.0249999999999999</v>
      </c>
      <c r="L119" s="31">
        <v>32.203333333333333</v>
      </c>
      <c r="M119" s="31">
        <v>111.14666666666666</v>
      </c>
      <c r="N119" s="33">
        <v>0.24518399207037542</v>
      </c>
      <c r="O119" s="33">
        <v>0.30623024222155781</v>
      </c>
      <c r="P119" s="33">
        <v>0.42655680832610582</v>
      </c>
      <c r="Q119" s="33">
        <v>0.73278705054766369</v>
      </c>
      <c r="R119" s="31">
        <v>0</v>
      </c>
      <c r="S119" s="31" t="str">
        <f>VLOOKUP(A119,Rankings!B:D,3,FALSE)</f>
        <v>AL</v>
      </c>
    </row>
    <row r="120" spans="1:19" ht="18.600000000000001" customHeight="1">
      <c r="A120" s="26" t="s">
        <v>360</v>
      </c>
      <c r="B120" s="27" t="s">
        <v>63</v>
      </c>
      <c r="C120" s="120" t="s">
        <v>15</v>
      </c>
      <c r="D120" s="31">
        <v>454.43333333333339</v>
      </c>
      <c r="E120" s="31">
        <v>58.681666666666665</v>
      </c>
      <c r="F120" s="31">
        <v>12.365</v>
      </c>
      <c r="G120" s="31">
        <v>53.73555555555555</v>
      </c>
      <c r="H120" s="31">
        <v>11.173333333333332</v>
      </c>
      <c r="I120" s="31">
        <v>110.41222222222223</v>
      </c>
      <c r="J120" s="31">
        <v>23.438888888888886</v>
      </c>
      <c r="K120" s="31">
        <v>2.4433333333333334</v>
      </c>
      <c r="L120" s="31">
        <v>42.843333333333334</v>
      </c>
      <c r="M120" s="31">
        <v>93.19</v>
      </c>
      <c r="N120" s="33">
        <v>0.24296682070466269</v>
      </c>
      <c r="O120" s="33">
        <v>0.31796034175509547</v>
      </c>
      <c r="P120" s="33">
        <v>0.38692755324091049</v>
      </c>
      <c r="Q120" s="33">
        <v>0.70488789499600601</v>
      </c>
      <c r="R120" s="31">
        <v>0</v>
      </c>
      <c r="S120" s="31" t="str">
        <f>VLOOKUP(A120,Rankings!B:D,3,FALSE)</f>
        <v>NL</v>
      </c>
    </row>
    <row r="121" spans="1:19" ht="18.600000000000001" customHeight="1">
      <c r="A121" s="26" t="s">
        <v>285</v>
      </c>
      <c r="B121" s="27" t="s">
        <v>91</v>
      </c>
      <c r="C121" s="120" t="s">
        <v>15</v>
      </c>
      <c r="D121" s="31">
        <v>441.40333333333325</v>
      </c>
      <c r="E121" s="31">
        <v>57.021000000000008</v>
      </c>
      <c r="F121" s="31">
        <v>11.537999999999998</v>
      </c>
      <c r="G121" s="31">
        <v>50.593333333333334</v>
      </c>
      <c r="H121" s="31">
        <v>11.451333333333332</v>
      </c>
      <c r="I121" s="31">
        <v>109.00433333333332</v>
      </c>
      <c r="J121" s="31">
        <v>21.346999999999998</v>
      </c>
      <c r="K121" s="31">
        <v>2.9953333333333334</v>
      </c>
      <c r="L121" s="31">
        <v>40.622</v>
      </c>
      <c r="M121" s="31">
        <v>100.98399999999999</v>
      </c>
      <c r="N121" s="33">
        <v>0.24694950196721066</v>
      </c>
      <c r="O121" s="33">
        <v>0.3201137742783432</v>
      </c>
      <c r="P121" s="33">
        <v>0.38730110783032906</v>
      </c>
      <c r="Q121" s="33">
        <v>0.70741488210867232</v>
      </c>
      <c r="R121" s="31">
        <v>0</v>
      </c>
      <c r="S121" s="31" t="str">
        <f>VLOOKUP(A121,Rankings!B:D,3,FALSE)</f>
        <v>NL</v>
      </c>
    </row>
    <row r="122" spans="1:19" ht="18.600000000000001" customHeight="1">
      <c r="A122" s="26" t="s">
        <v>341</v>
      </c>
      <c r="B122" s="27" t="s">
        <v>123</v>
      </c>
      <c r="C122" s="120" t="s">
        <v>15</v>
      </c>
      <c r="D122" s="31">
        <v>429.25</v>
      </c>
      <c r="E122" s="31">
        <v>60.81111111111111</v>
      </c>
      <c r="F122" s="31">
        <v>7.3511111111111118</v>
      </c>
      <c r="G122" s="31">
        <v>48.267777777777781</v>
      </c>
      <c r="H122" s="31">
        <v>5.376666666666666</v>
      </c>
      <c r="I122" s="31">
        <v>113.63333333333334</v>
      </c>
      <c r="J122" s="31">
        <v>22.97</v>
      </c>
      <c r="K122" s="31">
        <v>1.8133333333333332</v>
      </c>
      <c r="L122" s="31">
        <v>53.213333333333338</v>
      </c>
      <c r="M122" s="31">
        <v>82.537777777777777</v>
      </c>
      <c r="N122" s="33">
        <v>0.26472529605901768</v>
      </c>
      <c r="O122" s="33">
        <v>0.35389625756993237</v>
      </c>
      <c r="P122" s="33">
        <v>0.37806251213356629</v>
      </c>
      <c r="Q122" s="33">
        <v>0.7319587697034986</v>
      </c>
      <c r="R122" s="31">
        <v>0</v>
      </c>
      <c r="S122" s="31" t="str">
        <f>VLOOKUP(A122,Rankings!B:D,3,FALSE)</f>
        <v>NL</v>
      </c>
    </row>
    <row r="123" spans="1:19" ht="18.600000000000001" customHeight="1">
      <c r="A123" s="26" t="s">
        <v>385</v>
      </c>
      <c r="B123" s="27" t="s">
        <v>306</v>
      </c>
      <c r="C123" s="120" t="s">
        <v>15</v>
      </c>
      <c r="D123" s="31">
        <v>480.02222222222218</v>
      </c>
      <c r="E123" s="31">
        <v>58.82</v>
      </c>
      <c r="F123" s="31">
        <v>15.573333333333332</v>
      </c>
      <c r="G123" s="31">
        <v>60.772222222222219</v>
      </c>
      <c r="H123" s="31">
        <v>0.99333333333333329</v>
      </c>
      <c r="I123" s="31">
        <v>116.94</v>
      </c>
      <c r="J123" s="31">
        <v>28.196666666666669</v>
      </c>
      <c r="K123" s="31">
        <v>2.0099999999999998</v>
      </c>
      <c r="L123" s="31">
        <v>44.29</v>
      </c>
      <c r="M123" s="31">
        <v>120.71222222222222</v>
      </c>
      <c r="N123" s="33">
        <v>0.24361372158696359</v>
      </c>
      <c r="O123" s="33">
        <v>0.31732251300013292</v>
      </c>
      <c r="P123" s="33">
        <v>0.40805749733808616</v>
      </c>
      <c r="Q123" s="33">
        <v>0.72538001033821908</v>
      </c>
      <c r="R123" s="31">
        <v>0</v>
      </c>
      <c r="S123" s="31" t="str">
        <f>VLOOKUP(A123,Rankings!B:D,3,FALSE)</f>
        <v>NL</v>
      </c>
    </row>
    <row r="124" spans="1:19" ht="18.600000000000001" customHeight="1">
      <c r="A124" s="26" t="s">
        <v>403</v>
      </c>
      <c r="B124" s="27" t="s">
        <v>134</v>
      </c>
      <c r="C124" s="120" t="s">
        <v>15</v>
      </c>
      <c r="D124" s="31">
        <v>426.5</v>
      </c>
      <c r="E124" s="31">
        <v>49.206666666666671</v>
      </c>
      <c r="F124" s="31">
        <v>6.6444444444444448</v>
      </c>
      <c r="G124" s="31">
        <v>44.576666666666661</v>
      </c>
      <c r="H124" s="31">
        <v>12.94</v>
      </c>
      <c r="I124" s="31">
        <v>111.21666666666665</v>
      </c>
      <c r="J124" s="31">
        <v>25.099999999999998</v>
      </c>
      <c r="K124" s="31">
        <v>2.9844444444444442</v>
      </c>
      <c r="L124" s="31">
        <v>23.441666666666666</v>
      </c>
      <c r="M124" s="31">
        <v>79.49666666666667</v>
      </c>
      <c r="N124" s="33">
        <v>0.26076592418913636</v>
      </c>
      <c r="O124" s="33">
        <v>0.30976390904520917</v>
      </c>
      <c r="P124" s="33">
        <v>0.38034909469844996</v>
      </c>
      <c r="Q124" s="33">
        <v>0.69011300374365914</v>
      </c>
      <c r="R124" s="31">
        <v>0</v>
      </c>
      <c r="S124" s="31" t="str">
        <f>VLOOKUP(A124,Rankings!B:D,3,FALSE)</f>
        <v>NL</v>
      </c>
    </row>
    <row r="125" spans="1:19" ht="18.600000000000001" customHeight="1">
      <c r="A125" s="26" t="s">
        <v>448</v>
      </c>
      <c r="B125" s="27" t="s">
        <v>84</v>
      </c>
      <c r="C125" s="120" t="s">
        <v>15</v>
      </c>
      <c r="D125" s="31">
        <v>378.07777777777778</v>
      </c>
      <c r="E125" s="31">
        <v>46.045555555555552</v>
      </c>
      <c r="F125" s="31">
        <v>11.045555555555557</v>
      </c>
      <c r="G125" s="31">
        <v>48.160000000000004</v>
      </c>
      <c r="H125" s="31">
        <v>1.0116666666666667</v>
      </c>
      <c r="I125" s="31">
        <v>100.7788888888889</v>
      </c>
      <c r="J125" s="31">
        <v>19.818888888888889</v>
      </c>
      <c r="K125" s="31">
        <v>1.9922222222222221</v>
      </c>
      <c r="L125" s="31">
        <v>27.073333333333334</v>
      </c>
      <c r="M125" s="31">
        <v>78.31</v>
      </c>
      <c r="N125" s="33">
        <v>0.26655597025891209</v>
      </c>
      <c r="O125" s="33">
        <v>0.32523845687891889</v>
      </c>
      <c r="P125" s="33">
        <v>0.41715990243042289</v>
      </c>
      <c r="Q125" s="33">
        <v>0.74239835930934173</v>
      </c>
      <c r="R125" s="31">
        <v>0</v>
      </c>
      <c r="S125" s="31" t="str">
        <f>VLOOKUP(A125,Rankings!B:D,3,FALSE)</f>
        <v>AL</v>
      </c>
    </row>
    <row r="126" spans="1:19" ht="20.100000000000001" customHeight="1">
      <c r="A126" s="26" t="s">
        <v>402</v>
      </c>
      <c r="B126" s="27" t="s">
        <v>95</v>
      </c>
      <c r="C126" s="120" t="s">
        <v>15</v>
      </c>
      <c r="D126" s="31">
        <v>413.39999999999992</v>
      </c>
      <c r="E126" s="31">
        <v>50.648333333333333</v>
      </c>
      <c r="F126" s="31">
        <v>15.721666666666666</v>
      </c>
      <c r="G126" s="31">
        <v>56.684999999999995</v>
      </c>
      <c r="H126" s="31">
        <v>1.0066666666666666</v>
      </c>
      <c r="I126" s="31">
        <v>97.356666666666669</v>
      </c>
      <c r="J126" s="31">
        <v>19.216666666666665</v>
      </c>
      <c r="K126" s="31">
        <v>3.0249999999999999</v>
      </c>
      <c r="L126" s="31">
        <v>33.356666666666662</v>
      </c>
      <c r="M126" s="31">
        <v>101.67333333333333</v>
      </c>
      <c r="N126" s="33">
        <v>0.23550233833252707</v>
      </c>
      <c r="O126" s="33">
        <v>0.30309531194151629</v>
      </c>
      <c r="P126" s="33">
        <v>0.41071198193839709</v>
      </c>
      <c r="Q126" s="33">
        <v>0.71380729387991337</v>
      </c>
      <c r="R126" s="31">
        <v>0</v>
      </c>
      <c r="S126" s="31" t="str">
        <f>VLOOKUP(A126,Rankings!B:D,3,FALSE)</f>
        <v>NL</v>
      </c>
    </row>
    <row r="127" spans="1:19" ht="18.600000000000001" customHeight="1">
      <c r="A127" s="26" t="s">
        <v>404</v>
      </c>
      <c r="B127" s="27" t="s">
        <v>223</v>
      </c>
      <c r="C127" s="120" t="s">
        <v>15</v>
      </c>
      <c r="D127" s="31">
        <v>394.26666666666665</v>
      </c>
      <c r="E127" s="31">
        <v>50.063333333333333</v>
      </c>
      <c r="F127" s="31">
        <v>13.878333333333332</v>
      </c>
      <c r="G127" s="31">
        <v>51.026666666666671</v>
      </c>
      <c r="H127" s="31">
        <v>3.8488888888888888</v>
      </c>
      <c r="I127" s="31">
        <v>93.408333333333346</v>
      </c>
      <c r="J127" s="31">
        <v>21.040000000000003</v>
      </c>
      <c r="K127" s="31">
        <v>1.0049999999999999</v>
      </c>
      <c r="L127" s="31">
        <v>36.223333333333329</v>
      </c>
      <c r="M127" s="31">
        <v>98.774444444444441</v>
      </c>
      <c r="N127" s="33">
        <v>0.23691663848495101</v>
      </c>
      <c r="O127" s="33">
        <v>0.3111967314545443</v>
      </c>
      <c r="P127" s="33">
        <v>0.40098072370645932</v>
      </c>
      <c r="Q127" s="33">
        <v>0.71217745516100361</v>
      </c>
      <c r="R127" s="31">
        <v>0</v>
      </c>
      <c r="S127" s="31" t="str">
        <f>VLOOKUP(A127,Rankings!B:D,3,FALSE)</f>
        <v>NL</v>
      </c>
    </row>
    <row r="128" spans="1:19" ht="20.100000000000001" customHeight="1">
      <c r="A128" s="26" t="s">
        <v>499</v>
      </c>
      <c r="B128" s="27" t="s">
        <v>117</v>
      </c>
      <c r="C128" s="120" t="s">
        <v>15</v>
      </c>
      <c r="D128" s="31">
        <v>423</v>
      </c>
      <c r="E128" s="31">
        <v>49.870000000000005</v>
      </c>
      <c r="F128" s="31">
        <v>12.910000000000002</v>
      </c>
      <c r="G128" s="31">
        <v>48.754444444444438</v>
      </c>
      <c r="H128" s="31">
        <v>5.503333333333333</v>
      </c>
      <c r="I128" s="31">
        <v>98.458888888888893</v>
      </c>
      <c r="J128" s="31">
        <v>21.451111111111107</v>
      </c>
      <c r="K128" s="31">
        <v>3.451111111111111</v>
      </c>
      <c r="L128" s="31">
        <v>36.445555555555558</v>
      </c>
      <c r="M128" s="31">
        <v>121.12666666666667</v>
      </c>
      <c r="N128" s="33">
        <v>0.23276333070659314</v>
      </c>
      <c r="O128" s="33">
        <v>0.30404463202382542</v>
      </c>
      <c r="P128" s="33">
        <v>0.39135277121092726</v>
      </c>
      <c r="Q128" s="33">
        <v>0.69539740323475274</v>
      </c>
      <c r="R128" s="31">
        <v>0</v>
      </c>
      <c r="S128" s="31" t="str">
        <f>VLOOKUP(A128,Rankings!B:D,3,FALSE)</f>
        <v>AL</v>
      </c>
    </row>
    <row r="129" spans="1:19" ht="18.600000000000001" customHeight="1">
      <c r="A129" s="26" t="s">
        <v>418</v>
      </c>
      <c r="B129" s="27" t="s">
        <v>156</v>
      </c>
      <c r="C129" s="120" t="s">
        <v>15</v>
      </c>
      <c r="D129" s="31">
        <v>323.86666666666673</v>
      </c>
      <c r="E129" s="31">
        <v>38.698888888888888</v>
      </c>
      <c r="F129" s="31">
        <v>8.0283333333333324</v>
      </c>
      <c r="G129" s="31">
        <v>37.126666666666665</v>
      </c>
      <c r="H129" s="31">
        <v>9.39</v>
      </c>
      <c r="I129" s="31">
        <v>82.218333333333334</v>
      </c>
      <c r="J129" s="31">
        <v>18.18</v>
      </c>
      <c r="K129" s="31">
        <v>2.0466666666666669</v>
      </c>
      <c r="L129" s="31">
        <v>19.221666666666668</v>
      </c>
      <c r="M129" s="31">
        <v>81.147777777777776</v>
      </c>
      <c r="N129" s="33">
        <v>0.25386475916014817</v>
      </c>
      <c r="O129" s="33">
        <v>0.30625720535290724</v>
      </c>
      <c r="P129" s="33">
        <v>0.397004940304652</v>
      </c>
      <c r="Q129" s="33">
        <v>0.70326214565755918</v>
      </c>
      <c r="R129" s="31">
        <v>0</v>
      </c>
      <c r="S129" s="31" t="str">
        <f>VLOOKUP(A129,Rankings!B:D,3,FALSE)</f>
        <v>AL</v>
      </c>
    </row>
    <row r="130" spans="1:19" ht="18.600000000000001" customHeight="1">
      <c r="A130" s="26" t="s">
        <v>446</v>
      </c>
      <c r="B130" s="27" t="s">
        <v>68</v>
      </c>
      <c r="C130" s="120" t="s">
        <v>15</v>
      </c>
      <c r="D130" s="31">
        <v>372.53333333333336</v>
      </c>
      <c r="E130" s="31">
        <v>49.788333333333334</v>
      </c>
      <c r="F130" s="31">
        <v>15.411666666666669</v>
      </c>
      <c r="G130" s="31">
        <v>50.836666666666666</v>
      </c>
      <c r="H130" s="31">
        <v>1.0116666666666667</v>
      </c>
      <c r="I130" s="31">
        <v>84.543333333333337</v>
      </c>
      <c r="J130" s="31">
        <v>17.893333333333334</v>
      </c>
      <c r="K130" s="31">
        <v>6.6666666666666654E-3</v>
      </c>
      <c r="L130" s="31">
        <v>47.455555555555556</v>
      </c>
      <c r="M130" s="31">
        <v>108.47777777777777</v>
      </c>
      <c r="N130" s="33">
        <v>0.22694166070150321</v>
      </c>
      <c r="O130" s="33">
        <v>0.32355188899087606</v>
      </c>
      <c r="P130" s="33">
        <v>0.39911864710093053</v>
      </c>
      <c r="Q130" s="33">
        <v>0.72267053609180665</v>
      </c>
      <c r="R130" s="31">
        <v>0</v>
      </c>
      <c r="S130" s="31" t="str">
        <f>VLOOKUP(A130,Rankings!B:D,3,FALSE)</f>
        <v>AL</v>
      </c>
    </row>
    <row r="131" spans="1:19" ht="18.600000000000001" customHeight="1">
      <c r="A131" s="26" t="s">
        <v>624</v>
      </c>
      <c r="B131" s="27" t="s">
        <v>217</v>
      </c>
      <c r="C131" s="120" t="s">
        <v>15</v>
      </c>
      <c r="D131" s="31">
        <v>376.48888888888888</v>
      </c>
      <c r="E131" s="31">
        <v>48.445555555555558</v>
      </c>
      <c r="F131" s="31">
        <v>14.686666666666667</v>
      </c>
      <c r="G131" s="31">
        <v>50.449999999999996</v>
      </c>
      <c r="H131" s="31">
        <v>1.9733333333333334</v>
      </c>
      <c r="I131" s="31">
        <v>85.84333333333332</v>
      </c>
      <c r="J131" s="31">
        <v>18.211111111111112</v>
      </c>
      <c r="K131" s="31">
        <v>1</v>
      </c>
      <c r="L131" s="31">
        <v>38.573333333333331</v>
      </c>
      <c r="M131" s="31">
        <v>124.295</v>
      </c>
      <c r="N131" s="33">
        <v>0.22801027033408094</v>
      </c>
      <c r="O131" s="33">
        <v>0.30978606690572469</v>
      </c>
      <c r="P131" s="33">
        <v>0.39872211073072839</v>
      </c>
      <c r="Q131" s="33">
        <v>0.70850817763645302</v>
      </c>
      <c r="R131" s="31">
        <v>0</v>
      </c>
      <c r="S131" s="31" t="str">
        <f>VLOOKUP(A131,Rankings!B:D,3,FALSE)</f>
        <v>NL</v>
      </c>
    </row>
    <row r="132" spans="1:19" ht="20.100000000000001" customHeight="1">
      <c r="A132" s="26" t="s">
        <v>485</v>
      </c>
      <c r="B132" s="27" t="s">
        <v>120</v>
      </c>
      <c r="C132" s="120" t="s">
        <v>15</v>
      </c>
      <c r="D132" s="31">
        <v>339.31666666666666</v>
      </c>
      <c r="E132" s="31">
        <v>42.343333333333334</v>
      </c>
      <c r="F132" s="31">
        <v>14.013333333333334</v>
      </c>
      <c r="G132" s="31">
        <v>47.919999999999995</v>
      </c>
      <c r="H132" s="31">
        <v>1.0049999999999999</v>
      </c>
      <c r="I132" s="31">
        <v>81.431666666666672</v>
      </c>
      <c r="J132" s="31">
        <v>16.186666666666667</v>
      </c>
      <c r="K132" s="31">
        <v>0.98444444444444434</v>
      </c>
      <c r="L132" s="31">
        <v>30.87</v>
      </c>
      <c r="M132" s="31">
        <v>96.8888888888889</v>
      </c>
      <c r="N132" s="33">
        <v>0.23998722923522769</v>
      </c>
      <c r="O132" s="33">
        <v>0.31335511561957691</v>
      </c>
      <c r="P132" s="33">
        <v>0.41738952469833163</v>
      </c>
      <c r="Q132" s="33">
        <v>0.73074464031790853</v>
      </c>
      <c r="R132" s="31">
        <v>0</v>
      </c>
      <c r="S132" s="31" t="str">
        <f>VLOOKUP(A132,Rankings!B:D,3,FALSE)</f>
        <v>NL</v>
      </c>
    </row>
    <row r="133" spans="1:19" ht="18.600000000000001" customHeight="1">
      <c r="A133" s="26" t="s">
        <v>561</v>
      </c>
      <c r="B133" s="27" t="s">
        <v>137</v>
      </c>
      <c r="C133" s="120" t="s">
        <v>15</v>
      </c>
      <c r="D133" s="31">
        <v>368.24444444444447</v>
      </c>
      <c r="E133" s="31">
        <v>44.206666666666671</v>
      </c>
      <c r="F133" s="31">
        <v>13.445</v>
      </c>
      <c r="G133" s="31">
        <v>46.023333333333333</v>
      </c>
      <c r="H133" s="31">
        <v>5.9655555555555564</v>
      </c>
      <c r="I133" s="31">
        <v>84.373333333333335</v>
      </c>
      <c r="J133" s="31">
        <v>16.83111111111111</v>
      </c>
      <c r="K133" s="31">
        <v>2.3533333333333335</v>
      </c>
      <c r="L133" s="31">
        <v>29.621111111111109</v>
      </c>
      <c r="M133" s="31">
        <v>104.96888888888888</v>
      </c>
      <c r="N133" s="33">
        <v>0.22912316697845633</v>
      </c>
      <c r="O133" s="33">
        <v>0.29727241456874909</v>
      </c>
      <c r="P133" s="33">
        <v>0.3971441071751855</v>
      </c>
      <c r="Q133" s="33">
        <v>0.69441652174393464</v>
      </c>
      <c r="R133" s="31">
        <v>0</v>
      </c>
      <c r="S133" s="31" t="str">
        <f>VLOOKUP(A133,Rankings!B:D,3,FALSE)</f>
        <v>NL</v>
      </c>
    </row>
    <row r="134" spans="1:19" ht="20.100000000000001" customHeight="1">
      <c r="A134" s="26" t="s">
        <v>532</v>
      </c>
      <c r="B134" s="27" t="s">
        <v>217</v>
      </c>
      <c r="C134" s="120" t="s">
        <v>15</v>
      </c>
      <c r="D134" s="31">
        <v>323.36666666666673</v>
      </c>
      <c r="E134" s="31">
        <v>43.251666666666665</v>
      </c>
      <c r="F134" s="31">
        <v>11.634444444444446</v>
      </c>
      <c r="G134" s="31">
        <v>40.82</v>
      </c>
      <c r="H134" s="31">
        <v>1.28</v>
      </c>
      <c r="I134" s="31">
        <v>79.87166666666667</v>
      </c>
      <c r="J134" s="31">
        <v>15.588888888888889</v>
      </c>
      <c r="K134" s="31">
        <v>1.0016666666666667</v>
      </c>
      <c r="L134" s="31">
        <v>39.00333333333333</v>
      </c>
      <c r="M134" s="31">
        <v>109.30888888888889</v>
      </c>
      <c r="N134" s="33">
        <v>0.2470003092464694</v>
      </c>
      <c r="O134" s="33">
        <v>0.33683185137135097</v>
      </c>
      <c r="P134" s="33">
        <v>0.40934096141291271</v>
      </c>
      <c r="Q134" s="33">
        <v>0.74617281278426373</v>
      </c>
      <c r="R134" s="31">
        <v>0</v>
      </c>
      <c r="S134" s="31" t="str">
        <f>VLOOKUP(A134,Rankings!B:D,3,FALSE)</f>
        <v>NL</v>
      </c>
    </row>
    <row r="135" spans="1:19" ht="18.600000000000001" customHeight="1">
      <c r="A135" s="26" t="s">
        <v>569</v>
      </c>
      <c r="B135" s="27" t="s">
        <v>97</v>
      </c>
      <c r="C135" s="120" t="s">
        <v>15</v>
      </c>
      <c r="D135" s="31">
        <v>364.12222222222226</v>
      </c>
      <c r="E135" s="31">
        <v>45.582222222222221</v>
      </c>
      <c r="F135" s="31">
        <v>12.049999999999999</v>
      </c>
      <c r="G135" s="31">
        <v>44.581111111111113</v>
      </c>
      <c r="H135" s="31">
        <v>2.5088888888888889</v>
      </c>
      <c r="I135" s="31">
        <v>85.211111111111109</v>
      </c>
      <c r="J135" s="31">
        <v>17.003333333333334</v>
      </c>
      <c r="K135" s="31">
        <v>0.99888888888888883</v>
      </c>
      <c r="L135" s="31">
        <v>38.880000000000003</v>
      </c>
      <c r="M135" s="31">
        <v>108.37888888888888</v>
      </c>
      <c r="N135" s="33">
        <v>0.23401788166366602</v>
      </c>
      <c r="O135" s="33">
        <v>0.31759195515049121</v>
      </c>
      <c r="P135" s="33">
        <v>0.38548106557627165</v>
      </c>
      <c r="Q135" s="33">
        <v>0.70307302072676281</v>
      </c>
      <c r="R135" s="31">
        <v>0</v>
      </c>
      <c r="S135" s="31" t="str">
        <f>VLOOKUP(A135,Rankings!B:D,3,FALSE)</f>
        <v>NL</v>
      </c>
    </row>
    <row r="136" spans="1:19" ht="18.600000000000001" customHeight="1">
      <c r="A136" s="26" t="s">
        <v>580</v>
      </c>
      <c r="B136" s="27" t="s">
        <v>117</v>
      </c>
      <c r="C136" s="120" t="s">
        <v>15</v>
      </c>
      <c r="D136" s="31">
        <v>360.57777777777778</v>
      </c>
      <c r="E136" s="31">
        <v>43.053333333333335</v>
      </c>
      <c r="F136" s="31">
        <v>1.1783333333333332</v>
      </c>
      <c r="G136" s="31">
        <v>28.257777777777779</v>
      </c>
      <c r="H136" s="31">
        <v>12.593333333333334</v>
      </c>
      <c r="I136" s="31">
        <v>91.546666666666667</v>
      </c>
      <c r="J136" s="31">
        <v>14.903333333333334</v>
      </c>
      <c r="K136" s="31">
        <v>2.9922222222222223</v>
      </c>
      <c r="L136" s="31">
        <v>28.655555555555555</v>
      </c>
      <c r="M136" s="31">
        <v>54.587777777777774</v>
      </c>
      <c r="N136" s="33">
        <v>0.25388882041168492</v>
      </c>
      <c r="O136" s="33">
        <v>0.31869205131957334</v>
      </c>
      <c r="P136" s="33">
        <v>0.32162116356464937</v>
      </c>
      <c r="Q136" s="33">
        <v>0.64031321488422277</v>
      </c>
      <c r="R136" s="31">
        <v>0</v>
      </c>
      <c r="S136" s="31" t="str">
        <f>VLOOKUP(A136,Rankings!B:D,3,FALSE)</f>
        <v>AL</v>
      </c>
    </row>
    <row r="137" spans="1:19" ht="18.600000000000001" customHeight="1">
      <c r="A137" s="26" t="s">
        <v>563</v>
      </c>
      <c r="B137" s="27" t="s">
        <v>140</v>
      </c>
      <c r="C137" s="120" t="s">
        <v>15</v>
      </c>
      <c r="D137" s="31">
        <v>349.76666666666665</v>
      </c>
      <c r="E137" s="31">
        <v>42.768888888888888</v>
      </c>
      <c r="F137" s="31">
        <v>7.9833333333333334</v>
      </c>
      <c r="G137" s="31">
        <v>36.594444444444441</v>
      </c>
      <c r="H137" s="31">
        <v>11.448888888888888</v>
      </c>
      <c r="I137" s="31">
        <v>79.822222222222223</v>
      </c>
      <c r="J137" s="31">
        <v>17.648888888888887</v>
      </c>
      <c r="K137" s="31">
        <v>1.9822222222222223</v>
      </c>
      <c r="L137" s="31">
        <v>39.984999999999992</v>
      </c>
      <c r="M137" s="31">
        <v>98.695555555555572</v>
      </c>
      <c r="N137" s="33">
        <v>0.22821563582070589</v>
      </c>
      <c r="O137" s="33">
        <v>0.31702636076056456</v>
      </c>
      <c r="P137" s="33">
        <v>0.35848343340004452</v>
      </c>
      <c r="Q137" s="33">
        <v>0.67550979416060908</v>
      </c>
      <c r="R137" s="31">
        <v>0</v>
      </c>
      <c r="S137" s="31" t="str">
        <f>VLOOKUP(A137,Rankings!B:D,3,FALSE)</f>
        <v>AL</v>
      </c>
    </row>
    <row r="138" spans="1:19" ht="18.600000000000001" customHeight="1">
      <c r="A138" s="26" t="s">
        <v>658</v>
      </c>
      <c r="B138" s="27" t="s">
        <v>176</v>
      </c>
      <c r="C138" s="120" t="s">
        <v>15</v>
      </c>
      <c r="D138" s="31">
        <v>253.87777777777777</v>
      </c>
      <c r="E138" s="31">
        <v>32.92</v>
      </c>
      <c r="F138" s="31">
        <v>10.094444444444443</v>
      </c>
      <c r="G138" s="31">
        <v>35.884444444444448</v>
      </c>
      <c r="H138" s="31">
        <v>0.98888888888888893</v>
      </c>
      <c r="I138" s="31">
        <v>64.588888888888889</v>
      </c>
      <c r="J138" s="31">
        <v>13.843333333333334</v>
      </c>
      <c r="K138" s="31">
        <v>0.99777777777777776</v>
      </c>
      <c r="L138" s="31">
        <v>18.583333333333332</v>
      </c>
      <c r="M138" s="31">
        <v>68.658333333333346</v>
      </c>
      <c r="N138" s="33">
        <v>0.25440938334281588</v>
      </c>
      <c r="O138" s="33">
        <v>0.3153353434022037</v>
      </c>
      <c r="P138" s="33">
        <v>0.43608035362597924</v>
      </c>
      <c r="Q138" s="33">
        <v>0.75141569702818289</v>
      </c>
      <c r="R138" s="31">
        <v>0</v>
      </c>
      <c r="S138" s="31" t="str">
        <f>VLOOKUP(A138,Rankings!B:D,3,FALSE)</f>
        <v>NL</v>
      </c>
    </row>
    <row r="139" spans="1:19" ht="18.600000000000001" customHeight="1">
      <c r="A139" s="26" t="s">
        <v>591</v>
      </c>
      <c r="B139" s="27" t="s">
        <v>158</v>
      </c>
      <c r="C139" s="120" t="s">
        <v>15</v>
      </c>
      <c r="D139" s="31">
        <v>306.75555555555553</v>
      </c>
      <c r="E139" s="31">
        <v>41.318888888888885</v>
      </c>
      <c r="F139" s="31">
        <v>16.588888888888889</v>
      </c>
      <c r="G139" s="31">
        <v>44.122222222222227</v>
      </c>
      <c r="H139" s="31">
        <v>4.78</v>
      </c>
      <c r="I139" s="31">
        <v>63.48</v>
      </c>
      <c r="J139" s="31">
        <v>13.565555555555555</v>
      </c>
      <c r="K139" s="31">
        <v>3.3333333333333327E-3</v>
      </c>
      <c r="L139" s="31">
        <v>32.072222222222223</v>
      </c>
      <c r="M139" s="31">
        <v>119.38833333333334</v>
      </c>
      <c r="N139" s="33">
        <v>0.20694001738626486</v>
      </c>
      <c r="O139" s="33">
        <v>0.29271641870052678</v>
      </c>
      <c r="P139" s="33">
        <v>0.41342002318168652</v>
      </c>
      <c r="Q139" s="33">
        <v>0.70613644188221336</v>
      </c>
      <c r="R139" s="31">
        <v>0</v>
      </c>
      <c r="S139" s="31" t="str">
        <f>VLOOKUP(A139,Rankings!B:D,3,FALSE)</f>
        <v>NL</v>
      </c>
    </row>
    <row r="140" spans="1:19" ht="20.100000000000001" customHeight="1">
      <c r="A140" s="26" t="s">
        <v>629</v>
      </c>
      <c r="B140" s="27" t="s">
        <v>86</v>
      </c>
      <c r="C140" s="120" t="s">
        <v>15</v>
      </c>
      <c r="D140" s="31">
        <v>275.17777777777775</v>
      </c>
      <c r="E140" s="31">
        <v>34.443333333333335</v>
      </c>
      <c r="F140" s="31">
        <v>11.031666666666666</v>
      </c>
      <c r="G140" s="31">
        <v>35.436666666666667</v>
      </c>
      <c r="H140" s="31">
        <v>3.6877777777777774</v>
      </c>
      <c r="I140" s="31">
        <v>60.816666666666663</v>
      </c>
      <c r="J140" s="31">
        <v>10.245555555555557</v>
      </c>
      <c r="K140" s="31">
        <v>0.99777777777777776</v>
      </c>
      <c r="L140" s="31">
        <v>29.058333333333337</v>
      </c>
      <c r="M140" s="31">
        <v>90.027777777777771</v>
      </c>
      <c r="N140" s="33">
        <v>0.22100864087862393</v>
      </c>
      <c r="O140" s="33">
        <v>0.30558624242517823</v>
      </c>
      <c r="P140" s="33">
        <v>0.38576072034240494</v>
      </c>
      <c r="Q140" s="33">
        <v>0.69134696276758323</v>
      </c>
      <c r="R140" s="31">
        <v>0</v>
      </c>
      <c r="S140" s="31" t="str">
        <f>VLOOKUP(A140,Rankings!B:D,3,FALSE)</f>
        <v>AL</v>
      </c>
    </row>
    <row r="141" spans="1:19" ht="18.600000000000001" customHeight="1">
      <c r="A141" s="26" t="s">
        <v>610</v>
      </c>
      <c r="B141" s="27" t="s">
        <v>120</v>
      </c>
      <c r="C141" s="120" t="s">
        <v>15</v>
      </c>
      <c r="D141" s="31">
        <v>217.93333333333337</v>
      </c>
      <c r="E141" s="31">
        <v>26.953333333333333</v>
      </c>
      <c r="F141" s="31">
        <v>6.8433333333333337</v>
      </c>
      <c r="G141" s="31">
        <v>27.405555555555555</v>
      </c>
      <c r="H141" s="31">
        <v>1.9466666666666665</v>
      </c>
      <c r="I141" s="31">
        <v>53.137777777777778</v>
      </c>
      <c r="J141" s="31">
        <v>10.848333333333334</v>
      </c>
      <c r="K141" s="31">
        <v>1.0466666666666666</v>
      </c>
      <c r="L141" s="31">
        <v>15.838333333333333</v>
      </c>
      <c r="M141" s="31">
        <v>53.853333333333332</v>
      </c>
      <c r="N141" s="33">
        <v>0.24382583868665236</v>
      </c>
      <c r="O141" s="33">
        <v>0.30554582411887921</v>
      </c>
      <c r="P141" s="33">
        <v>0.39741256245538897</v>
      </c>
      <c r="Q141" s="33">
        <v>0.70295838657426812</v>
      </c>
      <c r="R141" s="31">
        <v>0</v>
      </c>
      <c r="S141" s="31" t="str">
        <f>VLOOKUP(A141,Rankings!B:D,3,FALSE)</f>
        <v>NL</v>
      </c>
    </row>
    <row r="142" spans="1:19" ht="18.600000000000001" customHeight="1">
      <c r="A142" s="26" t="s">
        <v>641</v>
      </c>
      <c r="B142" s="27" t="s">
        <v>86</v>
      </c>
      <c r="C142" s="120" t="s">
        <v>15</v>
      </c>
      <c r="D142" s="31">
        <v>226.10000000000002</v>
      </c>
      <c r="E142" s="31">
        <v>27.178888888888888</v>
      </c>
      <c r="F142" s="31">
        <v>6.5711111111111107</v>
      </c>
      <c r="G142" s="31">
        <v>26.564444444444444</v>
      </c>
      <c r="H142" s="31">
        <v>5.442222222222223</v>
      </c>
      <c r="I142" s="31">
        <v>53.293333333333329</v>
      </c>
      <c r="J142" s="31">
        <v>12.228888888888889</v>
      </c>
      <c r="K142" s="31">
        <v>0.99777777777777776</v>
      </c>
      <c r="L142" s="31">
        <v>13.700000000000001</v>
      </c>
      <c r="M142" s="31">
        <v>60.391111111111115</v>
      </c>
      <c r="N142" s="33">
        <v>0.23570691434468521</v>
      </c>
      <c r="O142" s="33">
        <v>0.29061297585687068</v>
      </c>
      <c r="P142" s="33">
        <v>0.3858076563958916</v>
      </c>
      <c r="Q142" s="33">
        <v>0.67642063225276228</v>
      </c>
      <c r="R142" s="31">
        <v>0</v>
      </c>
      <c r="S142" s="31" t="str">
        <f>VLOOKUP(A142,Rankings!B:D,3,FALSE)</f>
        <v>AL</v>
      </c>
    </row>
    <row r="143" spans="1:19" ht="20.100000000000001" customHeight="1">
      <c r="A143" s="26" t="s">
        <v>659</v>
      </c>
      <c r="B143" s="27" t="s">
        <v>95</v>
      </c>
      <c r="C143" s="120" t="s">
        <v>15</v>
      </c>
      <c r="D143" s="31">
        <v>219.74444444444444</v>
      </c>
      <c r="E143" s="31">
        <v>25.442222222222224</v>
      </c>
      <c r="F143" s="31">
        <v>1.9922222222222221</v>
      </c>
      <c r="G143" s="31">
        <v>20.527777777777775</v>
      </c>
      <c r="H143" s="31">
        <v>1.02</v>
      </c>
      <c r="I143" s="31">
        <v>57.448888888888888</v>
      </c>
      <c r="J143" s="31">
        <v>9.6466666666666665</v>
      </c>
      <c r="K143" s="31">
        <v>0.9966666666666667</v>
      </c>
      <c r="L143" s="31">
        <v>25.956666666666667</v>
      </c>
      <c r="M143" s="31">
        <v>37.575555555555553</v>
      </c>
      <c r="N143" s="33">
        <v>0.26143500025281891</v>
      </c>
      <c r="O143" s="33">
        <v>0.34781995355836276</v>
      </c>
      <c r="P143" s="33">
        <v>0.34160388329878133</v>
      </c>
      <c r="Q143" s="33">
        <v>0.68942383685714415</v>
      </c>
      <c r="R143" s="31">
        <v>0</v>
      </c>
      <c r="S143" s="31" t="str">
        <f>VLOOKUP(A143,Rankings!B:D,3,FALSE)</f>
        <v>NL</v>
      </c>
    </row>
    <row r="144" spans="1:19" ht="20.100000000000001" customHeight="1">
      <c r="A144" s="26" t="s">
        <v>665</v>
      </c>
      <c r="B144" s="27" t="s">
        <v>306</v>
      </c>
      <c r="C144" s="120" t="s">
        <v>15</v>
      </c>
      <c r="D144" s="31">
        <v>158.78333333333333</v>
      </c>
      <c r="E144" s="31">
        <v>18.661666666666665</v>
      </c>
      <c r="F144" s="31">
        <v>4.0374999999999996</v>
      </c>
      <c r="G144" s="31">
        <v>18.669999999999998</v>
      </c>
      <c r="H144" s="31">
        <v>2.6916666666666664</v>
      </c>
      <c r="I144" s="31">
        <v>40.22</v>
      </c>
      <c r="J144" s="31">
        <v>9.4</v>
      </c>
      <c r="K144" s="31">
        <v>0.9916666666666667</v>
      </c>
      <c r="L144" s="31">
        <v>11.036666666666667</v>
      </c>
      <c r="M144" s="31">
        <v>37.19166666666667</v>
      </c>
      <c r="N144" s="33">
        <v>0.25330114411672089</v>
      </c>
      <c r="O144" s="33">
        <v>0.31207398062613989</v>
      </c>
      <c r="P144" s="33">
        <v>0.40127532276687311</v>
      </c>
      <c r="Q144" s="33">
        <v>0.71334930339301295</v>
      </c>
      <c r="R144" s="31">
        <v>0</v>
      </c>
      <c r="S144" s="31" t="str">
        <f>VLOOKUP(A144,Rankings!B:D,3,FALSE)</f>
        <v>NL</v>
      </c>
    </row>
    <row r="145" spans="1:19" ht="20.100000000000001" customHeight="1">
      <c r="A145" s="26" t="s">
        <v>684</v>
      </c>
      <c r="B145" s="27" t="s">
        <v>114</v>
      </c>
      <c r="C145" s="120" t="s">
        <v>15</v>
      </c>
      <c r="D145" s="31">
        <v>168.6888888888889</v>
      </c>
      <c r="E145" s="31">
        <v>20.698888888888888</v>
      </c>
      <c r="F145" s="31">
        <v>6.919999999999999</v>
      </c>
      <c r="G145" s="31">
        <v>22.615555555555556</v>
      </c>
      <c r="H145" s="31">
        <v>2.5000000000000005E-2</v>
      </c>
      <c r="I145" s="31">
        <v>40.378888888888888</v>
      </c>
      <c r="J145" s="31">
        <v>7.471111111111111</v>
      </c>
      <c r="K145" s="31">
        <v>1.0116666666666667</v>
      </c>
      <c r="L145" s="31">
        <v>11.85</v>
      </c>
      <c r="M145" s="31">
        <v>49.544999999999995</v>
      </c>
      <c r="N145" s="33">
        <v>0.23936898959293898</v>
      </c>
      <c r="O145" s="33">
        <v>0.30003797612642324</v>
      </c>
      <c r="P145" s="33">
        <v>0.41871953629297848</v>
      </c>
      <c r="Q145" s="33">
        <v>0.71875751241940167</v>
      </c>
      <c r="R145" s="31">
        <v>0</v>
      </c>
      <c r="S145" s="31" t="str">
        <f>VLOOKUP(A145,Rankings!B:D,3,FALSE)</f>
        <v>AL</v>
      </c>
    </row>
    <row r="146" spans="1:19" ht="20.100000000000001" customHeight="1">
      <c r="A146" s="26" t="s">
        <v>695</v>
      </c>
      <c r="B146" s="27" t="s">
        <v>306</v>
      </c>
      <c r="C146" s="120" t="s">
        <v>15</v>
      </c>
      <c r="D146" s="31">
        <v>207.1</v>
      </c>
      <c r="E146" s="31">
        <v>21.246666666666666</v>
      </c>
      <c r="F146" s="31">
        <v>3.0183333333333331</v>
      </c>
      <c r="G146" s="31">
        <v>20.265000000000001</v>
      </c>
      <c r="H146" s="31">
        <v>2.4649999999999999</v>
      </c>
      <c r="I146" s="31">
        <v>49.81</v>
      </c>
      <c r="J146" s="31">
        <v>10.969999999999999</v>
      </c>
      <c r="K146" s="31">
        <v>0.99888888888888883</v>
      </c>
      <c r="L146" s="31">
        <v>11.652222222222221</v>
      </c>
      <c r="M146" s="31">
        <v>31.015555555555554</v>
      </c>
      <c r="N146" s="33">
        <v>0.24051183003380011</v>
      </c>
      <c r="O146" s="33">
        <v>0.29218756965096992</v>
      </c>
      <c r="P146" s="33">
        <v>0.34685068941466818</v>
      </c>
      <c r="Q146" s="33">
        <v>0.63903825906563805</v>
      </c>
      <c r="R146" s="31">
        <v>0</v>
      </c>
      <c r="S146" s="31" t="str">
        <f>VLOOKUP(A146,Rankings!B:D,3,FALSE)</f>
        <v>NL</v>
      </c>
    </row>
    <row r="147" spans="1:19" ht="18.600000000000001" customHeight="1">
      <c r="A147" s="26" t="s">
        <v>681</v>
      </c>
      <c r="B147" s="27" t="s">
        <v>117</v>
      </c>
      <c r="C147" s="120" t="s">
        <v>15</v>
      </c>
      <c r="D147" s="31">
        <v>131.20000000000002</v>
      </c>
      <c r="E147" s="31">
        <v>13.822222222222223</v>
      </c>
      <c r="F147" s="31">
        <v>1.4433333333333334</v>
      </c>
      <c r="G147" s="31">
        <v>12.437777777777777</v>
      </c>
      <c r="H147" s="31">
        <v>1.4344444444444442</v>
      </c>
      <c r="I147" s="31">
        <v>34.30222222222222</v>
      </c>
      <c r="J147" s="31">
        <v>5.2700000000000005</v>
      </c>
      <c r="K147" s="31">
        <v>4.9999999999999992E-3</v>
      </c>
      <c r="L147" s="31">
        <v>10.058888888888889</v>
      </c>
      <c r="M147" s="31">
        <v>25.143333333333334</v>
      </c>
      <c r="N147" s="33">
        <v>0.26144986449864493</v>
      </c>
      <c r="O147" s="33">
        <v>0.32373046948732537</v>
      </c>
      <c r="P147" s="33">
        <v>0.33469681571815713</v>
      </c>
      <c r="Q147" s="33">
        <v>0.65842728520548244</v>
      </c>
      <c r="R147" s="31">
        <v>0</v>
      </c>
      <c r="S147" s="31" t="str">
        <f>VLOOKUP(A147,Rankings!B:D,3,FALSE)</f>
        <v>AL</v>
      </c>
    </row>
    <row r="148" spans="1:19" ht="18.600000000000001" customHeight="1">
      <c r="A148" s="26" t="s">
        <v>685</v>
      </c>
      <c r="B148" s="27" t="s">
        <v>134</v>
      </c>
      <c r="C148" s="120" t="s">
        <v>15</v>
      </c>
      <c r="D148" s="31">
        <v>154.48333333333332</v>
      </c>
      <c r="E148" s="31">
        <v>17.446666666666669</v>
      </c>
      <c r="F148" s="31">
        <v>2.5066666666666668</v>
      </c>
      <c r="G148" s="31">
        <v>15.291666666666666</v>
      </c>
      <c r="H148" s="31">
        <v>0.65555555555555556</v>
      </c>
      <c r="I148" s="31">
        <v>39.086666666666666</v>
      </c>
      <c r="J148" s="31">
        <v>6.9799999999999995</v>
      </c>
      <c r="K148" s="31">
        <v>2.3333333333333331E-2</v>
      </c>
      <c r="L148" s="31">
        <v>14.445</v>
      </c>
      <c r="M148" s="31">
        <v>30.237777777777779</v>
      </c>
      <c r="N148" s="33">
        <v>0.25301542776998598</v>
      </c>
      <c r="O148" s="33">
        <v>0.32632319084831002</v>
      </c>
      <c r="P148" s="33">
        <v>0.34717876793613128</v>
      </c>
      <c r="Q148" s="33">
        <v>0.6735019587844413</v>
      </c>
      <c r="R148" s="31">
        <v>0</v>
      </c>
      <c r="S148" s="31" t="str">
        <f>VLOOKUP(A148,Rankings!B:D,3,FALSE)</f>
        <v>NL</v>
      </c>
    </row>
    <row r="149" spans="1:19" ht="18.600000000000001" customHeight="1">
      <c r="A149" s="26" t="s">
        <v>706</v>
      </c>
      <c r="B149" s="27" t="s">
        <v>78</v>
      </c>
      <c r="C149" s="120" t="s">
        <v>15</v>
      </c>
      <c r="D149" s="31">
        <v>164.43333333333334</v>
      </c>
      <c r="E149" s="31">
        <v>20.391111111111112</v>
      </c>
      <c r="F149" s="31">
        <v>3.1199999999999997</v>
      </c>
      <c r="G149" s="31">
        <v>17.658888888888889</v>
      </c>
      <c r="H149" s="31">
        <v>3.186666666666667</v>
      </c>
      <c r="I149" s="31">
        <v>39.111111111111114</v>
      </c>
      <c r="J149" s="31">
        <v>8.7533333333333321</v>
      </c>
      <c r="K149" s="31">
        <v>0.99444444444444446</v>
      </c>
      <c r="L149" s="31">
        <v>17.756666666666664</v>
      </c>
      <c r="M149" s="31">
        <v>46.164999999999999</v>
      </c>
      <c r="N149" s="33">
        <v>0.23785390904790865</v>
      </c>
      <c r="O149" s="33">
        <v>0.32163495927311958</v>
      </c>
      <c r="P149" s="33">
        <v>0.36010541252787348</v>
      </c>
      <c r="Q149" s="33">
        <v>0.68174037180099312</v>
      </c>
      <c r="R149" s="31">
        <v>0</v>
      </c>
      <c r="S149" s="31" t="str">
        <f>VLOOKUP(A149,Rankings!B:D,3,FALSE)</f>
        <v>AL</v>
      </c>
    </row>
    <row r="150" spans="1:19" ht="18.600000000000001" customHeight="1">
      <c r="A150" s="26" t="s">
        <v>710</v>
      </c>
      <c r="B150" s="27" t="s">
        <v>306</v>
      </c>
      <c r="C150" s="120" t="s">
        <v>15</v>
      </c>
      <c r="D150" s="31">
        <v>184.88333333333333</v>
      </c>
      <c r="E150" s="31">
        <v>22.263333333333332</v>
      </c>
      <c r="F150" s="31">
        <v>4.7116666666666669</v>
      </c>
      <c r="G150" s="31">
        <v>20.875</v>
      </c>
      <c r="H150" s="31">
        <v>1</v>
      </c>
      <c r="I150" s="31">
        <v>41.948333333333331</v>
      </c>
      <c r="J150" s="31">
        <v>8.0525000000000002</v>
      </c>
      <c r="K150" s="31">
        <v>0.75666666666666671</v>
      </c>
      <c r="L150" s="31">
        <v>20.853333333333335</v>
      </c>
      <c r="M150" s="31">
        <v>46.195</v>
      </c>
      <c r="N150" s="33">
        <v>0.22689083205625168</v>
      </c>
      <c r="O150" s="33">
        <v>0.31498121406467222</v>
      </c>
      <c r="P150" s="33">
        <v>0.35508428738844322</v>
      </c>
      <c r="Q150" s="33">
        <v>0.67006550145311539</v>
      </c>
      <c r="R150" s="31">
        <v>0</v>
      </c>
      <c r="S150" s="31" t="str">
        <f>VLOOKUP(A150,Rankings!B:D,3,FALSE)</f>
        <v>NL</v>
      </c>
    </row>
    <row r="151" spans="1:19" ht="20.100000000000001" customHeight="1">
      <c r="A151" s="26" t="s">
        <v>708</v>
      </c>
      <c r="B151" s="27" t="s">
        <v>91</v>
      </c>
      <c r="C151" s="120" t="s">
        <v>15</v>
      </c>
      <c r="D151" s="31">
        <v>141.80000000000001</v>
      </c>
      <c r="E151" s="31">
        <v>16.841666666666665</v>
      </c>
      <c r="F151" s="31">
        <v>3.0983333333333332</v>
      </c>
      <c r="G151" s="31">
        <v>14.990000000000002</v>
      </c>
      <c r="H151" s="31">
        <v>3.6466666666666665</v>
      </c>
      <c r="I151" s="31">
        <v>33.294999999999995</v>
      </c>
      <c r="J151" s="31">
        <v>7.0550000000000006</v>
      </c>
      <c r="K151" s="31">
        <v>0.98333333333333339</v>
      </c>
      <c r="L151" s="31">
        <v>8.7766666666666673</v>
      </c>
      <c r="M151" s="31">
        <v>36.238888888888887</v>
      </c>
      <c r="N151" s="33">
        <v>0.23480253878702392</v>
      </c>
      <c r="O151" s="33">
        <v>0.29063038228991672</v>
      </c>
      <c r="P151" s="33">
        <v>0.36397508227550535</v>
      </c>
      <c r="Q151" s="33">
        <v>0.65460546456542201</v>
      </c>
      <c r="R151" s="31">
        <v>0</v>
      </c>
      <c r="S151" s="31" t="str">
        <f>VLOOKUP(A151,Rankings!B:D,3,FALSE)</f>
        <v>NL</v>
      </c>
    </row>
    <row r="152" spans="1:19" ht="20.100000000000001" customHeight="1">
      <c r="A152" s="26" t="s">
        <v>707</v>
      </c>
      <c r="B152" s="27" t="s">
        <v>97</v>
      </c>
      <c r="C152" s="120" t="s">
        <v>15</v>
      </c>
      <c r="D152" s="31">
        <v>139.1</v>
      </c>
      <c r="E152" s="31">
        <v>17.598333333333333</v>
      </c>
      <c r="F152" s="31">
        <v>5.0449999999999999</v>
      </c>
      <c r="G152" s="31">
        <v>17.658333333333335</v>
      </c>
      <c r="H152" s="31">
        <v>1.46</v>
      </c>
      <c r="I152" s="31">
        <v>31.873333333333335</v>
      </c>
      <c r="J152" s="31">
        <v>6.2299999999999995</v>
      </c>
      <c r="K152" s="31">
        <v>1.2500000000000002E-2</v>
      </c>
      <c r="L152" s="31">
        <v>13.21</v>
      </c>
      <c r="M152" s="31">
        <v>42.93</v>
      </c>
      <c r="N152" s="33">
        <v>0.22913970764438057</v>
      </c>
      <c r="O152" s="33">
        <v>0.30624321406912008</v>
      </c>
      <c r="P152" s="33">
        <v>0.38291397076443806</v>
      </c>
      <c r="Q152" s="33">
        <v>0.68915718483355815</v>
      </c>
      <c r="R152" s="31">
        <v>0</v>
      </c>
      <c r="S152" s="31" t="str">
        <f>VLOOKUP(A152,Rankings!B:D,3,FALSE)</f>
        <v>NL</v>
      </c>
    </row>
    <row r="153" spans="1:19" ht="18.600000000000001" customHeight="1">
      <c r="A153" s="26" t="s">
        <v>720</v>
      </c>
      <c r="B153" s="27" t="s">
        <v>258</v>
      </c>
      <c r="C153" s="120" t="s">
        <v>15</v>
      </c>
      <c r="D153" s="31">
        <v>122.05555555555554</v>
      </c>
      <c r="E153" s="31">
        <v>13.504444444444445</v>
      </c>
      <c r="F153" s="31">
        <v>3.0433333333333334</v>
      </c>
      <c r="G153" s="31">
        <v>13.806666666666667</v>
      </c>
      <c r="H153" s="31">
        <v>0.98555555555555552</v>
      </c>
      <c r="I153" s="31">
        <v>27.825555555555553</v>
      </c>
      <c r="J153" s="31">
        <v>5.4822222222222221</v>
      </c>
      <c r="K153" s="31">
        <v>6.6666666666666654E-3</v>
      </c>
      <c r="L153" s="31">
        <v>12.206666666666669</v>
      </c>
      <c r="M153" s="31">
        <v>30.214444444444442</v>
      </c>
      <c r="N153" s="33">
        <v>0.2279745106964042</v>
      </c>
      <c r="O153" s="33">
        <v>0.3082801813494675</v>
      </c>
      <c r="P153" s="33">
        <v>0.3478015475648612</v>
      </c>
      <c r="Q153" s="33">
        <v>0.6560817289143287</v>
      </c>
      <c r="R153" s="31">
        <v>0</v>
      </c>
      <c r="S153" s="31" t="str">
        <f>VLOOKUP(A153,Rankings!B:D,3,FALSE)</f>
        <v>AL</v>
      </c>
    </row>
    <row r="154" spans="1:19" ht="18.600000000000001" customHeight="1">
      <c r="A154" s="26" t="s">
        <v>129</v>
      </c>
      <c r="B154" s="27" t="s">
        <v>91</v>
      </c>
      <c r="C154" s="121" t="s">
        <v>19</v>
      </c>
      <c r="D154" s="31">
        <v>488.59999999999997</v>
      </c>
      <c r="E154" s="31">
        <v>70.722222222222229</v>
      </c>
      <c r="F154" s="31">
        <v>19.12</v>
      </c>
      <c r="G154" s="31">
        <v>73.044444444444437</v>
      </c>
      <c r="H154" s="31">
        <v>15.652222222222221</v>
      </c>
      <c r="I154" s="31">
        <v>128.26666666666668</v>
      </c>
      <c r="J154" s="31">
        <v>24.727777777777778</v>
      </c>
      <c r="K154" s="31">
        <v>3.0383333333333336</v>
      </c>
      <c r="L154" s="31">
        <v>42.196666666666665</v>
      </c>
      <c r="M154" s="31">
        <v>120.70888888888889</v>
      </c>
      <c r="N154" s="33">
        <v>0.2625187610860964</v>
      </c>
      <c r="O154" s="33">
        <v>0.33046984625088416</v>
      </c>
      <c r="P154" s="33">
        <v>0.44296175012507399</v>
      </c>
      <c r="Q154" s="33">
        <v>0.77343159637595815</v>
      </c>
      <c r="R154" s="31">
        <v>0</v>
      </c>
      <c r="S154" s="31" t="str">
        <f>VLOOKUP(A154,Rankings!B:D,3,FALSE)</f>
        <v>NL</v>
      </c>
    </row>
    <row r="155" spans="1:19" ht="20.100000000000001" customHeight="1">
      <c r="A155" s="26" t="s">
        <v>142</v>
      </c>
      <c r="B155" s="27" t="s">
        <v>94</v>
      </c>
      <c r="C155" s="121" t="s">
        <v>19</v>
      </c>
      <c r="D155" s="31">
        <v>493.64999999999992</v>
      </c>
      <c r="E155" s="31">
        <v>73.62222222222222</v>
      </c>
      <c r="F155" s="31">
        <v>25.156666666666666</v>
      </c>
      <c r="G155" s="31">
        <v>73.861666666666665</v>
      </c>
      <c r="H155" s="31">
        <v>14.706666666666665</v>
      </c>
      <c r="I155" s="31">
        <v>119.20111111111112</v>
      </c>
      <c r="J155" s="31">
        <v>24.218333333333334</v>
      </c>
      <c r="K155" s="31">
        <v>2.4544444444444444</v>
      </c>
      <c r="L155" s="31">
        <v>44.641111111111115</v>
      </c>
      <c r="M155" s="31">
        <v>128.70555555555555</v>
      </c>
      <c r="N155" s="33">
        <v>0.24146887695960931</v>
      </c>
      <c r="O155" s="33">
        <v>0.31432968254392263</v>
      </c>
      <c r="P155" s="33">
        <v>0.45335426584287125</v>
      </c>
      <c r="Q155" s="33">
        <v>0.76768394838679388</v>
      </c>
      <c r="R155" s="31">
        <v>0</v>
      </c>
      <c r="S155" s="31" t="str">
        <f>VLOOKUP(A155,Rankings!B:D,3,FALSE)</f>
        <v>AL</v>
      </c>
    </row>
    <row r="156" spans="1:19" ht="18.600000000000001" customHeight="1">
      <c r="A156" s="26" t="s">
        <v>159</v>
      </c>
      <c r="B156" s="27" t="s">
        <v>81</v>
      </c>
      <c r="C156" s="121" t="s">
        <v>19</v>
      </c>
      <c r="D156" s="31">
        <v>459.61666666666662</v>
      </c>
      <c r="E156" s="31">
        <v>70.983333333333334</v>
      </c>
      <c r="F156" s="31">
        <v>24.026666666666667</v>
      </c>
      <c r="G156" s="31">
        <v>79.137777777777771</v>
      </c>
      <c r="H156" s="31">
        <v>1.9944444444444445</v>
      </c>
      <c r="I156" s="31">
        <v>119.09166666666665</v>
      </c>
      <c r="J156" s="31">
        <v>24.763333333333332</v>
      </c>
      <c r="K156" s="31">
        <v>2</v>
      </c>
      <c r="L156" s="31">
        <v>55.111666666666672</v>
      </c>
      <c r="M156" s="31">
        <v>96.597777777777779</v>
      </c>
      <c r="N156" s="33">
        <v>0.25911085324727129</v>
      </c>
      <c r="O156" s="33">
        <v>0.34682462836577449</v>
      </c>
      <c r="P156" s="33">
        <v>0.47851833049280201</v>
      </c>
      <c r="Q156" s="33">
        <v>0.82534295885857656</v>
      </c>
      <c r="R156" s="31">
        <v>0</v>
      </c>
      <c r="S156" s="31" t="str">
        <f>VLOOKUP(A156,Rankings!B:D,3,FALSE)</f>
        <v>NL</v>
      </c>
    </row>
    <row r="157" spans="1:19" ht="18.600000000000001" customHeight="1">
      <c r="A157" s="26" t="s">
        <v>164</v>
      </c>
      <c r="B157" s="27" t="s">
        <v>117</v>
      </c>
      <c r="C157" s="121" t="s">
        <v>19</v>
      </c>
      <c r="D157" s="31">
        <v>510.51111111111112</v>
      </c>
      <c r="E157" s="31">
        <v>63.791666666666664</v>
      </c>
      <c r="F157" s="31">
        <v>28.007777777777779</v>
      </c>
      <c r="G157" s="31">
        <v>83.534444444444446</v>
      </c>
      <c r="H157" s="31">
        <v>0.99888888888888883</v>
      </c>
      <c r="I157" s="31">
        <v>130.25222222222223</v>
      </c>
      <c r="J157" s="31">
        <v>22.993333333333336</v>
      </c>
      <c r="K157" s="31">
        <v>1</v>
      </c>
      <c r="L157" s="31">
        <v>23.844999999999999</v>
      </c>
      <c r="M157" s="31">
        <v>133.86444444444444</v>
      </c>
      <c r="N157" s="33">
        <v>0.25514081748139122</v>
      </c>
      <c r="O157" s="33">
        <v>0.29939222027599099</v>
      </c>
      <c r="P157" s="33">
        <v>0.46868497801767295</v>
      </c>
      <c r="Q157" s="33">
        <v>0.76807719829366394</v>
      </c>
      <c r="R157" s="31">
        <v>0</v>
      </c>
      <c r="S157" s="31" t="str">
        <f>VLOOKUP(A157,Rankings!B:D,3,FALSE)</f>
        <v>AL</v>
      </c>
    </row>
    <row r="158" spans="1:19" ht="18.600000000000001" customHeight="1">
      <c r="A158" s="26" t="s">
        <v>208</v>
      </c>
      <c r="B158" s="27" t="s">
        <v>99</v>
      </c>
      <c r="C158" s="121" t="s">
        <v>19</v>
      </c>
      <c r="D158" s="31">
        <v>479.79999999999995</v>
      </c>
      <c r="E158" s="31">
        <v>74.666666666666671</v>
      </c>
      <c r="F158" s="31">
        <v>17.066666666666666</v>
      </c>
      <c r="G158" s="31">
        <v>61.900000000000006</v>
      </c>
      <c r="H158" s="31">
        <v>4.0199999999999996</v>
      </c>
      <c r="I158" s="31">
        <v>123.39999999999999</v>
      </c>
      <c r="J158" s="31">
        <v>30.866666666666671</v>
      </c>
      <c r="K158" s="31">
        <v>1.7155555555555555</v>
      </c>
      <c r="L158" s="31">
        <v>67.316666666666663</v>
      </c>
      <c r="M158" s="31">
        <v>98.723333333333343</v>
      </c>
      <c r="N158" s="33">
        <v>0.2571904960400167</v>
      </c>
      <c r="O158" s="33">
        <v>0.35644264803885772</v>
      </c>
      <c r="P158" s="33">
        <v>0.4353851141679404</v>
      </c>
      <c r="Q158" s="33">
        <v>0.79182776220679818</v>
      </c>
      <c r="R158" s="31">
        <v>0</v>
      </c>
      <c r="S158" s="31" t="str">
        <f>VLOOKUP(A158,Rankings!B:D,3,FALSE)</f>
        <v>AL</v>
      </c>
    </row>
    <row r="159" spans="1:19" ht="18.600000000000001" customHeight="1">
      <c r="A159" s="26" t="s">
        <v>247</v>
      </c>
      <c r="B159" s="27" t="s">
        <v>123</v>
      </c>
      <c r="C159" s="121" t="s">
        <v>19</v>
      </c>
      <c r="D159" s="31">
        <v>443.97777777777782</v>
      </c>
      <c r="E159" s="31">
        <v>68.321666666666658</v>
      </c>
      <c r="F159" s="31">
        <v>20.95</v>
      </c>
      <c r="G159" s="31">
        <v>65.174444444444447</v>
      </c>
      <c r="H159" s="31">
        <v>5.4844444444444447</v>
      </c>
      <c r="I159" s="31">
        <v>109.84666666666668</v>
      </c>
      <c r="J159" s="31">
        <v>21.956666666666667</v>
      </c>
      <c r="K159" s="31">
        <v>1.8144444444444445</v>
      </c>
      <c r="L159" s="31">
        <v>49.001666666666665</v>
      </c>
      <c r="M159" s="31">
        <v>119.57111111111111</v>
      </c>
      <c r="N159" s="33">
        <v>0.24741478552480103</v>
      </c>
      <c r="O159" s="33">
        <v>0.33130905557435242</v>
      </c>
      <c r="P159" s="33">
        <v>0.44660393413083738</v>
      </c>
      <c r="Q159" s="33">
        <v>0.77791298970518974</v>
      </c>
      <c r="R159" s="31">
        <v>0</v>
      </c>
      <c r="S159" s="31" t="str">
        <f>VLOOKUP(A159,Rankings!B:D,3,FALSE)</f>
        <v>NL</v>
      </c>
    </row>
    <row r="160" spans="1:19" ht="18.600000000000001" customHeight="1">
      <c r="A160" s="26" t="s">
        <v>198</v>
      </c>
      <c r="B160" s="27" t="s">
        <v>94</v>
      </c>
      <c r="C160" s="121" t="s">
        <v>19</v>
      </c>
      <c r="D160" s="31">
        <v>426.125</v>
      </c>
      <c r="E160" s="31">
        <v>60.153333333333336</v>
      </c>
      <c r="F160" s="31">
        <v>15.771666666666667</v>
      </c>
      <c r="G160" s="31">
        <v>64.090833333333322</v>
      </c>
      <c r="H160" s="31">
        <v>0.52833333333333332</v>
      </c>
      <c r="I160" s="31">
        <v>118.75833333333333</v>
      </c>
      <c r="J160" s="31">
        <v>22.651666666666667</v>
      </c>
      <c r="K160" s="31">
        <v>4.2500000000000003E-2</v>
      </c>
      <c r="L160" s="31">
        <v>52.751666666666672</v>
      </c>
      <c r="M160" s="31">
        <v>56.916666666666664</v>
      </c>
      <c r="N160" s="33">
        <v>0.27869365405299695</v>
      </c>
      <c r="O160" s="33">
        <v>0.36575100255118792</v>
      </c>
      <c r="P160" s="33">
        <v>0.4430859489586389</v>
      </c>
      <c r="Q160" s="33">
        <v>0.80883695150982682</v>
      </c>
      <c r="R160" s="31">
        <v>0</v>
      </c>
      <c r="S160" s="31" t="str">
        <f>VLOOKUP(A160,Rankings!B:D,3,FALSE)</f>
        <v>AL</v>
      </c>
    </row>
    <row r="161" spans="1:19" ht="18.600000000000001" customHeight="1">
      <c r="A161" s="26" t="s">
        <v>267</v>
      </c>
      <c r="B161" s="27" t="s">
        <v>73</v>
      </c>
      <c r="C161" s="121" t="s">
        <v>19</v>
      </c>
      <c r="D161" s="31">
        <v>474.62222222222226</v>
      </c>
      <c r="E161" s="31">
        <v>66.338888888888889</v>
      </c>
      <c r="F161" s="31">
        <v>19.996666666666666</v>
      </c>
      <c r="G161" s="31">
        <v>70.305555555555557</v>
      </c>
      <c r="H161" s="31">
        <v>0.99888888888888883</v>
      </c>
      <c r="I161" s="31">
        <v>117.56333333333333</v>
      </c>
      <c r="J161" s="31">
        <v>27.425555555555558</v>
      </c>
      <c r="K161" s="31">
        <v>1.0216666666666667</v>
      </c>
      <c r="L161" s="31">
        <v>49.99</v>
      </c>
      <c r="M161" s="31">
        <v>119.08999999999999</v>
      </c>
      <c r="N161" s="33">
        <v>0.24769875456503415</v>
      </c>
      <c r="O161" s="33">
        <v>0.32862394611671936</v>
      </c>
      <c r="P161" s="33">
        <v>0.43618316321752976</v>
      </c>
      <c r="Q161" s="33">
        <v>0.76480710933424911</v>
      </c>
      <c r="R161" s="31">
        <v>0</v>
      </c>
      <c r="S161" s="31" t="str">
        <f>VLOOKUP(A161,Rankings!B:D,3,FALSE)</f>
        <v>NL</v>
      </c>
    </row>
    <row r="162" spans="1:19" ht="18.600000000000001" customHeight="1">
      <c r="A162" s="26" t="s">
        <v>200</v>
      </c>
      <c r="B162" s="27" t="s">
        <v>117</v>
      </c>
      <c r="C162" s="121" t="s">
        <v>19</v>
      </c>
      <c r="D162" s="31">
        <v>481.16666666666657</v>
      </c>
      <c r="E162" s="31">
        <v>68.48277777777777</v>
      </c>
      <c r="F162" s="31">
        <v>20.580555555555556</v>
      </c>
      <c r="G162" s="31">
        <v>65.701666666666668</v>
      </c>
      <c r="H162" s="31">
        <v>4.597777777777778</v>
      </c>
      <c r="I162" s="31">
        <v>112.63833333333334</v>
      </c>
      <c r="J162" s="31">
        <v>25.036666666666665</v>
      </c>
      <c r="K162" s="31">
        <v>3.0150000000000001</v>
      </c>
      <c r="L162" s="31">
        <v>60.553333333333335</v>
      </c>
      <c r="M162" s="31">
        <v>133.4672222222222</v>
      </c>
      <c r="N162" s="33">
        <v>0.23409421544856257</v>
      </c>
      <c r="O162" s="33">
        <v>0.32877152032329116</v>
      </c>
      <c r="P162" s="33">
        <v>0.42697609975753381</v>
      </c>
      <c r="Q162" s="33">
        <v>0.75574762008082497</v>
      </c>
      <c r="R162" s="31">
        <v>0</v>
      </c>
      <c r="S162" s="31" t="str">
        <f>VLOOKUP(A162,Rankings!B:D,3,FALSE)</f>
        <v>AL</v>
      </c>
    </row>
    <row r="163" spans="1:19" ht="18.600000000000001" customHeight="1">
      <c r="A163" s="26" t="s">
        <v>234</v>
      </c>
      <c r="B163" s="27" t="s">
        <v>223</v>
      </c>
      <c r="C163" s="121" t="s">
        <v>19</v>
      </c>
      <c r="D163" s="31">
        <v>459.48888888888888</v>
      </c>
      <c r="E163" s="31">
        <v>59.377777777777773</v>
      </c>
      <c r="F163" s="31">
        <v>14.021666666666668</v>
      </c>
      <c r="G163" s="31">
        <v>62.517777777777781</v>
      </c>
      <c r="H163" s="31">
        <v>1.9866666666666666</v>
      </c>
      <c r="I163" s="31">
        <v>121.82777777777778</v>
      </c>
      <c r="J163" s="31">
        <v>25.216666666666669</v>
      </c>
      <c r="K163" s="31">
        <v>0.98666666666666669</v>
      </c>
      <c r="L163" s="31">
        <v>42.404444444444444</v>
      </c>
      <c r="M163" s="31">
        <v>114.73333333333333</v>
      </c>
      <c r="N163" s="33">
        <v>0.26513759249407554</v>
      </c>
      <c r="O163" s="33">
        <v>0.33625989313931798</v>
      </c>
      <c r="P163" s="33">
        <v>0.41585940900517493</v>
      </c>
      <c r="Q163" s="33">
        <v>0.75211930214449296</v>
      </c>
      <c r="R163" s="31">
        <v>0</v>
      </c>
      <c r="S163" s="31" t="str">
        <f>VLOOKUP(A163,Rankings!B:D,3,FALSE)</f>
        <v>NL</v>
      </c>
    </row>
    <row r="164" spans="1:19" ht="20.100000000000001" customHeight="1">
      <c r="A164" s="26" t="s">
        <v>334</v>
      </c>
      <c r="B164" s="27" t="s">
        <v>97</v>
      </c>
      <c r="C164" s="121" t="s">
        <v>19</v>
      </c>
      <c r="D164" s="31">
        <v>417.17777777777775</v>
      </c>
      <c r="E164" s="31">
        <v>55.449999999999996</v>
      </c>
      <c r="F164" s="31">
        <v>19.133333333333333</v>
      </c>
      <c r="G164" s="31">
        <v>60.977777777777781</v>
      </c>
      <c r="H164" s="31">
        <v>1.9833333333333334</v>
      </c>
      <c r="I164" s="31">
        <v>102.95888888888889</v>
      </c>
      <c r="J164" s="31">
        <v>17.72111111111111</v>
      </c>
      <c r="K164" s="31">
        <v>1.0033333333333334</v>
      </c>
      <c r="L164" s="31">
        <v>41.75</v>
      </c>
      <c r="M164" s="31">
        <v>120.79</v>
      </c>
      <c r="N164" s="33">
        <v>0.24679859372503066</v>
      </c>
      <c r="O164" s="33">
        <v>0.3247604788399619</v>
      </c>
      <c r="P164" s="33">
        <v>0.43167847440473028</v>
      </c>
      <c r="Q164" s="33">
        <v>0.75643895324469224</v>
      </c>
      <c r="R164" s="31">
        <v>0</v>
      </c>
      <c r="S164" s="31" t="str">
        <f>VLOOKUP(A164,Rankings!B:D,3,FALSE)</f>
        <v>NL</v>
      </c>
    </row>
    <row r="165" spans="1:19" ht="18.600000000000001" customHeight="1">
      <c r="A165" s="26" t="s">
        <v>325</v>
      </c>
      <c r="B165" s="27" t="s">
        <v>306</v>
      </c>
      <c r="C165" s="121" t="s">
        <v>19</v>
      </c>
      <c r="D165" s="31">
        <v>406.83333333333331</v>
      </c>
      <c r="E165" s="31">
        <v>47.321111111111115</v>
      </c>
      <c r="F165" s="31">
        <v>12.642222222222221</v>
      </c>
      <c r="G165" s="31">
        <v>51.487777777777779</v>
      </c>
      <c r="H165" s="31">
        <v>4.0316666666666663</v>
      </c>
      <c r="I165" s="31">
        <v>106.10555555555555</v>
      </c>
      <c r="J165" s="31">
        <v>22.828888888888887</v>
      </c>
      <c r="K165" s="31">
        <v>0.12666666666666665</v>
      </c>
      <c r="L165" s="31">
        <v>31.891111111111112</v>
      </c>
      <c r="M165" s="31">
        <v>53.356666666666662</v>
      </c>
      <c r="N165" s="33">
        <v>0.26080841185306569</v>
      </c>
      <c r="O165" s="33">
        <v>0.32419506295147132</v>
      </c>
      <c r="P165" s="33">
        <v>0.41076881059674997</v>
      </c>
      <c r="Q165" s="33">
        <v>0.73496387354822135</v>
      </c>
      <c r="R165" s="31">
        <v>0</v>
      </c>
      <c r="S165" s="31" t="str">
        <f>VLOOKUP(A165,Rankings!B:D,3,FALSE)</f>
        <v>NL</v>
      </c>
    </row>
    <row r="166" spans="1:19" ht="18.600000000000001" customHeight="1">
      <c r="A166" s="26" t="s">
        <v>377</v>
      </c>
      <c r="B166" s="27" t="s">
        <v>94</v>
      </c>
      <c r="C166" s="121" t="s">
        <v>19</v>
      </c>
      <c r="D166" s="31">
        <v>358.7166666666667</v>
      </c>
      <c r="E166" s="31">
        <v>51.726666666666667</v>
      </c>
      <c r="F166" s="31">
        <v>19.39</v>
      </c>
      <c r="G166" s="31">
        <v>56.388333333333343</v>
      </c>
      <c r="H166" s="31">
        <v>1.9911111111111113</v>
      </c>
      <c r="I166" s="31">
        <v>84.363333333333344</v>
      </c>
      <c r="J166" s="31">
        <v>17.434999999999999</v>
      </c>
      <c r="K166" s="31">
        <v>0.98444444444444434</v>
      </c>
      <c r="L166" s="31">
        <v>36.965000000000003</v>
      </c>
      <c r="M166" s="31">
        <v>82.162222222222226</v>
      </c>
      <c r="N166" s="33">
        <v>0.23518096919574411</v>
      </c>
      <c r="O166" s="33">
        <v>0.31638825412236254</v>
      </c>
      <c r="P166" s="33">
        <v>0.4514348991001873</v>
      </c>
      <c r="Q166" s="33">
        <v>0.7678231532225499</v>
      </c>
      <c r="R166" s="31">
        <v>0</v>
      </c>
      <c r="S166" s="31" t="str">
        <f>VLOOKUP(A166,Rankings!B:D,3,FALSE)</f>
        <v>AL</v>
      </c>
    </row>
    <row r="167" spans="1:19" ht="20.100000000000001" customHeight="1">
      <c r="A167" s="26" t="s">
        <v>409</v>
      </c>
      <c r="B167" s="27" t="s">
        <v>71</v>
      </c>
      <c r="C167" s="121" t="s">
        <v>19</v>
      </c>
      <c r="D167" s="31">
        <v>406.61111111111109</v>
      </c>
      <c r="E167" s="31">
        <v>49.926666666666669</v>
      </c>
      <c r="F167" s="31">
        <v>21.718888888888888</v>
      </c>
      <c r="G167" s="31">
        <v>60.522222222222219</v>
      </c>
      <c r="H167" s="31">
        <v>1.9911111111111113</v>
      </c>
      <c r="I167" s="31">
        <v>88.978888888888889</v>
      </c>
      <c r="J167" s="31">
        <v>21.482222222222219</v>
      </c>
      <c r="K167" s="31">
        <v>0.99777777777777776</v>
      </c>
      <c r="L167" s="31">
        <v>34.773333333333333</v>
      </c>
      <c r="M167" s="31">
        <v>123.87888888888888</v>
      </c>
      <c r="N167" s="33">
        <v>0.21883044131711984</v>
      </c>
      <c r="O167" s="33">
        <v>0.2913264304123323</v>
      </c>
      <c r="P167" s="33">
        <v>0.43681377237327507</v>
      </c>
      <c r="Q167" s="33">
        <v>0.72814020278560743</v>
      </c>
      <c r="R167" s="31">
        <v>0</v>
      </c>
      <c r="S167" s="31" t="str">
        <f>VLOOKUP(A167,Rankings!B:D,3,FALSE)</f>
        <v>AL</v>
      </c>
    </row>
    <row r="168" spans="1:19" ht="18.600000000000001" customHeight="1">
      <c r="A168" s="26" t="s">
        <v>383</v>
      </c>
      <c r="B168" s="27" t="s">
        <v>73</v>
      </c>
      <c r="C168" s="121" t="s">
        <v>19</v>
      </c>
      <c r="D168" s="31">
        <v>354.84444444444443</v>
      </c>
      <c r="E168" s="31">
        <v>46.145555555555553</v>
      </c>
      <c r="F168" s="31">
        <v>13.777777777777779</v>
      </c>
      <c r="G168" s="31">
        <v>50.545555555555552</v>
      </c>
      <c r="H168" s="31">
        <v>0.31166666666666665</v>
      </c>
      <c r="I168" s="31">
        <v>90.493333333333339</v>
      </c>
      <c r="J168" s="31">
        <v>18.35777777777778</v>
      </c>
      <c r="K168" s="31">
        <v>0.98555555555555552</v>
      </c>
      <c r="L168" s="31">
        <v>23.931111111111111</v>
      </c>
      <c r="M168" s="31">
        <v>85.304999999999993</v>
      </c>
      <c r="N168" s="33">
        <v>0.25502254509018041</v>
      </c>
      <c r="O168" s="33">
        <v>0.31234342858879965</v>
      </c>
      <c r="P168" s="33">
        <v>0.42879509018036077</v>
      </c>
      <c r="Q168" s="33">
        <v>0.74113851876916037</v>
      </c>
      <c r="R168" s="31">
        <v>0</v>
      </c>
      <c r="S168" s="31" t="str">
        <f>VLOOKUP(A168,Rankings!B:D,3,FALSE)</f>
        <v>NL</v>
      </c>
    </row>
    <row r="169" spans="1:19" ht="18.600000000000001" customHeight="1">
      <c r="A169" s="26" t="s">
        <v>487</v>
      </c>
      <c r="B169" s="27" t="s">
        <v>120</v>
      </c>
      <c r="C169" s="121" t="s">
        <v>19</v>
      </c>
      <c r="D169" s="31">
        <v>288.13333333333333</v>
      </c>
      <c r="E169" s="31">
        <v>35.254444444444445</v>
      </c>
      <c r="F169" s="31">
        <v>5.9866666666666672</v>
      </c>
      <c r="G169" s="31">
        <v>35.162222222222219</v>
      </c>
      <c r="H169" s="31">
        <v>2.9777777777777779</v>
      </c>
      <c r="I169" s="31">
        <v>78.306666666666672</v>
      </c>
      <c r="J169" s="31">
        <v>14.815555555555555</v>
      </c>
      <c r="K169" s="31">
        <v>0.98666666666666669</v>
      </c>
      <c r="L169" s="31">
        <v>20.943333333333332</v>
      </c>
      <c r="M169" s="31">
        <v>54.354444444444447</v>
      </c>
      <c r="N169" s="33">
        <v>0.27177232762609904</v>
      </c>
      <c r="O169" s="33">
        <v>0.3305566136164152</v>
      </c>
      <c r="P169" s="33">
        <v>0.39237235847601426</v>
      </c>
      <c r="Q169" s="33">
        <v>0.72292897209242946</v>
      </c>
      <c r="R169" s="31">
        <v>0</v>
      </c>
      <c r="S169" s="31" t="str">
        <f>VLOOKUP(A169,Rankings!B:D,3,FALSE)</f>
        <v>NL</v>
      </c>
    </row>
    <row r="170" spans="1:19" ht="18.600000000000001" customHeight="1">
      <c r="A170" s="26" t="s">
        <v>444</v>
      </c>
      <c r="B170" s="27" t="s">
        <v>86</v>
      </c>
      <c r="C170" s="121" t="s">
        <v>19</v>
      </c>
      <c r="D170" s="31">
        <v>370.26666666666665</v>
      </c>
      <c r="E170" s="31">
        <v>43.384999999999998</v>
      </c>
      <c r="F170" s="31">
        <v>13.995555555555555</v>
      </c>
      <c r="G170" s="31">
        <v>47.298333333333339</v>
      </c>
      <c r="H170" s="31">
        <v>2.5811111111111109</v>
      </c>
      <c r="I170" s="31">
        <v>85.947777777777787</v>
      </c>
      <c r="J170" s="31">
        <v>18.046666666666667</v>
      </c>
      <c r="K170" s="31">
        <v>0.99888888888888883</v>
      </c>
      <c r="L170" s="31">
        <v>32.48833333333333</v>
      </c>
      <c r="M170" s="31">
        <v>79.05</v>
      </c>
      <c r="N170" s="33">
        <v>0.23212399471852121</v>
      </c>
      <c r="O170" s="33">
        <v>0.30445303308587346</v>
      </c>
      <c r="P170" s="33">
        <v>0.39965490337294446</v>
      </c>
      <c r="Q170" s="33">
        <v>0.70410793645881786</v>
      </c>
      <c r="R170" s="31">
        <v>0</v>
      </c>
      <c r="S170" s="31" t="str">
        <f>VLOOKUP(A170,Rankings!B:D,3,FALSE)</f>
        <v>AL</v>
      </c>
    </row>
    <row r="171" spans="1:19" ht="18.600000000000001" customHeight="1">
      <c r="A171" s="26" t="s">
        <v>394</v>
      </c>
      <c r="B171" s="27" t="s">
        <v>140</v>
      </c>
      <c r="C171" s="121" t="s">
        <v>19</v>
      </c>
      <c r="D171" s="31">
        <v>416.0333333333333</v>
      </c>
      <c r="E171" s="31">
        <v>45.536666666666669</v>
      </c>
      <c r="F171" s="31">
        <v>15.167499999999999</v>
      </c>
      <c r="G171" s="31">
        <v>51.083333333333336</v>
      </c>
      <c r="H171" s="31">
        <v>2.0350000000000001</v>
      </c>
      <c r="I171" s="31">
        <v>93.12166666666667</v>
      </c>
      <c r="J171" s="31">
        <v>20.04</v>
      </c>
      <c r="K171" s="31">
        <v>1.655</v>
      </c>
      <c r="L171" s="31">
        <v>33.088333333333338</v>
      </c>
      <c r="M171" s="31">
        <v>126.58499999999999</v>
      </c>
      <c r="N171" s="33">
        <v>0.22383222498197261</v>
      </c>
      <c r="O171" s="33">
        <v>0.29200134375515446</v>
      </c>
      <c r="P171" s="33">
        <v>0.38932978126752665</v>
      </c>
      <c r="Q171" s="33">
        <v>0.68133112502268112</v>
      </c>
      <c r="R171" s="31">
        <v>0</v>
      </c>
      <c r="S171" s="31" t="str">
        <f>VLOOKUP(A171,Rankings!B:D,3,FALSE)</f>
        <v>AL</v>
      </c>
    </row>
    <row r="172" spans="1:19" ht="18.600000000000001" customHeight="1">
      <c r="A172" s="26" t="s">
        <v>452</v>
      </c>
      <c r="B172" s="27" t="s">
        <v>176</v>
      </c>
      <c r="C172" s="121" t="s">
        <v>19</v>
      </c>
      <c r="D172" s="31">
        <v>327.8</v>
      </c>
      <c r="E172" s="31">
        <v>39.455555555555556</v>
      </c>
      <c r="F172" s="31">
        <v>11.023333333333333</v>
      </c>
      <c r="G172" s="31">
        <v>42.94444444444445</v>
      </c>
      <c r="H172" s="31">
        <v>0.64777777777777779</v>
      </c>
      <c r="I172" s="31">
        <v>82.22</v>
      </c>
      <c r="J172" s="31">
        <v>16.141666666666666</v>
      </c>
      <c r="K172" s="31">
        <v>1.0249999999999999</v>
      </c>
      <c r="L172" s="31">
        <v>24.985555555555553</v>
      </c>
      <c r="M172" s="31">
        <v>70.042222222222222</v>
      </c>
      <c r="N172" s="33">
        <v>0.25082367297132396</v>
      </c>
      <c r="O172" s="33">
        <v>0.31398388489852408</v>
      </c>
      <c r="P172" s="33">
        <v>0.40720459629855604</v>
      </c>
      <c r="Q172" s="33">
        <v>0.72118848119708012</v>
      </c>
      <c r="R172" s="31">
        <v>0</v>
      </c>
      <c r="S172" s="31" t="str">
        <f>VLOOKUP(A172,Rankings!B:D,3,FALSE)</f>
        <v>NL</v>
      </c>
    </row>
    <row r="173" spans="1:19" ht="18.600000000000001" customHeight="1">
      <c r="A173" s="26" t="s">
        <v>415</v>
      </c>
      <c r="B173" s="27" t="s">
        <v>156</v>
      </c>
      <c r="C173" s="121" t="s">
        <v>19</v>
      </c>
      <c r="D173" s="31">
        <v>350.5888888888889</v>
      </c>
      <c r="E173" s="31">
        <v>38.834444444444443</v>
      </c>
      <c r="F173" s="31">
        <v>7.4577777777777783</v>
      </c>
      <c r="G173" s="31">
        <v>38.242222222222217</v>
      </c>
      <c r="H173" s="31">
        <v>4.485555555555556</v>
      </c>
      <c r="I173" s="31">
        <v>88.512222222222206</v>
      </c>
      <c r="J173" s="31">
        <v>16.968888888888888</v>
      </c>
      <c r="K173" s="31">
        <v>0.98333333333333339</v>
      </c>
      <c r="L173" s="31">
        <v>23.077777777777779</v>
      </c>
      <c r="M173" s="31">
        <v>65.158888888888882</v>
      </c>
      <c r="N173" s="33">
        <v>0.25246727727949791</v>
      </c>
      <c r="O173" s="33">
        <v>0.30904309671772101</v>
      </c>
      <c r="P173" s="33">
        <v>0.37029442525274936</v>
      </c>
      <c r="Q173" s="33">
        <v>0.67933752197047037</v>
      </c>
      <c r="R173" s="31">
        <v>0</v>
      </c>
      <c r="S173" s="31" t="str">
        <f>VLOOKUP(A173,Rankings!B:D,3,FALSE)</f>
        <v>AL</v>
      </c>
    </row>
    <row r="174" spans="1:19" ht="20.100000000000001" customHeight="1">
      <c r="A174" s="26" t="s">
        <v>483</v>
      </c>
      <c r="B174" s="27" t="s">
        <v>63</v>
      </c>
      <c r="C174" s="121" t="s">
        <v>19</v>
      </c>
      <c r="D174" s="31">
        <v>285.65000000000003</v>
      </c>
      <c r="E174" s="31">
        <v>34.125</v>
      </c>
      <c r="F174" s="31">
        <v>5.4950000000000001</v>
      </c>
      <c r="G174" s="31">
        <v>33.026666666666664</v>
      </c>
      <c r="H174" s="31">
        <v>1.9866666666666666</v>
      </c>
      <c r="I174" s="31">
        <v>71.891666666666666</v>
      </c>
      <c r="J174" s="31">
        <v>14.44</v>
      </c>
      <c r="K174" s="31">
        <v>0.98333333333333339</v>
      </c>
      <c r="L174" s="31">
        <v>26.808333333333334</v>
      </c>
      <c r="M174" s="31">
        <v>50.713333333333331</v>
      </c>
      <c r="N174" s="33">
        <v>0.25167746076200476</v>
      </c>
      <c r="O174" s="33">
        <v>0.32535246228563242</v>
      </c>
      <c r="P174" s="33">
        <v>0.36682420211214189</v>
      </c>
      <c r="Q174" s="33">
        <v>0.69217666439777426</v>
      </c>
      <c r="R174" s="31">
        <v>0</v>
      </c>
      <c r="S174" s="31" t="str">
        <f>VLOOKUP(A174,Rankings!B:D,3,FALSE)</f>
        <v>NL</v>
      </c>
    </row>
    <row r="175" spans="1:19" ht="18.600000000000001" customHeight="1">
      <c r="A175" s="26" t="s">
        <v>535</v>
      </c>
      <c r="B175" s="27" t="s">
        <v>114</v>
      </c>
      <c r="C175" s="121" t="s">
        <v>19</v>
      </c>
      <c r="D175" s="31">
        <v>299.33333333333331</v>
      </c>
      <c r="E175" s="31">
        <v>39.300000000000004</v>
      </c>
      <c r="F175" s="31">
        <v>12.18</v>
      </c>
      <c r="G175" s="31">
        <v>39.458888888888886</v>
      </c>
      <c r="H175" s="31">
        <v>0.99777777777777776</v>
      </c>
      <c r="I175" s="31">
        <v>67.467777777777783</v>
      </c>
      <c r="J175" s="31">
        <v>10.816666666666668</v>
      </c>
      <c r="K175" s="31">
        <v>6.6666666666666654E-3</v>
      </c>
      <c r="L175" s="31">
        <v>52.538888888888891</v>
      </c>
      <c r="M175" s="31">
        <v>78.447777777777773</v>
      </c>
      <c r="N175" s="33">
        <v>0.22539346696362289</v>
      </c>
      <c r="O175" s="33">
        <v>0.34896048757937764</v>
      </c>
      <c r="P175" s="33">
        <v>0.38364513734224204</v>
      </c>
      <c r="Q175" s="33">
        <v>0.73260562492161974</v>
      </c>
      <c r="R175" s="31">
        <v>0</v>
      </c>
      <c r="S175" s="31" t="str">
        <f>VLOOKUP(A175,Rankings!B:D,3,FALSE)</f>
        <v>AL</v>
      </c>
    </row>
    <row r="176" spans="1:19" ht="18.600000000000001" customHeight="1">
      <c r="A176" s="26" t="s">
        <v>523</v>
      </c>
      <c r="B176" s="27" t="s">
        <v>258</v>
      </c>
      <c r="C176" s="121" t="s">
        <v>19</v>
      </c>
      <c r="D176" s="31">
        <v>294.51111111111112</v>
      </c>
      <c r="E176" s="31">
        <v>35.380000000000003</v>
      </c>
      <c r="F176" s="31">
        <v>12.94</v>
      </c>
      <c r="G176" s="31">
        <v>40.30222222222222</v>
      </c>
      <c r="H176" s="31">
        <v>1.0016666666666667</v>
      </c>
      <c r="I176" s="31">
        <v>66.8611111111111</v>
      </c>
      <c r="J176" s="31">
        <v>12.661111111111111</v>
      </c>
      <c r="K176" s="31">
        <v>0.99888888888888883</v>
      </c>
      <c r="L176" s="31">
        <v>22.97111111111111</v>
      </c>
      <c r="M176" s="31">
        <v>93.828333333333333</v>
      </c>
      <c r="N176" s="33">
        <v>0.2270240700218818</v>
      </c>
      <c r="O176" s="33">
        <v>0.29387556410515697</v>
      </c>
      <c r="P176" s="33">
        <v>0.40860937146306486</v>
      </c>
      <c r="Q176" s="33">
        <v>0.70248493556822189</v>
      </c>
      <c r="R176" s="31">
        <v>0</v>
      </c>
      <c r="S176" s="31" t="str">
        <f>VLOOKUP(A176,Rankings!B:D,3,FALSE)</f>
        <v>AL</v>
      </c>
    </row>
    <row r="177" spans="1:19" ht="20.100000000000001" customHeight="1">
      <c r="A177" s="26" t="s">
        <v>510</v>
      </c>
      <c r="B177" s="27" t="s">
        <v>68</v>
      </c>
      <c r="C177" s="121" t="s">
        <v>19</v>
      </c>
      <c r="D177" s="31">
        <v>325.7</v>
      </c>
      <c r="E177" s="31">
        <v>34.452222222222225</v>
      </c>
      <c r="F177" s="31">
        <v>8.6588888888888889</v>
      </c>
      <c r="G177" s="31">
        <v>37.270000000000003</v>
      </c>
      <c r="H177" s="31">
        <v>1.9977777777777777</v>
      </c>
      <c r="I177" s="31">
        <v>77.141111111111115</v>
      </c>
      <c r="J177" s="31">
        <v>14.437777777777777</v>
      </c>
      <c r="K177" s="31">
        <v>1.0166666666666666</v>
      </c>
      <c r="L177" s="31">
        <v>15.234999999999999</v>
      </c>
      <c r="M177" s="31">
        <v>64.441111111111113</v>
      </c>
      <c r="N177" s="33">
        <v>0.23684713267151095</v>
      </c>
      <c r="O177" s="33">
        <v>0.2826800165670752</v>
      </c>
      <c r="P177" s="33">
        <v>0.36717497356121859</v>
      </c>
      <c r="Q177" s="33">
        <v>0.64985499012829373</v>
      </c>
      <c r="R177" s="31">
        <v>0</v>
      </c>
      <c r="S177" s="31" t="str">
        <f>VLOOKUP(A177,Rankings!B:D,3,FALSE)</f>
        <v>AL</v>
      </c>
    </row>
    <row r="178" spans="1:19" ht="18.600000000000001" customHeight="1">
      <c r="A178" s="26" t="s">
        <v>492</v>
      </c>
      <c r="B178" s="27" t="s">
        <v>84</v>
      </c>
      <c r="C178" s="121" t="s">
        <v>19</v>
      </c>
      <c r="D178" s="31">
        <v>269.88333333333338</v>
      </c>
      <c r="E178" s="31">
        <v>34.099999999999994</v>
      </c>
      <c r="F178" s="31">
        <v>9.5483333333333338</v>
      </c>
      <c r="G178" s="31">
        <v>34.543333333333337</v>
      </c>
      <c r="H178" s="31">
        <v>2.0066666666666668</v>
      </c>
      <c r="I178" s="31">
        <v>64.018333333333331</v>
      </c>
      <c r="J178" s="31">
        <v>11.826666666666668</v>
      </c>
      <c r="K178" s="31">
        <v>0.99888888888888883</v>
      </c>
      <c r="L178" s="31">
        <v>27.069999999999997</v>
      </c>
      <c r="M178" s="31">
        <v>61.422222222222217</v>
      </c>
      <c r="N178" s="33">
        <v>0.23720743531155433</v>
      </c>
      <c r="O178" s="33">
        <v>0.31651900138494327</v>
      </c>
      <c r="P178" s="33">
        <v>0.39456967002202592</v>
      </c>
      <c r="Q178" s="33">
        <v>0.71108867140696919</v>
      </c>
      <c r="R178" s="31">
        <v>0</v>
      </c>
      <c r="S178" s="31" t="str">
        <f>VLOOKUP(A178,Rankings!B:D,3,FALSE)</f>
        <v>AL</v>
      </c>
    </row>
    <row r="179" spans="1:19" ht="18.600000000000001" customHeight="1">
      <c r="A179" s="26" t="s">
        <v>519</v>
      </c>
      <c r="B179" s="27" t="s">
        <v>101</v>
      </c>
      <c r="C179" s="121" t="s">
        <v>19</v>
      </c>
      <c r="D179" s="31">
        <v>272.36666666666667</v>
      </c>
      <c r="E179" s="31">
        <v>31.075000000000003</v>
      </c>
      <c r="F179" s="31">
        <v>9.4466666666666672</v>
      </c>
      <c r="G179" s="31">
        <v>34.166666666666671</v>
      </c>
      <c r="H179" s="31">
        <v>3.0133333333333332</v>
      </c>
      <c r="I179" s="31">
        <v>64.99666666666667</v>
      </c>
      <c r="J179" s="31">
        <v>12.947777777777778</v>
      </c>
      <c r="K179" s="31">
        <v>0.125</v>
      </c>
      <c r="L179" s="31">
        <v>14.633333333333333</v>
      </c>
      <c r="M179" s="31">
        <v>71.036666666666676</v>
      </c>
      <c r="N179" s="33">
        <v>0.23863664178191166</v>
      </c>
      <c r="O179" s="33">
        <v>0.2888464132497261</v>
      </c>
      <c r="P179" s="33">
        <v>0.39114347489087425</v>
      </c>
      <c r="Q179" s="33">
        <v>0.67998988814060035</v>
      </c>
      <c r="R179" s="31">
        <v>0</v>
      </c>
      <c r="S179" s="31" t="str">
        <f>VLOOKUP(A179,Rankings!B:D,3,FALSE)</f>
        <v>AL</v>
      </c>
    </row>
    <row r="180" spans="1:19" ht="18.600000000000001" customHeight="1">
      <c r="A180" s="26" t="s">
        <v>503</v>
      </c>
      <c r="B180" s="27" t="s">
        <v>134</v>
      </c>
      <c r="C180" s="121" t="s">
        <v>19</v>
      </c>
      <c r="D180" s="31">
        <v>246.41666666666666</v>
      </c>
      <c r="E180" s="31">
        <v>31.11</v>
      </c>
      <c r="F180" s="31">
        <v>8.3849999999999998</v>
      </c>
      <c r="G180" s="31">
        <v>30.75888888888889</v>
      </c>
      <c r="H180" s="31">
        <v>4.0216666666666665</v>
      </c>
      <c r="I180" s="31">
        <v>59.524444444444441</v>
      </c>
      <c r="J180" s="31">
        <v>10.634444444444444</v>
      </c>
      <c r="K180" s="31">
        <v>0.99777777777777776</v>
      </c>
      <c r="L180" s="31">
        <v>20.013333333333332</v>
      </c>
      <c r="M180" s="31">
        <v>50.455555555555556</v>
      </c>
      <c r="N180" s="33">
        <v>0.24156013978130988</v>
      </c>
      <c r="O180" s="33">
        <v>0.30880145735898723</v>
      </c>
      <c r="P180" s="33">
        <v>0.39489798218915567</v>
      </c>
      <c r="Q180" s="33">
        <v>0.70369943954814285</v>
      </c>
      <c r="R180" s="31">
        <v>0</v>
      </c>
      <c r="S180" s="31" t="str">
        <f>VLOOKUP(A180,Rankings!B:D,3,FALSE)</f>
        <v>NL</v>
      </c>
    </row>
    <row r="181" spans="1:19" ht="18.600000000000001" customHeight="1">
      <c r="A181" s="26" t="s">
        <v>586</v>
      </c>
      <c r="B181" s="27" t="s">
        <v>217</v>
      </c>
      <c r="C181" s="121" t="s">
        <v>19</v>
      </c>
      <c r="D181" s="31">
        <v>331.13333333333333</v>
      </c>
      <c r="E181" s="31">
        <v>39.183333333333337</v>
      </c>
      <c r="F181" s="31">
        <v>11.226666666666667</v>
      </c>
      <c r="G181" s="31">
        <v>37.367777777777775</v>
      </c>
      <c r="H181" s="31">
        <v>2.0183333333333335</v>
      </c>
      <c r="I181" s="31">
        <v>73.366666666666674</v>
      </c>
      <c r="J181" s="31">
        <v>12.742222222222223</v>
      </c>
      <c r="K181" s="31">
        <v>0.99888888888888883</v>
      </c>
      <c r="L181" s="31">
        <v>26.228333333333328</v>
      </c>
      <c r="M181" s="31">
        <v>121.99666666666667</v>
      </c>
      <c r="N181" s="33">
        <v>0.22156231125427828</v>
      </c>
      <c r="O181" s="33">
        <v>0.28977746895561202</v>
      </c>
      <c r="P181" s="33">
        <v>0.36778739681900546</v>
      </c>
      <c r="Q181" s="33">
        <v>0.65756486577461748</v>
      </c>
      <c r="R181" s="31">
        <v>0</v>
      </c>
      <c r="S181" s="31" t="str">
        <f>VLOOKUP(A181,Rankings!B:D,3,FALSE)</f>
        <v>NL</v>
      </c>
    </row>
    <row r="182" spans="1:19" ht="18.600000000000001" customHeight="1">
      <c r="A182" s="26" t="s">
        <v>568</v>
      </c>
      <c r="B182" s="27" t="s">
        <v>120</v>
      </c>
      <c r="C182" s="121" t="s">
        <v>19</v>
      </c>
      <c r="D182" s="31">
        <v>288.55</v>
      </c>
      <c r="E182" s="31">
        <v>35.11333333333333</v>
      </c>
      <c r="F182" s="31">
        <v>9.4511111111111106</v>
      </c>
      <c r="G182" s="31">
        <v>35.979999999999997</v>
      </c>
      <c r="H182" s="31">
        <v>1.0049999999999999</v>
      </c>
      <c r="I182" s="31">
        <v>67.108333333333334</v>
      </c>
      <c r="J182" s="31">
        <v>14.038333333333334</v>
      </c>
      <c r="K182" s="31">
        <v>0.98333333333333339</v>
      </c>
      <c r="L182" s="31">
        <v>30.501666666666665</v>
      </c>
      <c r="M182" s="31">
        <v>66.587777777777774</v>
      </c>
      <c r="N182" s="33">
        <v>0.23257090047940854</v>
      </c>
      <c r="O182" s="33">
        <v>0.31569955805550443</v>
      </c>
      <c r="P182" s="33">
        <v>0.38629931265523015</v>
      </c>
      <c r="Q182" s="33">
        <v>0.70199887071073452</v>
      </c>
      <c r="R182" s="31">
        <v>0</v>
      </c>
      <c r="S182" s="31" t="str">
        <f>VLOOKUP(A182,Rankings!B:D,3,FALSE)</f>
        <v>NL</v>
      </c>
    </row>
    <row r="183" spans="1:19" ht="18.600000000000001" customHeight="1">
      <c r="A183" s="26" t="s">
        <v>564</v>
      </c>
      <c r="B183" s="27" t="s">
        <v>158</v>
      </c>
      <c r="C183" s="121" t="s">
        <v>19</v>
      </c>
      <c r="D183" s="31">
        <v>261.63333333333333</v>
      </c>
      <c r="E183" s="31">
        <v>28.738888888888891</v>
      </c>
      <c r="F183" s="31">
        <v>8.0116666666666667</v>
      </c>
      <c r="G183" s="31">
        <v>31.685555555555556</v>
      </c>
      <c r="H183" s="31">
        <v>1.0049999999999999</v>
      </c>
      <c r="I183" s="31">
        <v>64.565555555555548</v>
      </c>
      <c r="J183" s="31">
        <v>11.983333333333334</v>
      </c>
      <c r="K183" s="31">
        <v>0.9966666666666667</v>
      </c>
      <c r="L183" s="31">
        <v>13.945555555555556</v>
      </c>
      <c r="M183" s="31">
        <v>54.206666666666671</v>
      </c>
      <c r="N183" s="33">
        <v>0.24677878285981228</v>
      </c>
      <c r="O183" s="33">
        <v>0.29598481771220508</v>
      </c>
      <c r="P183" s="33">
        <v>0.39206480655709852</v>
      </c>
      <c r="Q183" s="33">
        <v>0.68804962426930361</v>
      </c>
      <c r="R183" s="31">
        <v>0</v>
      </c>
      <c r="S183" s="31" t="str">
        <f>VLOOKUP(A183,Rankings!B:D,3,FALSE)</f>
        <v>NL</v>
      </c>
    </row>
    <row r="184" spans="1:19" ht="18.600000000000001" customHeight="1">
      <c r="A184" s="26" t="s">
        <v>613</v>
      </c>
      <c r="B184" s="27" t="s">
        <v>101</v>
      </c>
      <c r="C184" s="121" t="s">
        <v>19</v>
      </c>
      <c r="D184" s="31">
        <v>281.37777777777779</v>
      </c>
      <c r="E184" s="31">
        <v>30.437777777777779</v>
      </c>
      <c r="F184" s="31">
        <v>6.9911111111111106</v>
      </c>
      <c r="G184" s="31">
        <v>32.853333333333332</v>
      </c>
      <c r="H184" s="31">
        <v>0.81</v>
      </c>
      <c r="I184" s="31">
        <v>67.397777777777776</v>
      </c>
      <c r="J184" s="31">
        <v>16.234444444444446</v>
      </c>
      <c r="K184" s="31">
        <v>0.99777777777777776</v>
      </c>
      <c r="L184" s="31">
        <v>13.615555555555554</v>
      </c>
      <c r="M184" s="31">
        <v>61.890000000000008</v>
      </c>
      <c r="N184" s="33">
        <v>0.23952772073921968</v>
      </c>
      <c r="O184" s="33">
        <v>0.2861896682362442</v>
      </c>
      <c r="P184" s="33">
        <v>0.37885405149265516</v>
      </c>
      <c r="Q184" s="33">
        <v>0.66504371972889942</v>
      </c>
      <c r="R184" s="31">
        <v>0</v>
      </c>
      <c r="S184" s="31" t="str">
        <f>VLOOKUP(A184,Rankings!B:D,3,FALSE)</f>
        <v>AL</v>
      </c>
    </row>
    <row r="185" spans="1:19" ht="18.600000000000001" customHeight="1">
      <c r="A185" s="26" t="s">
        <v>590</v>
      </c>
      <c r="B185" s="27" t="s">
        <v>137</v>
      </c>
      <c r="C185" s="121" t="s">
        <v>19</v>
      </c>
      <c r="D185" s="31">
        <v>198.10833333333335</v>
      </c>
      <c r="E185" s="31">
        <v>24.86</v>
      </c>
      <c r="F185" s="31">
        <v>6.05</v>
      </c>
      <c r="G185" s="31">
        <v>24.858333333333334</v>
      </c>
      <c r="H185" s="31">
        <v>1.02</v>
      </c>
      <c r="I185" s="31">
        <v>50.571666666666665</v>
      </c>
      <c r="J185" s="31">
        <v>12.891666666666666</v>
      </c>
      <c r="K185" s="31">
        <v>0.995</v>
      </c>
      <c r="L185" s="31">
        <v>16.62</v>
      </c>
      <c r="M185" s="31">
        <v>46.763333333333328</v>
      </c>
      <c r="N185" s="33">
        <v>0.25527278845749379</v>
      </c>
      <c r="O185" s="33">
        <v>0.32258692556615004</v>
      </c>
      <c r="P185" s="33">
        <v>0.42200816051823498</v>
      </c>
      <c r="Q185" s="33">
        <v>0.74459508608438507</v>
      </c>
      <c r="R185" s="31">
        <v>0</v>
      </c>
      <c r="S185" s="31" t="str">
        <f>VLOOKUP(A185,Rankings!B:D,3,FALSE)</f>
        <v>NL</v>
      </c>
    </row>
    <row r="186" spans="1:19" ht="18.600000000000001" customHeight="1">
      <c r="A186" s="26" t="s">
        <v>621</v>
      </c>
      <c r="B186" s="27" t="s">
        <v>76</v>
      </c>
      <c r="C186" s="121" t="s">
        <v>19</v>
      </c>
      <c r="D186" s="31">
        <v>296.40000000000003</v>
      </c>
      <c r="E186" s="31">
        <v>37.82833333333334</v>
      </c>
      <c r="F186" s="31">
        <v>16.693333333333332</v>
      </c>
      <c r="G186" s="31">
        <v>44.984999999999992</v>
      </c>
      <c r="H186" s="31">
        <v>0.64555555555555555</v>
      </c>
      <c r="I186" s="31">
        <v>57.980000000000011</v>
      </c>
      <c r="J186" s="31">
        <v>11.131666666666666</v>
      </c>
      <c r="K186" s="31">
        <v>0.99777777777777776</v>
      </c>
      <c r="L186" s="31">
        <v>23.883333333333329</v>
      </c>
      <c r="M186" s="31">
        <v>112.41222222222223</v>
      </c>
      <c r="N186" s="33">
        <v>0.19561403508771932</v>
      </c>
      <c r="O186" s="33">
        <v>0.26758880327397128</v>
      </c>
      <c r="P186" s="33">
        <v>0.40886377267956214</v>
      </c>
      <c r="Q186" s="33">
        <v>0.67645257595353336</v>
      </c>
      <c r="R186" s="31">
        <v>0</v>
      </c>
      <c r="S186" s="31" t="str">
        <f>VLOOKUP(A186,Rankings!B:D,3,FALSE)</f>
        <v>AL</v>
      </c>
    </row>
    <row r="187" spans="1:19" ht="18.600000000000001" customHeight="1">
      <c r="A187" s="26" t="s">
        <v>593</v>
      </c>
      <c r="B187" s="27" t="s">
        <v>63</v>
      </c>
      <c r="C187" s="121" t="s">
        <v>19</v>
      </c>
      <c r="D187" s="31">
        <v>240.06666666666669</v>
      </c>
      <c r="E187" s="31">
        <v>27.91333333333333</v>
      </c>
      <c r="F187" s="31">
        <v>7.0399999999999991</v>
      </c>
      <c r="G187" s="31">
        <v>29.551666666666666</v>
      </c>
      <c r="H187" s="31">
        <v>0.53333333333333333</v>
      </c>
      <c r="I187" s="31">
        <v>57.536666666666669</v>
      </c>
      <c r="J187" s="31">
        <v>10.668333333333331</v>
      </c>
      <c r="K187" s="31">
        <v>0.29249999999999998</v>
      </c>
      <c r="L187" s="31">
        <v>17.908333333333335</v>
      </c>
      <c r="M187" s="31">
        <v>55.185000000000002</v>
      </c>
      <c r="N187" s="33">
        <v>0.23966953623993334</v>
      </c>
      <c r="O187" s="33">
        <v>0.30302579328169221</v>
      </c>
      <c r="P187" s="33">
        <v>0.37452096639822269</v>
      </c>
      <c r="Q187" s="33">
        <v>0.67754675967991496</v>
      </c>
      <c r="R187" s="31">
        <v>0</v>
      </c>
      <c r="S187" s="31" t="str">
        <f>VLOOKUP(A187,Rankings!B:D,3,FALSE)</f>
        <v>NL</v>
      </c>
    </row>
    <row r="188" spans="1:19" ht="18.600000000000001" customHeight="1">
      <c r="A188" s="26" t="s">
        <v>626</v>
      </c>
      <c r="B188" s="27" t="s">
        <v>95</v>
      </c>
      <c r="C188" s="121" t="s">
        <v>19</v>
      </c>
      <c r="D188" s="31">
        <v>283.51111111111112</v>
      </c>
      <c r="E188" s="31">
        <v>31.786666666666665</v>
      </c>
      <c r="F188" s="31">
        <v>6.03</v>
      </c>
      <c r="G188" s="31">
        <v>30.906666666666666</v>
      </c>
      <c r="H188" s="31">
        <v>0.64666666666666661</v>
      </c>
      <c r="I188" s="31">
        <v>66.467777777777783</v>
      </c>
      <c r="J188" s="31">
        <v>11.492222222222223</v>
      </c>
      <c r="K188" s="31">
        <v>0.99555555555555564</v>
      </c>
      <c r="L188" s="31">
        <v>29.715</v>
      </c>
      <c r="M188" s="31">
        <v>65.248888888888885</v>
      </c>
      <c r="N188" s="33">
        <v>0.23444505408371219</v>
      </c>
      <c r="O188" s="33">
        <v>0.31679628557220074</v>
      </c>
      <c r="P188" s="33">
        <v>0.34581047186079328</v>
      </c>
      <c r="Q188" s="33">
        <v>0.66260675743299402</v>
      </c>
      <c r="R188" s="31">
        <v>0</v>
      </c>
      <c r="S188" s="31" t="str">
        <f>VLOOKUP(A188,Rankings!B:D,3,FALSE)</f>
        <v>NL</v>
      </c>
    </row>
    <row r="189" spans="1:19" ht="18.600000000000001" customHeight="1">
      <c r="A189" s="26" t="s">
        <v>618</v>
      </c>
      <c r="B189" s="27" t="s">
        <v>103</v>
      </c>
      <c r="C189" s="121" t="s">
        <v>19</v>
      </c>
      <c r="D189" s="31">
        <v>275.63333333333327</v>
      </c>
      <c r="E189" s="31">
        <v>29.516666666666666</v>
      </c>
      <c r="F189" s="31">
        <v>4.2716666666666665</v>
      </c>
      <c r="G189" s="31">
        <v>25.796666666666667</v>
      </c>
      <c r="H189" s="31">
        <v>1.1866666666666668</v>
      </c>
      <c r="I189" s="31">
        <v>67.087777777777774</v>
      </c>
      <c r="J189" s="31">
        <v>14.85</v>
      </c>
      <c r="K189" s="31">
        <v>1.0016666666666667</v>
      </c>
      <c r="L189" s="31">
        <v>17.889999999999997</v>
      </c>
      <c r="M189" s="31">
        <v>62.752222222222223</v>
      </c>
      <c r="N189" s="33">
        <v>0.24339500947313261</v>
      </c>
      <c r="O189" s="33">
        <v>0.30029602212438966</v>
      </c>
      <c r="P189" s="33">
        <v>0.35103196678356918</v>
      </c>
      <c r="Q189" s="33">
        <v>0.65132798890795884</v>
      </c>
      <c r="R189" s="31">
        <v>0</v>
      </c>
      <c r="S189" s="31" t="str">
        <f>VLOOKUP(A189,Rankings!B:D,3,FALSE)</f>
        <v>AL</v>
      </c>
    </row>
    <row r="190" spans="1:19" ht="18.600000000000001" customHeight="1">
      <c r="A190" s="26" t="s">
        <v>598</v>
      </c>
      <c r="B190" s="27" t="s">
        <v>134</v>
      </c>
      <c r="C190" s="121" t="s">
        <v>19</v>
      </c>
      <c r="D190" s="31">
        <v>327.21666666666664</v>
      </c>
      <c r="E190" s="31">
        <v>32.351666666666667</v>
      </c>
      <c r="F190" s="31">
        <v>5.6783333333333337</v>
      </c>
      <c r="G190" s="31">
        <v>34.00888888888889</v>
      </c>
      <c r="H190" s="31">
        <v>0.34333333333333343</v>
      </c>
      <c r="I190" s="31">
        <v>75.173333333333332</v>
      </c>
      <c r="J190" s="31">
        <v>14.081666666666665</v>
      </c>
      <c r="K190" s="31">
        <v>2.8333333333333332E-2</v>
      </c>
      <c r="L190" s="31">
        <v>30.796666666666667</v>
      </c>
      <c r="M190" s="31">
        <v>79.865555555555559</v>
      </c>
      <c r="N190" s="33">
        <v>0.22973564916212502</v>
      </c>
      <c r="O190" s="33">
        <v>0.30624833300058557</v>
      </c>
      <c r="P190" s="33">
        <v>0.32500382009881323</v>
      </c>
      <c r="Q190" s="33">
        <v>0.63125215309939886</v>
      </c>
      <c r="R190" s="31">
        <v>0</v>
      </c>
      <c r="S190" s="31" t="str">
        <f>VLOOKUP(A190,Rankings!B:D,3,FALSE)</f>
        <v>NL</v>
      </c>
    </row>
    <row r="191" spans="1:19" ht="18.600000000000001" customHeight="1">
      <c r="A191" s="26" t="s">
        <v>631</v>
      </c>
      <c r="B191" s="27" t="s">
        <v>103</v>
      </c>
      <c r="C191" s="121" t="s">
        <v>19</v>
      </c>
      <c r="D191" s="31">
        <v>202.14444444444447</v>
      </c>
      <c r="E191" s="31">
        <v>22.426666666666666</v>
      </c>
      <c r="F191" s="31">
        <v>5.9244444444444442</v>
      </c>
      <c r="G191" s="31">
        <v>25.034444444444443</v>
      </c>
      <c r="H191" s="31">
        <v>2.0183333333333335</v>
      </c>
      <c r="I191" s="31">
        <v>48.838888888888881</v>
      </c>
      <c r="J191" s="31">
        <v>9.3944444444444439</v>
      </c>
      <c r="K191" s="31">
        <v>0.87222222222222223</v>
      </c>
      <c r="L191" s="31">
        <v>9.7533333333333321</v>
      </c>
      <c r="M191" s="31">
        <v>69.040000000000006</v>
      </c>
      <c r="N191" s="33">
        <v>0.24160391359314015</v>
      </c>
      <c r="O191" s="33">
        <v>0.28799765303123726</v>
      </c>
      <c r="P191" s="33">
        <v>0.38463145165723067</v>
      </c>
      <c r="Q191" s="33">
        <v>0.67262910468846793</v>
      </c>
      <c r="R191" s="31">
        <v>0</v>
      </c>
      <c r="S191" s="31" t="str">
        <f>VLOOKUP(A191,Rankings!B:D,3,FALSE)</f>
        <v>AL</v>
      </c>
    </row>
    <row r="192" spans="1:19" ht="20.100000000000001" customHeight="1">
      <c r="A192" s="26" t="s">
        <v>646</v>
      </c>
      <c r="B192" s="27" t="s">
        <v>78</v>
      </c>
      <c r="C192" s="121" t="s">
        <v>19</v>
      </c>
      <c r="D192" s="31">
        <v>333.62222222222221</v>
      </c>
      <c r="E192" s="31">
        <v>37.735000000000007</v>
      </c>
      <c r="F192" s="31">
        <v>11.533333333333333</v>
      </c>
      <c r="G192" s="31">
        <v>38.473333333333336</v>
      </c>
      <c r="H192" s="31">
        <v>0.99888888888888883</v>
      </c>
      <c r="I192" s="31">
        <v>64.052222222222227</v>
      </c>
      <c r="J192" s="31">
        <v>11.826666666666668</v>
      </c>
      <c r="K192" s="31">
        <v>0.12666666666666665</v>
      </c>
      <c r="L192" s="31">
        <v>30.415555555555557</v>
      </c>
      <c r="M192" s="31">
        <v>112.50333333333333</v>
      </c>
      <c r="N192" s="33">
        <v>0.19199027509491776</v>
      </c>
      <c r="O192" s="33">
        <v>0.27122575486075307</v>
      </c>
      <c r="P192" s="33">
        <v>0.3319090121894358</v>
      </c>
      <c r="Q192" s="33">
        <v>0.60313476705018887</v>
      </c>
      <c r="R192" s="31">
        <v>0</v>
      </c>
      <c r="S192" s="31" t="str">
        <f>VLOOKUP(A192,Rankings!B:D,3,FALSE)</f>
        <v>AL</v>
      </c>
    </row>
    <row r="193" spans="1:19" ht="18.600000000000001" customHeight="1">
      <c r="A193" s="26" t="s">
        <v>655</v>
      </c>
      <c r="B193" s="27" t="s">
        <v>99</v>
      </c>
      <c r="C193" s="121" t="s">
        <v>19</v>
      </c>
      <c r="D193" s="31">
        <v>219.39999999999998</v>
      </c>
      <c r="E193" s="31">
        <v>24.647777777777776</v>
      </c>
      <c r="F193" s="31">
        <v>5.6750000000000007</v>
      </c>
      <c r="G193" s="31">
        <v>24.656666666666666</v>
      </c>
      <c r="H193" s="31">
        <v>1.9977777777777777</v>
      </c>
      <c r="I193" s="31">
        <v>50.888333333333343</v>
      </c>
      <c r="J193" s="31">
        <v>8.4450000000000003</v>
      </c>
      <c r="K193" s="31">
        <v>0.47333333333333333</v>
      </c>
      <c r="L193" s="31">
        <v>15.671666666666667</v>
      </c>
      <c r="M193" s="31">
        <v>63.917777777777779</v>
      </c>
      <c r="N193" s="33">
        <v>0.23194317836523859</v>
      </c>
      <c r="O193" s="33">
        <v>0.29412765332034174</v>
      </c>
      <c r="P193" s="33">
        <v>0.35234731084776671</v>
      </c>
      <c r="Q193" s="33">
        <v>0.64647496416810846</v>
      </c>
      <c r="R193" s="31">
        <v>0</v>
      </c>
      <c r="S193" s="31" t="str">
        <f>VLOOKUP(A193,Rankings!B:D,3,FALSE)</f>
        <v>AL</v>
      </c>
    </row>
    <row r="194" spans="1:19" ht="18.600000000000001" customHeight="1">
      <c r="A194" s="26" t="s">
        <v>644</v>
      </c>
      <c r="B194" s="27" t="s">
        <v>97</v>
      </c>
      <c r="C194" s="121" t="s">
        <v>19</v>
      </c>
      <c r="D194" s="31">
        <v>220.68333333333331</v>
      </c>
      <c r="E194" s="31">
        <v>25.308333333333334</v>
      </c>
      <c r="F194" s="31">
        <v>6.2133333333333338</v>
      </c>
      <c r="G194" s="31">
        <v>27.287777777777777</v>
      </c>
      <c r="H194" s="31">
        <v>1</v>
      </c>
      <c r="I194" s="31">
        <v>50.481666666666662</v>
      </c>
      <c r="J194" s="31">
        <v>9.431111111111111</v>
      </c>
      <c r="K194" s="31">
        <v>6.6666666666666654E-3</v>
      </c>
      <c r="L194" s="31">
        <v>23.663333333333338</v>
      </c>
      <c r="M194" s="31">
        <v>55.545555555555552</v>
      </c>
      <c r="N194" s="33">
        <v>0.22875160486368099</v>
      </c>
      <c r="O194" s="33">
        <v>0.313288078735528</v>
      </c>
      <c r="P194" s="33">
        <v>0.35601288925811247</v>
      </c>
      <c r="Q194" s="33">
        <v>0.66930096799364047</v>
      </c>
      <c r="R194" s="31">
        <v>0</v>
      </c>
      <c r="S194" s="31" t="str">
        <f>VLOOKUP(A194,Rankings!B:D,3,FALSE)</f>
        <v>NL</v>
      </c>
    </row>
    <row r="195" spans="1:19" ht="20.100000000000001" customHeight="1">
      <c r="A195" s="26" t="s">
        <v>643</v>
      </c>
      <c r="B195" s="27" t="s">
        <v>76</v>
      </c>
      <c r="C195" s="121" t="s">
        <v>19</v>
      </c>
      <c r="D195" s="31">
        <v>197</v>
      </c>
      <c r="E195" s="31">
        <v>25.076666666666668</v>
      </c>
      <c r="F195" s="31">
        <v>6.37</v>
      </c>
      <c r="G195" s="31">
        <v>24.546666666666667</v>
      </c>
      <c r="H195" s="31">
        <v>3.9777777777777779</v>
      </c>
      <c r="I195" s="31">
        <v>43.65</v>
      </c>
      <c r="J195" s="31">
        <v>9.3249999999999993</v>
      </c>
      <c r="K195" s="31">
        <v>0.99888888888888883</v>
      </c>
      <c r="L195" s="31">
        <v>22.373333333333335</v>
      </c>
      <c r="M195" s="31">
        <v>62.78</v>
      </c>
      <c r="N195" s="33">
        <v>0.2215736040609137</v>
      </c>
      <c r="O195" s="33">
        <v>0.31085196030465229</v>
      </c>
      <c r="P195" s="33">
        <v>0.37605470953186687</v>
      </c>
      <c r="Q195" s="33">
        <v>0.68690666983651916</v>
      </c>
      <c r="R195" s="31">
        <v>0</v>
      </c>
      <c r="S195" s="31" t="str">
        <f>VLOOKUP(A195,Rankings!B:D,3,FALSE)</f>
        <v>AL</v>
      </c>
    </row>
    <row r="196" spans="1:19" ht="20.100000000000001" customHeight="1">
      <c r="A196" s="26" t="s">
        <v>677</v>
      </c>
      <c r="B196" s="27" t="s">
        <v>156</v>
      </c>
      <c r="C196" s="121" t="s">
        <v>19</v>
      </c>
      <c r="D196" s="31">
        <v>219.78888888888889</v>
      </c>
      <c r="E196" s="31">
        <v>25.988888888888891</v>
      </c>
      <c r="F196" s="31">
        <v>8.5888888888888886</v>
      </c>
      <c r="G196" s="31">
        <v>28.24111111111111</v>
      </c>
      <c r="H196" s="31">
        <v>0.98999999999999988</v>
      </c>
      <c r="I196" s="31">
        <v>47.854444444444447</v>
      </c>
      <c r="J196" s="31">
        <v>9.7633333333333336</v>
      </c>
      <c r="K196" s="31">
        <v>0.9966666666666667</v>
      </c>
      <c r="L196" s="31">
        <v>20.935555555555556</v>
      </c>
      <c r="M196" s="31">
        <v>68.041111111111107</v>
      </c>
      <c r="N196" s="33">
        <v>0.21772913401749153</v>
      </c>
      <c r="O196" s="33">
        <v>0.29640978668249146</v>
      </c>
      <c r="P196" s="33">
        <v>0.38845356655376367</v>
      </c>
      <c r="Q196" s="33">
        <v>0.68486335323625513</v>
      </c>
      <c r="R196" s="31">
        <v>0</v>
      </c>
      <c r="S196" s="31" t="str">
        <f>VLOOKUP(A196,Rankings!B:D,3,FALSE)</f>
        <v>AL</v>
      </c>
    </row>
    <row r="197" spans="1:19" ht="18.600000000000001" customHeight="1">
      <c r="A197" s="26" t="s">
        <v>679</v>
      </c>
      <c r="B197" s="27" t="s">
        <v>176</v>
      </c>
      <c r="C197" s="121" t="s">
        <v>19</v>
      </c>
      <c r="D197" s="31">
        <v>199.48333333333335</v>
      </c>
      <c r="E197" s="31">
        <v>23.751111111111111</v>
      </c>
      <c r="F197" s="31">
        <v>6.554444444444445</v>
      </c>
      <c r="G197" s="31">
        <v>23.71777777777778</v>
      </c>
      <c r="H197" s="31">
        <v>0.99111111111111116</v>
      </c>
      <c r="I197" s="31">
        <v>45.776666666666664</v>
      </c>
      <c r="J197" s="31">
        <v>8.7688888888888883</v>
      </c>
      <c r="K197" s="31">
        <v>1</v>
      </c>
      <c r="L197" s="31">
        <v>14.441666666666668</v>
      </c>
      <c r="M197" s="31">
        <v>48.338888888888881</v>
      </c>
      <c r="N197" s="33">
        <v>0.22947614671234018</v>
      </c>
      <c r="O197" s="33">
        <v>0.29252985526881981</v>
      </c>
      <c r="P197" s="33">
        <v>0.38203135878798006</v>
      </c>
      <c r="Q197" s="33">
        <v>0.67456121405679981</v>
      </c>
      <c r="R197" s="31">
        <v>0</v>
      </c>
      <c r="S197" s="31" t="str">
        <f>VLOOKUP(A197,Rankings!B:D,3,FALSE)</f>
        <v>NL</v>
      </c>
    </row>
    <row r="198" spans="1:19" ht="18.600000000000001" customHeight="1">
      <c r="A198" s="26" t="s">
        <v>673</v>
      </c>
      <c r="B198" s="27" t="s">
        <v>68</v>
      </c>
      <c r="C198" s="121" t="s">
        <v>19</v>
      </c>
      <c r="D198" s="31">
        <v>203.93333333333331</v>
      </c>
      <c r="E198" s="31">
        <v>23.738888888888891</v>
      </c>
      <c r="F198" s="31">
        <v>9.2016666666666662</v>
      </c>
      <c r="G198" s="31">
        <v>27.72666666666667</v>
      </c>
      <c r="H198" s="31">
        <v>0.7122222222222222</v>
      </c>
      <c r="I198" s="31">
        <v>44.767777777777781</v>
      </c>
      <c r="J198" s="31">
        <v>8.9522222222222219</v>
      </c>
      <c r="K198" s="31">
        <v>6.6666666666666654E-3</v>
      </c>
      <c r="L198" s="31">
        <v>12.974444444444444</v>
      </c>
      <c r="M198" s="31">
        <v>54.373333333333335</v>
      </c>
      <c r="N198" s="33">
        <v>0.21952163016236248</v>
      </c>
      <c r="O198" s="33">
        <v>0.27795128965879567</v>
      </c>
      <c r="P198" s="33">
        <v>0.39884766263484805</v>
      </c>
      <c r="Q198" s="33">
        <v>0.67679895229364373</v>
      </c>
      <c r="R198" s="31">
        <v>0</v>
      </c>
      <c r="S198" s="31" t="str">
        <f>VLOOKUP(A198,Rankings!B:D,3,FALSE)</f>
        <v>AL</v>
      </c>
    </row>
    <row r="199" spans="1:19" ht="18.600000000000001" customHeight="1">
      <c r="A199" s="26" t="s">
        <v>663</v>
      </c>
      <c r="B199" s="27" t="s">
        <v>81</v>
      </c>
      <c r="C199" s="121" t="s">
        <v>19</v>
      </c>
      <c r="D199" s="31">
        <v>173.54444444444445</v>
      </c>
      <c r="E199" s="31">
        <v>24.516666666666666</v>
      </c>
      <c r="F199" s="31">
        <v>6.0066666666666668</v>
      </c>
      <c r="G199" s="31">
        <v>22.443333333333332</v>
      </c>
      <c r="H199" s="31">
        <v>2.0183333333333335</v>
      </c>
      <c r="I199" s="31">
        <v>39.541111111111114</v>
      </c>
      <c r="J199" s="31">
        <v>7.0133333333333328</v>
      </c>
      <c r="K199" s="31">
        <v>4.9999999999999992E-3</v>
      </c>
      <c r="L199" s="31">
        <v>20.153333333333332</v>
      </c>
      <c r="M199" s="31">
        <v>42.50888888888889</v>
      </c>
      <c r="N199" s="33">
        <v>0.22784429220820795</v>
      </c>
      <c r="O199" s="33">
        <v>0.3177704361932337</v>
      </c>
      <c r="P199" s="33">
        <v>0.37214930533324797</v>
      </c>
      <c r="Q199" s="33">
        <v>0.68991974152648172</v>
      </c>
      <c r="R199" s="31">
        <v>0</v>
      </c>
      <c r="S199" s="31" t="str">
        <f>VLOOKUP(A199,Rankings!B:D,3,FALSE)</f>
        <v>NL</v>
      </c>
    </row>
    <row r="200" spans="1:19" ht="18.600000000000001" customHeight="1">
      <c r="A200" s="26" t="s">
        <v>671</v>
      </c>
      <c r="B200" s="27" t="s">
        <v>158</v>
      </c>
      <c r="C200" s="121" t="s">
        <v>19</v>
      </c>
      <c r="D200" s="31">
        <v>282.18333333333334</v>
      </c>
      <c r="E200" s="31">
        <v>27.525555555555556</v>
      </c>
      <c r="F200" s="31">
        <v>4.5344444444444445</v>
      </c>
      <c r="G200" s="31">
        <v>26.555555555555557</v>
      </c>
      <c r="H200" s="31">
        <v>0.51444444444444448</v>
      </c>
      <c r="I200" s="31">
        <v>63.221111111111107</v>
      </c>
      <c r="J200" s="31">
        <v>11.486666666666666</v>
      </c>
      <c r="K200" s="31">
        <v>2.5000000000000005E-2</v>
      </c>
      <c r="L200" s="31">
        <v>25.838333333333335</v>
      </c>
      <c r="M200" s="31">
        <v>75.56</v>
      </c>
      <c r="N200" s="33">
        <v>0.22404268304687652</v>
      </c>
      <c r="O200" s="33">
        <v>0.29968213005515287</v>
      </c>
      <c r="P200" s="33">
        <v>0.31313369952552517</v>
      </c>
      <c r="Q200" s="33">
        <v>0.61281582958067804</v>
      </c>
      <c r="R200" s="31">
        <v>0</v>
      </c>
      <c r="S200" s="31" t="str">
        <f>VLOOKUP(A200,Rankings!B:D,3,FALSE)</f>
        <v>NL</v>
      </c>
    </row>
    <row r="201" spans="1:19" ht="18.600000000000001" customHeight="1">
      <c r="A201" s="26" t="s">
        <v>661</v>
      </c>
      <c r="B201" s="27" t="s">
        <v>84</v>
      </c>
      <c r="C201" s="121" t="s">
        <v>19</v>
      </c>
      <c r="D201" s="31">
        <v>258.61666666666667</v>
      </c>
      <c r="E201" s="31">
        <v>30.273333333333337</v>
      </c>
      <c r="F201" s="31">
        <v>8.6983333333333324</v>
      </c>
      <c r="G201" s="31">
        <v>29.096666666666668</v>
      </c>
      <c r="H201" s="31">
        <v>9.9999999999999985E-3</v>
      </c>
      <c r="I201" s="31">
        <v>54.275000000000006</v>
      </c>
      <c r="J201" s="31">
        <v>9.6749999999999989</v>
      </c>
      <c r="K201" s="31">
        <v>0.99777777777777776</v>
      </c>
      <c r="L201" s="31">
        <v>26.508333333333329</v>
      </c>
      <c r="M201" s="31">
        <v>85.49666666666667</v>
      </c>
      <c r="N201" s="33">
        <v>0.20986659792485662</v>
      </c>
      <c r="O201" s="33">
        <v>0.29400168990211878</v>
      </c>
      <c r="P201" s="33">
        <v>0.35589568430323731</v>
      </c>
      <c r="Q201" s="33">
        <v>0.64989737420535609</v>
      </c>
      <c r="R201" s="31">
        <v>0</v>
      </c>
      <c r="S201" s="31" t="str">
        <f>VLOOKUP(A201,Rankings!B:D,3,FALSE)</f>
        <v>AL</v>
      </c>
    </row>
    <row r="202" spans="1:19" ht="18.600000000000001" customHeight="1">
      <c r="A202" s="26" t="s">
        <v>642</v>
      </c>
      <c r="B202" s="27" t="s">
        <v>71</v>
      </c>
      <c r="C202" s="121" t="s">
        <v>19</v>
      </c>
      <c r="D202" s="31">
        <v>209.71666666666667</v>
      </c>
      <c r="E202" s="31">
        <v>25.515000000000001</v>
      </c>
      <c r="F202" s="31">
        <v>8.32</v>
      </c>
      <c r="G202" s="31">
        <v>26.621666666666666</v>
      </c>
      <c r="H202" s="31">
        <v>0.99888888888888883</v>
      </c>
      <c r="I202" s="31">
        <v>44.62166666666667</v>
      </c>
      <c r="J202" s="31">
        <v>8.4849999999999994</v>
      </c>
      <c r="K202" s="31">
        <v>2.3333333333333331E-2</v>
      </c>
      <c r="L202" s="31">
        <v>23.302222222222223</v>
      </c>
      <c r="M202" s="31">
        <v>72.55</v>
      </c>
      <c r="N202" s="33">
        <v>0.21277119923706589</v>
      </c>
      <c r="O202" s="33">
        <v>0.30177336771450419</v>
      </c>
      <c r="P202" s="33">
        <v>0.372470793928316</v>
      </c>
      <c r="Q202" s="33">
        <v>0.67424416164282019</v>
      </c>
      <c r="R202" s="31">
        <v>0</v>
      </c>
      <c r="S202" s="31" t="str">
        <f>VLOOKUP(A202,Rankings!B:D,3,FALSE)</f>
        <v>AL</v>
      </c>
    </row>
    <row r="203" spans="1:19" ht="18.600000000000001" customHeight="1">
      <c r="A203" s="26" t="s">
        <v>694</v>
      </c>
      <c r="B203" s="27" t="s">
        <v>103</v>
      </c>
      <c r="C203" s="121" t="s">
        <v>19</v>
      </c>
      <c r="D203" s="31">
        <v>135.64444444444445</v>
      </c>
      <c r="E203" s="31">
        <v>16.099999999999998</v>
      </c>
      <c r="F203" s="31">
        <v>3.9488888888888893</v>
      </c>
      <c r="G203" s="31">
        <v>16.957777777777778</v>
      </c>
      <c r="H203" s="31">
        <v>2.1583333333333332</v>
      </c>
      <c r="I203" s="31">
        <v>32.19</v>
      </c>
      <c r="J203" s="31">
        <v>6.8133333333333335</v>
      </c>
      <c r="K203" s="31">
        <v>1.0066666666666666</v>
      </c>
      <c r="L203" s="31">
        <v>8.9483333333333324</v>
      </c>
      <c r="M203" s="31">
        <v>39.541666666666664</v>
      </c>
      <c r="N203" s="33">
        <v>0.23731159895150719</v>
      </c>
      <c r="O203" s="33">
        <v>0.29549035554103859</v>
      </c>
      <c r="P203" s="33">
        <v>0.38971985583224117</v>
      </c>
      <c r="Q203" s="33">
        <v>0.68521021137327975</v>
      </c>
      <c r="R203" s="31">
        <v>0</v>
      </c>
      <c r="S203" s="31" t="str">
        <f>VLOOKUP(A203,Rankings!B:D,3,FALSE)</f>
        <v>AL</v>
      </c>
    </row>
    <row r="204" spans="1:19" ht="18.600000000000001" customHeight="1">
      <c r="A204" s="26" t="s">
        <v>690</v>
      </c>
      <c r="B204" s="27" t="s">
        <v>95</v>
      </c>
      <c r="C204" s="121" t="s">
        <v>19</v>
      </c>
      <c r="D204" s="31">
        <v>208.43333333333331</v>
      </c>
      <c r="E204" s="31">
        <v>21.361111111111111</v>
      </c>
      <c r="F204" s="31">
        <v>3.9877777777777776</v>
      </c>
      <c r="G204" s="31">
        <v>20.328888888888887</v>
      </c>
      <c r="H204" s="31">
        <v>0.99111111111111116</v>
      </c>
      <c r="I204" s="31">
        <v>47.202222222222225</v>
      </c>
      <c r="J204" s="31">
        <v>9.01</v>
      </c>
      <c r="K204" s="31">
        <v>2.5000000000000005E-2</v>
      </c>
      <c r="L204" s="31">
        <v>10.99</v>
      </c>
      <c r="M204" s="31">
        <v>55.322222222222223</v>
      </c>
      <c r="N204" s="33">
        <v>0.22646196492350343</v>
      </c>
      <c r="O204" s="33">
        <v>0.27710782524789057</v>
      </c>
      <c r="P204" s="33">
        <v>0.32732555040247352</v>
      </c>
      <c r="Q204" s="33">
        <v>0.60443337565036415</v>
      </c>
      <c r="R204" s="31">
        <v>0</v>
      </c>
      <c r="S204" s="31" t="str">
        <f>VLOOKUP(A204,Rankings!B:D,3,FALSE)</f>
        <v>NL</v>
      </c>
    </row>
    <row r="205" spans="1:19" ht="18.600000000000001" customHeight="1">
      <c r="A205" s="26" t="s">
        <v>693</v>
      </c>
      <c r="B205" s="27" t="s">
        <v>223</v>
      </c>
      <c r="C205" s="121" t="s">
        <v>19</v>
      </c>
      <c r="D205" s="31">
        <v>174.23333333333335</v>
      </c>
      <c r="E205" s="31">
        <v>20.921111111111113</v>
      </c>
      <c r="F205" s="31">
        <v>6.0533333333333337</v>
      </c>
      <c r="G205" s="31">
        <v>21.538888888888891</v>
      </c>
      <c r="H205" s="31">
        <v>3.6666666666666667E-2</v>
      </c>
      <c r="I205" s="31">
        <v>37.366666666666667</v>
      </c>
      <c r="J205" s="31">
        <v>7.0716666666666663</v>
      </c>
      <c r="K205" s="31">
        <v>6.6666666666666654E-3</v>
      </c>
      <c r="L205" s="31">
        <v>22.03833333333333</v>
      </c>
      <c r="M205" s="31">
        <v>59.417777777777779</v>
      </c>
      <c r="N205" s="33">
        <v>0.21446336330591159</v>
      </c>
      <c r="O205" s="33">
        <v>0.31238134587763428</v>
      </c>
      <c r="P205" s="33">
        <v>0.35935527070977613</v>
      </c>
      <c r="Q205" s="33">
        <v>0.67173661658741035</v>
      </c>
      <c r="R205" s="31">
        <v>0</v>
      </c>
      <c r="S205" s="31" t="str">
        <f>VLOOKUP(A205,Rankings!B:D,3,FALSE)</f>
        <v>NL</v>
      </c>
    </row>
    <row r="206" spans="1:19" ht="20.100000000000001" customHeight="1">
      <c r="A206" s="26" t="s">
        <v>697</v>
      </c>
      <c r="B206" s="27" t="s">
        <v>114</v>
      </c>
      <c r="C206" s="121" t="s">
        <v>19</v>
      </c>
      <c r="D206" s="31">
        <v>190.79999999999998</v>
      </c>
      <c r="E206" s="31">
        <v>21.504444444444445</v>
      </c>
      <c r="F206" s="31">
        <v>5.9833333333333334</v>
      </c>
      <c r="G206" s="31">
        <v>21.462222222222223</v>
      </c>
      <c r="H206" s="31">
        <v>1.1666666666666665E-2</v>
      </c>
      <c r="I206" s="31">
        <v>38.646666666666668</v>
      </c>
      <c r="J206" s="31">
        <v>8.85</v>
      </c>
      <c r="K206" s="31">
        <v>3.3333333333333327E-3</v>
      </c>
      <c r="L206" s="31">
        <v>18.05</v>
      </c>
      <c r="M206" s="31">
        <v>74.937777777777782</v>
      </c>
      <c r="N206" s="33">
        <v>0.20255066387141862</v>
      </c>
      <c r="O206" s="33">
        <v>0.28268854590162928</v>
      </c>
      <c r="P206" s="33">
        <v>0.34304682040531098</v>
      </c>
      <c r="Q206" s="33">
        <v>0.62573536630694027</v>
      </c>
      <c r="R206" s="31">
        <v>0</v>
      </c>
      <c r="S206" s="31" t="str">
        <f>VLOOKUP(A206,Rankings!B:D,3,FALSE)</f>
        <v>AL</v>
      </c>
    </row>
    <row r="207" spans="1:19" ht="18.600000000000001" customHeight="1">
      <c r="A207" s="26" t="s">
        <v>83</v>
      </c>
      <c r="B207" s="27" t="s">
        <v>84</v>
      </c>
      <c r="C207" s="122" t="s">
        <v>112</v>
      </c>
      <c r="D207" s="31">
        <v>540.06666666666672</v>
      </c>
      <c r="E207" s="31">
        <v>94.574444444444453</v>
      </c>
      <c r="F207" s="31">
        <v>34.213333333333331</v>
      </c>
      <c r="G207" s="31">
        <v>91.968333333333348</v>
      </c>
      <c r="H207" s="31">
        <v>20.004444444444445</v>
      </c>
      <c r="I207" s="31">
        <v>143.34444444444446</v>
      </c>
      <c r="J207" s="31">
        <v>27.008333333333336</v>
      </c>
      <c r="K207" s="31">
        <v>4.6944444444444438</v>
      </c>
      <c r="L207" s="31">
        <v>73.48</v>
      </c>
      <c r="M207" s="31">
        <v>159.73555555555555</v>
      </c>
      <c r="N207" s="33">
        <v>0.26541990700736534</v>
      </c>
      <c r="O207" s="33">
        <v>0.36109779960342447</v>
      </c>
      <c r="P207" s="33">
        <v>0.5228644611776323</v>
      </c>
      <c r="Q207" s="33">
        <v>0.88396226078105677</v>
      </c>
      <c r="R207" s="31">
        <v>0</v>
      </c>
      <c r="S207" s="31" t="str">
        <f>VLOOKUP(A207,Rankings!B:D,3,FALSE)</f>
        <v>AL</v>
      </c>
    </row>
    <row r="208" spans="1:19" ht="18.600000000000001" customHeight="1">
      <c r="A208" s="26" t="s">
        <v>312</v>
      </c>
      <c r="B208" s="27" t="s">
        <v>81</v>
      </c>
      <c r="C208" s="122" t="s">
        <v>112</v>
      </c>
      <c r="D208" s="31">
        <v>506.84444444444443</v>
      </c>
      <c r="E208" s="31">
        <v>70.541666666666657</v>
      </c>
      <c r="F208" s="31">
        <v>21.02</v>
      </c>
      <c r="G208" s="31">
        <v>76.62555555555555</v>
      </c>
      <c r="H208" s="31">
        <v>0.03</v>
      </c>
      <c r="I208" s="31">
        <v>131.40222222222221</v>
      </c>
      <c r="J208" s="31">
        <v>30.311666666666667</v>
      </c>
      <c r="K208" s="31">
        <v>1.1666666666666665</v>
      </c>
      <c r="L208" s="31">
        <v>49.076666666666661</v>
      </c>
      <c r="M208" s="31">
        <v>136.55444444444444</v>
      </c>
      <c r="N208" s="33">
        <v>0.25925552437741139</v>
      </c>
      <c r="O208" s="33">
        <v>0.33374854710378787</v>
      </c>
      <c r="P208" s="33">
        <v>0.44808071729217819</v>
      </c>
      <c r="Q208" s="33">
        <v>0.78182926439596612</v>
      </c>
      <c r="R208" s="31">
        <v>0</v>
      </c>
      <c r="S208" s="31" t="str">
        <f>VLOOKUP(A208,Rankings!B:D,3,FALSE)</f>
        <v>NL</v>
      </c>
    </row>
    <row r="209" spans="1:19" ht="18.600000000000001" customHeight="1">
      <c r="A209" s="26" t="s">
        <v>367</v>
      </c>
      <c r="B209" s="27" t="s">
        <v>91</v>
      </c>
      <c r="C209" s="122" t="s">
        <v>112</v>
      </c>
      <c r="D209" s="31">
        <v>278.78888888888889</v>
      </c>
      <c r="E209" s="31">
        <v>48.528888888888893</v>
      </c>
      <c r="F209" s="31">
        <v>15.516666666666666</v>
      </c>
      <c r="G209" s="31">
        <v>48.594444444444441</v>
      </c>
      <c r="H209" s="31">
        <v>7.9044444444444437</v>
      </c>
      <c r="I209" s="31">
        <v>77.691111111111113</v>
      </c>
      <c r="J209" s="31">
        <v>17.772222222222222</v>
      </c>
      <c r="K209" s="31">
        <v>0.9966666666666667</v>
      </c>
      <c r="L209" s="31">
        <v>44.917777777777779</v>
      </c>
      <c r="M209" s="31">
        <v>69.488888888888894</v>
      </c>
      <c r="N209" s="33">
        <v>0.27867362799410145</v>
      </c>
      <c r="O209" s="33">
        <v>0.38536141609331226</v>
      </c>
      <c r="P209" s="33">
        <v>0.51654378063847595</v>
      </c>
      <c r="Q209" s="33">
        <v>0.90190519673178815</v>
      </c>
      <c r="R209" s="31">
        <v>0</v>
      </c>
      <c r="S209" s="31" t="str">
        <f>VLOOKUP(A209,Rankings!B:D,3,FALSE)</f>
        <v>NL</v>
      </c>
    </row>
    <row r="210" spans="1:19" ht="20.100000000000001" customHeight="1">
      <c r="A210" s="26" t="s">
        <v>576</v>
      </c>
      <c r="B210" s="27" t="s">
        <v>63</v>
      </c>
      <c r="C210" s="122" t="s">
        <v>112</v>
      </c>
      <c r="D210" s="31">
        <v>321.04444444444442</v>
      </c>
      <c r="E210" s="31">
        <v>40.234444444444442</v>
      </c>
      <c r="F210" s="31">
        <v>12.683333333333332</v>
      </c>
      <c r="G210" s="31">
        <v>45.265555555555558</v>
      </c>
      <c r="H210" s="31">
        <v>1.9955555555555555</v>
      </c>
      <c r="I210" s="31">
        <v>77.248888888888885</v>
      </c>
      <c r="J210" s="31">
        <v>13.36</v>
      </c>
      <c r="K210" s="31">
        <v>6.6666666666666654E-3</v>
      </c>
      <c r="L210" s="31">
        <v>29.554444444444442</v>
      </c>
      <c r="M210" s="31">
        <v>84.166666666666671</v>
      </c>
      <c r="N210" s="33">
        <v>0.24061742922406038</v>
      </c>
      <c r="O210" s="33">
        <v>0.31456167002443836</v>
      </c>
      <c r="P210" s="33">
        <v>0.40079255208693848</v>
      </c>
      <c r="Q210" s="33">
        <v>0.71535422211137689</v>
      </c>
      <c r="R210" s="31">
        <v>0</v>
      </c>
      <c r="S210" s="31" t="str">
        <f>VLOOKUP(A210,Rankings!B:D,3,FALSE)</f>
        <v>NL</v>
      </c>
    </row>
    <row r="211" spans="1:19" ht="18.600000000000001" customHeight="1">
      <c r="A211" s="26" t="s">
        <v>698</v>
      </c>
      <c r="B211" s="27" t="s">
        <v>86</v>
      </c>
      <c r="C211" s="122" t="s">
        <v>112</v>
      </c>
      <c r="D211" s="31">
        <v>317.14444444444445</v>
      </c>
      <c r="E211" s="31">
        <v>42.712222222222216</v>
      </c>
      <c r="F211" s="31">
        <v>15.063333333333333</v>
      </c>
      <c r="G211" s="31">
        <v>43.987777777777779</v>
      </c>
      <c r="H211" s="31">
        <v>1.9922222222222221</v>
      </c>
      <c r="I211" s="31">
        <v>71.482222222222219</v>
      </c>
      <c r="J211" s="31">
        <v>14.708888888888888</v>
      </c>
      <c r="K211" s="31">
        <v>0.98444444444444434</v>
      </c>
      <c r="L211" s="31">
        <v>37.43888888888889</v>
      </c>
      <c r="M211" s="31">
        <v>99.720000000000013</v>
      </c>
      <c r="N211" s="33">
        <v>0.22539326629996845</v>
      </c>
      <c r="O211" s="33">
        <v>0.31679054105446786</v>
      </c>
      <c r="P211" s="33">
        <v>0.42047086851417159</v>
      </c>
      <c r="Q211" s="33">
        <v>0.73726140956863939</v>
      </c>
      <c r="R211" s="31">
        <v>0</v>
      </c>
      <c r="S211" s="31" t="str">
        <f>VLOOKUP(A211,Rankings!B:D,3,FALSE)</f>
        <v>AL</v>
      </c>
    </row>
    <row r="212" spans="1:19" ht="18.600000000000001" customHeight="1">
      <c r="A212" s="26" t="s">
        <v>696</v>
      </c>
      <c r="B212" s="27" t="s">
        <v>63</v>
      </c>
      <c r="C212" s="122" t="s">
        <v>112</v>
      </c>
      <c r="D212" s="31">
        <v>323.13333333333338</v>
      </c>
      <c r="E212" s="31">
        <v>44.568333333333335</v>
      </c>
      <c r="F212" s="31">
        <v>14.381666666666668</v>
      </c>
      <c r="G212" s="31">
        <v>46.699999999999996</v>
      </c>
      <c r="H212" s="31">
        <v>1.9988888888888889</v>
      </c>
      <c r="I212" s="31">
        <v>71.477777777777774</v>
      </c>
      <c r="J212" s="31">
        <v>16.051666666666666</v>
      </c>
      <c r="K212" s="31">
        <v>0.98777777777777775</v>
      </c>
      <c r="L212" s="31">
        <v>44.186666666666667</v>
      </c>
      <c r="M212" s="31">
        <v>102.28222222222223</v>
      </c>
      <c r="N212" s="33">
        <v>0.22120211814868299</v>
      </c>
      <c r="O212" s="33">
        <v>0.32405188740871094</v>
      </c>
      <c r="P212" s="33">
        <v>0.41051165669486278</v>
      </c>
      <c r="Q212" s="33">
        <v>0.73456354410357372</v>
      </c>
      <c r="R212" s="31">
        <v>0</v>
      </c>
      <c r="S212" s="31" t="str">
        <f>VLOOKUP(A212,Rankings!B:D,3,FALSE)</f>
        <v>NL</v>
      </c>
    </row>
    <row r="213" spans="1:19" ht="20.100000000000001" customHeight="1">
      <c r="A213" s="26" t="s">
        <v>700</v>
      </c>
      <c r="B213" s="27" t="s">
        <v>95</v>
      </c>
      <c r="C213" s="122" t="s">
        <v>112</v>
      </c>
      <c r="D213" s="31">
        <v>282.10833333333329</v>
      </c>
      <c r="E213" s="31">
        <v>38.846666666666664</v>
      </c>
      <c r="F213" s="31">
        <v>12.479999999999999</v>
      </c>
      <c r="G213" s="31">
        <v>40.227499999999999</v>
      </c>
      <c r="H213" s="31">
        <v>1.7499999999999998E-2</v>
      </c>
      <c r="I213" s="31">
        <v>63.498333333333328</v>
      </c>
      <c r="J213" s="31">
        <v>10.4925</v>
      </c>
      <c r="K213" s="31">
        <v>0.99333333333333329</v>
      </c>
      <c r="L213" s="31">
        <v>51.022500000000001</v>
      </c>
      <c r="M213" s="31">
        <v>81.986666666666665</v>
      </c>
      <c r="N213" s="33">
        <v>0.22508492600360383</v>
      </c>
      <c r="O213" s="33">
        <v>0.35154570275465119</v>
      </c>
      <c r="P213" s="33">
        <v>0.40203527013854018</v>
      </c>
      <c r="Q213" s="33">
        <v>0.75358097289319137</v>
      </c>
      <c r="R213" s="31">
        <v>0</v>
      </c>
      <c r="S213" s="31" t="str">
        <f>VLOOKUP(A213,Rankings!B:D,3,FALSE)</f>
        <v>NL</v>
      </c>
    </row>
    <row r="214" spans="1:19" ht="18.600000000000001" customHeight="1">
      <c r="A214" s="26" t="s">
        <v>686</v>
      </c>
      <c r="B214" s="27" t="s">
        <v>120</v>
      </c>
      <c r="C214" s="122" t="s">
        <v>112</v>
      </c>
      <c r="D214" s="31">
        <v>253.6</v>
      </c>
      <c r="E214" s="31">
        <v>32.30555555555555</v>
      </c>
      <c r="F214" s="31">
        <v>9.9283333333333346</v>
      </c>
      <c r="G214" s="31">
        <v>33.755555555555553</v>
      </c>
      <c r="H214" s="31">
        <v>2.0483333333333333</v>
      </c>
      <c r="I214" s="31">
        <v>59.023333333333333</v>
      </c>
      <c r="J214" s="31">
        <v>10.181111111111111</v>
      </c>
      <c r="K214" s="31">
        <v>1.3333333333333331E-2</v>
      </c>
      <c r="L214" s="31">
        <v>27.54111111111111</v>
      </c>
      <c r="M214" s="31">
        <v>78.8</v>
      </c>
      <c r="N214" s="33">
        <v>0.23274185068349107</v>
      </c>
      <c r="O214" s="33">
        <v>0.31756437007829164</v>
      </c>
      <c r="P214" s="33">
        <v>0.3904420785138451</v>
      </c>
      <c r="Q214" s="33">
        <v>0.70800644859213668</v>
      </c>
      <c r="R214" s="31">
        <v>0</v>
      </c>
      <c r="S214" s="31" t="str">
        <f>VLOOKUP(A214,Rankings!B:D,3,FALSE)</f>
        <v>NL</v>
      </c>
    </row>
    <row r="215" spans="1:19" ht="18.600000000000001" customHeight="1">
      <c r="A215" s="26" t="s">
        <v>656</v>
      </c>
      <c r="B215" s="27" t="s">
        <v>117</v>
      </c>
      <c r="C215" s="122" t="s">
        <v>112</v>
      </c>
      <c r="D215" s="31">
        <v>216.64444444444442</v>
      </c>
      <c r="E215" s="31">
        <v>27.254444444444445</v>
      </c>
      <c r="F215" s="31">
        <v>9.8488888888888884</v>
      </c>
      <c r="G215" s="31">
        <v>31.203333333333333</v>
      </c>
      <c r="H215" s="31">
        <v>1.0216666666666667</v>
      </c>
      <c r="I215" s="31">
        <v>51.932222222222229</v>
      </c>
      <c r="J215" s="31">
        <v>9.3655555555555559</v>
      </c>
      <c r="K215" s="31">
        <v>1.0116666666666667</v>
      </c>
      <c r="L215" s="31">
        <v>18.628888888888891</v>
      </c>
      <c r="M215" s="31">
        <v>69.45</v>
      </c>
      <c r="N215" s="33">
        <v>0.23971176530926255</v>
      </c>
      <c r="O215" s="33">
        <v>0.31008284505584754</v>
      </c>
      <c r="P215" s="33">
        <v>0.42866447840804189</v>
      </c>
      <c r="Q215" s="33">
        <v>0.73874732346388949</v>
      </c>
      <c r="R215" s="31">
        <v>0</v>
      </c>
      <c r="S215" s="31" t="str">
        <f>VLOOKUP(A215,Rankings!B:D,3,FALSE)</f>
        <v>NL</v>
      </c>
    </row>
    <row r="216" spans="1:19" ht="18.600000000000001" customHeight="1">
      <c r="A216" s="26" t="s">
        <v>703</v>
      </c>
      <c r="B216" s="27" t="s">
        <v>258</v>
      </c>
      <c r="C216" s="122" t="s">
        <v>112</v>
      </c>
      <c r="D216" s="31">
        <v>294.59999999999997</v>
      </c>
      <c r="E216" s="31">
        <v>28.406666666666666</v>
      </c>
      <c r="F216" s="31">
        <v>6.1983333333333333</v>
      </c>
      <c r="G216" s="31">
        <v>33.301666666666662</v>
      </c>
      <c r="H216" s="31">
        <v>0.9966666666666667</v>
      </c>
      <c r="I216" s="31">
        <v>71.331111111111113</v>
      </c>
      <c r="J216" s="31">
        <v>10.454444444444444</v>
      </c>
      <c r="K216" s="31">
        <v>2.5000000000000005E-2</v>
      </c>
      <c r="L216" s="31">
        <v>21.561666666666667</v>
      </c>
      <c r="M216" s="31">
        <v>72.587777777777774</v>
      </c>
      <c r="N216" s="33">
        <v>0.24212868673153809</v>
      </c>
      <c r="O216" s="33">
        <v>0.30434759144729034</v>
      </c>
      <c r="P216" s="33">
        <v>0.34090480500867476</v>
      </c>
      <c r="Q216" s="33">
        <v>0.6452523964559651</v>
      </c>
      <c r="R216" s="31">
        <v>0</v>
      </c>
      <c r="S216" s="31" t="str">
        <f>VLOOKUP(A216,Rankings!B:D,3,FALSE)</f>
        <v>AL</v>
      </c>
    </row>
    <row r="217" spans="1:19" ht="18.600000000000001" customHeight="1">
      <c r="A217" s="26" t="s">
        <v>704</v>
      </c>
      <c r="B217" s="27" t="s">
        <v>91</v>
      </c>
      <c r="C217" s="122" t="s">
        <v>112</v>
      </c>
      <c r="D217" s="31">
        <v>517.29999999999995</v>
      </c>
      <c r="E217" s="31">
        <v>65</v>
      </c>
      <c r="F217" s="31">
        <v>24.8</v>
      </c>
      <c r="G217" s="31">
        <v>75</v>
      </c>
      <c r="H217" s="31">
        <v>2.5</v>
      </c>
      <c r="I217" s="31">
        <v>116.2</v>
      </c>
      <c r="J217" s="31">
        <v>27</v>
      </c>
      <c r="K217" s="31">
        <v>0.3</v>
      </c>
      <c r="L217" s="31">
        <v>43.5</v>
      </c>
      <c r="M217" s="31">
        <v>152.30000000000001</v>
      </c>
      <c r="N217" s="33">
        <v>0.22456507731958766</v>
      </c>
      <c r="O217" s="33">
        <v>0.29536412879068946</v>
      </c>
      <c r="P217" s="33">
        <v>0.42070715206185572</v>
      </c>
      <c r="Q217" s="33">
        <v>0.71607128085254512</v>
      </c>
      <c r="R217" s="31">
        <v>0</v>
      </c>
      <c r="S217" s="31" t="str">
        <f>VLOOKUP(A217,Rankings!B:D,3,FALSE)</f>
        <v>NL</v>
      </c>
    </row>
    <row r="218" spans="1:19" ht="18.600000000000001" customHeight="1">
      <c r="A218" s="26" t="s">
        <v>724</v>
      </c>
      <c r="B218" s="27" t="s">
        <v>76</v>
      </c>
      <c r="C218" s="122" t="s">
        <v>112</v>
      </c>
      <c r="D218" s="31">
        <v>151.04999999999998</v>
      </c>
      <c r="E218" s="31">
        <v>18.596666666666668</v>
      </c>
      <c r="F218" s="31">
        <v>4.2850000000000001</v>
      </c>
      <c r="G218" s="31">
        <v>18.155000000000001</v>
      </c>
      <c r="H218" s="31">
        <v>1.9883333333333333</v>
      </c>
      <c r="I218" s="31">
        <v>36.661666666666669</v>
      </c>
      <c r="J218" s="31">
        <v>7.3649999999999993</v>
      </c>
      <c r="K218" s="31">
        <v>0.52666666666666673</v>
      </c>
      <c r="L218" s="31">
        <v>11.673333333333332</v>
      </c>
      <c r="M218" s="31">
        <v>40.32</v>
      </c>
      <c r="N218" s="33">
        <v>0.24271212622751853</v>
      </c>
      <c r="O218" s="33">
        <v>0.30740367320192685</v>
      </c>
      <c r="P218" s="33">
        <v>0.38354849387619999</v>
      </c>
      <c r="Q218" s="33">
        <v>0.6909521670781269</v>
      </c>
      <c r="R218" s="31">
        <v>0</v>
      </c>
      <c r="S218" s="31" t="str">
        <f>VLOOKUP(A218,Rankings!B:D,3,FALSE)</f>
        <v>AL</v>
      </c>
    </row>
    <row r="219" spans="1:19" ht="18.600000000000001" customHeight="1">
      <c r="A219" s="26" t="s">
        <v>722</v>
      </c>
      <c r="B219" s="27" t="s">
        <v>71</v>
      </c>
      <c r="C219" s="122" t="s">
        <v>112</v>
      </c>
      <c r="D219" s="31">
        <v>166.22499999999999</v>
      </c>
      <c r="E219" s="31">
        <v>19.057500000000001</v>
      </c>
      <c r="F219" s="31">
        <v>3.0425</v>
      </c>
      <c r="G219" s="31">
        <v>17</v>
      </c>
      <c r="H219" s="31">
        <v>4.7500000000000007E-2</v>
      </c>
      <c r="I219" s="31">
        <v>40.052500000000002</v>
      </c>
      <c r="J219" s="31">
        <v>8.0525000000000002</v>
      </c>
      <c r="K219" s="31">
        <v>7.4999999999999997E-3</v>
      </c>
      <c r="L219" s="31">
        <v>14.052500000000002</v>
      </c>
      <c r="M219" s="31">
        <v>26.858333333333334</v>
      </c>
      <c r="N219" s="33">
        <v>0.2409535268461423</v>
      </c>
      <c r="O219" s="33">
        <v>0.31029698527556476</v>
      </c>
      <c r="P219" s="33">
        <v>0.34439765378252374</v>
      </c>
      <c r="Q219" s="33">
        <v>0.65469463905808856</v>
      </c>
      <c r="R219" s="31">
        <v>0</v>
      </c>
      <c r="S219" s="31" t="str">
        <f>VLOOKUP(A219,Rankings!B:D,3,FALSE)</f>
        <v>AL</v>
      </c>
    </row>
    <row r="220" spans="1:19" ht="18.600000000000001" customHeight="1">
      <c r="A220" s="26" t="s">
        <v>67</v>
      </c>
      <c r="B220" s="27" t="s">
        <v>68</v>
      </c>
      <c r="C220" s="123" t="s">
        <v>23</v>
      </c>
      <c r="D220" s="31">
        <v>549.73333333333346</v>
      </c>
      <c r="E220" s="31">
        <v>107.43666666666667</v>
      </c>
      <c r="F220" s="31">
        <v>43.626666666666665</v>
      </c>
      <c r="G220" s="31">
        <v>107.72666666666667</v>
      </c>
      <c r="H220" s="31">
        <v>10.794444444444444</v>
      </c>
      <c r="I220" s="31">
        <v>155.29888888888888</v>
      </c>
      <c r="J220" s="31">
        <v>25.19</v>
      </c>
      <c r="K220" s="31">
        <v>0.98444444444444434</v>
      </c>
      <c r="L220" s="31">
        <v>90.714999999999989</v>
      </c>
      <c r="M220" s="31">
        <v>167.22777777777779</v>
      </c>
      <c r="N220" s="33">
        <v>0.28249858517260884</v>
      </c>
      <c r="O220" s="33">
        <v>0.39050294512297873</v>
      </c>
      <c r="P220" s="33">
        <v>0.56998140512571738</v>
      </c>
      <c r="Q220" s="33">
        <v>0.96048435024869616</v>
      </c>
      <c r="R220" s="31">
        <v>0</v>
      </c>
      <c r="S220" s="31" t="str">
        <f>VLOOKUP(A220,Rankings!B:D,3,FALSE)</f>
        <v>AL</v>
      </c>
    </row>
    <row r="221" spans="1:19" ht="18.600000000000001" customHeight="1">
      <c r="A221" s="26" t="s">
        <v>72</v>
      </c>
      <c r="B221" s="27" t="s">
        <v>73</v>
      </c>
      <c r="C221" s="123" t="s">
        <v>23</v>
      </c>
      <c r="D221" s="31">
        <v>545.31111111111113</v>
      </c>
      <c r="E221" s="31">
        <v>104.0188888888889</v>
      </c>
      <c r="F221" s="31">
        <v>28.273333333333337</v>
      </c>
      <c r="G221" s="31">
        <v>77.697777777777773</v>
      </c>
      <c r="H221" s="31">
        <v>37.214444444444446</v>
      </c>
      <c r="I221" s="31">
        <v>147.81777777777776</v>
      </c>
      <c r="J221" s="31">
        <v>29.803333333333331</v>
      </c>
      <c r="K221" s="31">
        <v>0.98777777777777775</v>
      </c>
      <c r="L221" s="31">
        <v>73.89</v>
      </c>
      <c r="M221" s="31">
        <v>148.89222222222222</v>
      </c>
      <c r="N221" s="33">
        <v>0.27107054077183257</v>
      </c>
      <c r="O221" s="33">
        <v>0.36558317789045652</v>
      </c>
      <c r="P221" s="33">
        <v>0.4848913973674559</v>
      </c>
      <c r="Q221" s="33">
        <v>0.85047457525791237</v>
      </c>
      <c r="R221" s="31">
        <v>0</v>
      </c>
      <c r="S221" s="31" t="str">
        <f>VLOOKUP(A221,Rankings!B:D,3,FALSE)</f>
        <v>NL</v>
      </c>
    </row>
    <row r="222" spans="1:19" ht="20.100000000000001" customHeight="1">
      <c r="A222" s="26" t="s">
        <v>77</v>
      </c>
      <c r="B222" s="27" t="s">
        <v>78</v>
      </c>
      <c r="C222" s="123" t="s">
        <v>23</v>
      </c>
      <c r="D222" s="31">
        <v>564.9666666666667</v>
      </c>
      <c r="E222" s="31">
        <v>90.084444444444443</v>
      </c>
      <c r="F222" s="31">
        <v>31.054999999999996</v>
      </c>
      <c r="G222" s="31">
        <v>97.835555555555558</v>
      </c>
      <c r="H222" s="31">
        <v>23.124444444444446</v>
      </c>
      <c r="I222" s="31">
        <v>155.57444444444445</v>
      </c>
      <c r="J222" s="31">
        <v>32.298888888888889</v>
      </c>
      <c r="K222" s="31">
        <v>3.0083333333333333</v>
      </c>
      <c r="L222" s="31">
        <v>58.136666666666663</v>
      </c>
      <c r="M222" s="31">
        <v>104.13444444444444</v>
      </c>
      <c r="N222" s="33">
        <v>0.27536924498987159</v>
      </c>
      <c r="O222" s="33">
        <v>0.35131202915188209</v>
      </c>
      <c r="P222" s="33">
        <v>0.50809192282730542</v>
      </c>
      <c r="Q222" s="33">
        <v>0.85940395197918751</v>
      </c>
      <c r="R222" s="31">
        <v>0</v>
      </c>
      <c r="S222" s="31" t="str">
        <f>VLOOKUP(A222,Rankings!B:D,3,FALSE)</f>
        <v>AL</v>
      </c>
    </row>
    <row r="223" spans="1:19" ht="18.600000000000001" customHeight="1">
      <c r="A223" s="26" t="s">
        <v>70</v>
      </c>
      <c r="B223" s="27" t="s">
        <v>71</v>
      </c>
      <c r="C223" s="123" t="s">
        <v>23</v>
      </c>
      <c r="D223" s="31">
        <v>574.6</v>
      </c>
      <c r="E223" s="31">
        <v>93.986666666666679</v>
      </c>
      <c r="F223" s="31">
        <v>28.706666666666667</v>
      </c>
      <c r="G223" s="31">
        <v>83.983333333333334</v>
      </c>
      <c r="H223" s="31">
        <v>26.801111111111112</v>
      </c>
      <c r="I223" s="31">
        <v>158.59444444444446</v>
      </c>
      <c r="J223" s="31">
        <v>30.045000000000002</v>
      </c>
      <c r="K223" s="31">
        <v>3.0150000000000001</v>
      </c>
      <c r="L223" s="31">
        <v>51.4</v>
      </c>
      <c r="M223" s="31">
        <v>153.61555555555557</v>
      </c>
      <c r="N223" s="33">
        <v>0.27600843098580657</v>
      </c>
      <c r="O223" s="33">
        <v>0.34418506581112801</v>
      </c>
      <c r="P223" s="33">
        <v>0.48866941253819085</v>
      </c>
      <c r="Q223" s="33">
        <v>0.83285447834931881</v>
      </c>
      <c r="R223" s="31">
        <v>0</v>
      </c>
      <c r="S223" s="31" t="str">
        <f>VLOOKUP(A223,Rankings!B:D,3,FALSE)</f>
        <v>AL</v>
      </c>
    </row>
    <row r="224" spans="1:19" ht="18.600000000000001" customHeight="1">
      <c r="A224" s="26" t="s">
        <v>80</v>
      </c>
      <c r="B224" s="27" t="s">
        <v>81</v>
      </c>
      <c r="C224" s="123" t="s">
        <v>23</v>
      </c>
      <c r="D224" s="31">
        <v>570.58333333333337</v>
      </c>
      <c r="E224" s="31">
        <v>106.55555555555556</v>
      </c>
      <c r="F224" s="31">
        <v>30.053333333333331</v>
      </c>
      <c r="G224" s="31">
        <v>85.688888888888883</v>
      </c>
      <c r="H224" s="31">
        <v>15.719999999999999</v>
      </c>
      <c r="I224" s="31">
        <v>155.16666666666666</v>
      </c>
      <c r="J224" s="31">
        <v>35.331666666666663</v>
      </c>
      <c r="K224" s="31">
        <v>2.9933333333333336</v>
      </c>
      <c r="L224" s="31">
        <v>66.781666666666652</v>
      </c>
      <c r="M224" s="31">
        <v>106.72444444444444</v>
      </c>
      <c r="N224" s="33">
        <v>0.27194391704396081</v>
      </c>
      <c r="O224" s="33">
        <v>0.35625674370435728</v>
      </c>
      <c r="P224" s="33">
        <v>0.50237184168248861</v>
      </c>
      <c r="Q224" s="33">
        <v>0.85862858538684583</v>
      </c>
      <c r="R224" s="31">
        <v>0</v>
      </c>
      <c r="S224" s="31" t="str">
        <f>VLOOKUP(A224,Rankings!B:D,3,FALSE)</f>
        <v>NL</v>
      </c>
    </row>
    <row r="225" spans="1:19" ht="18.600000000000001" customHeight="1">
      <c r="A225" s="26" t="s">
        <v>82</v>
      </c>
      <c r="B225" s="27" t="s">
        <v>63</v>
      </c>
      <c r="C225" s="123" t="s">
        <v>23</v>
      </c>
      <c r="D225" s="31">
        <v>520.69999999999993</v>
      </c>
      <c r="E225" s="31">
        <v>107.33666666666666</v>
      </c>
      <c r="F225" s="31">
        <v>30.106666666666669</v>
      </c>
      <c r="G225" s="31">
        <v>88.654444444444451</v>
      </c>
      <c r="H225" s="31">
        <v>9.9644444444444442</v>
      </c>
      <c r="I225" s="31">
        <v>146.57333333333335</v>
      </c>
      <c r="J225" s="31">
        <v>26.846666666666668</v>
      </c>
      <c r="K225" s="31">
        <v>2.0016666666666665</v>
      </c>
      <c r="L225" s="31">
        <v>133.07666666666668</v>
      </c>
      <c r="M225" s="31">
        <v>94.812222222222218</v>
      </c>
      <c r="N225" s="33">
        <v>0.2814928621727163</v>
      </c>
      <c r="O225" s="33">
        <v>0.43216770618783151</v>
      </c>
      <c r="P225" s="33">
        <v>0.5141988349017349</v>
      </c>
      <c r="Q225" s="33">
        <v>0.94636654108956642</v>
      </c>
      <c r="R225" s="31">
        <v>0</v>
      </c>
      <c r="S225" s="31" t="str">
        <f>VLOOKUP(A225,Rankings!B:D,3,FALSE)</f>
        <v>NL</v>
      </c>
    </row>
    <row r="226" spans="1:19" ht="18.600000000000001" customHeight="1">
      <c r="A226" s="26" t="s">
        <v>79</v>
      </c>
      <c r="B226" s="27" t="s">
        <v>78</v>
      </c>
      <c r="C226" s="123" t="s">
        <v>23</v>
      </c>
      <c r="D226" s="31">
        <v>516.41666666666674</v>
      </c>
      <c r="E226" s="31">
        <v>92.146666666666661</v>
      </c>
      <c r="F226" s="31">
        <v>35.196666666666665</v>
      </c>
      <c r="G226" s="31">
        <v>103.19333333333333</v>
      </c>
      <c r="H226" s="31">
        <v>1.518888888888889</v>
      </c>
      <c r="I226" s="31">
        <v>149.69166666666669</v>
      </c>
      <c r="J226" s="31">
        <v>30.634444444444444</v>
      </c>
      <c r="K226" s="31">
        <v>2.0033333333333334</v>
      </c>
      <c r="L226" s="31">
        <v>71.291666666666671</v>
      </c>
      <c r="M226" s="31">
        <v>124.31333333333333</v>
      </c>
      <c r="N226" s="33">
        <v>0.2898660642246248</v>
      </c>
      <c r="O226" s="33">
        <v>0.38283798446810374</v>
      </c>
      <c r="P226" s="33">
        <v>0.56141251143026194</v>
      </c>
      <c r="Q226" s="33">
        <v>0.94425049589836574</v>
      </c>
      <c r="R226" s="31">
        <v>0</v>
      </c>
      <c r="S226" s="31" t="str">
        <f>VLOOKUP(A226,Rankings!B:D,3,FALSE)</f>
        <v>AL</v>
      </c>
    </row>
    <row r="227" spans="1:19" ht="18.600000000000001" customHeight="1">
      <c r="A227" s="26" t="s">
        <v>89</v>
      </c>
      <c r="B227" s="27" t="s">
        <v>84</v>
      </c>
      <c r="C227" s="123" t="s">
        <v>23</v>
      </c>
      <c r="D227" s="31">
        <v>525.44444444444446</v>
      </c>
      <c r="E227" s="31">
        <v>98.410000000000011</v>
      </c>
      <c r="F227" s="31">
        <v>38.815555555555555</v>
      </c>
      <c r="G227" s="31">
        <v>94.399999999999991</v>
      </c>
      <c r="H227" s="31">
        <v>3.4188888888888886</v>
      </c>
      <c r="I227" s="31">
        <v>139.22999999999999</v>
      </c>
      <c r="J227" s="31">
        <v>28.387777777777774</v>
      </c>
      <c r="K227" s="31">
        <v>2.9888888888888889</v>
      </c>
      <c r="L227" s="31">
        <v>80.423333333333332</v>
      </c>
      <c r="M227" s="31">
        <v>166.88777777777776</v>
      </c>
      <c r="N227" s="33">
        <v>0.26497568196235988</v>
      </c>
      <c r="O227" s="33">
        <v>0.36979304100260962</v>
      </c>
      <c r="P227" s="33">
        <v>0.55199407908648757</v>
      </c>
      <c r="Q227" s="33">
        <v>0.92178712008909724</v>
      </c>
      <c r="R227" s="31">
        <v>0</v>
      </c>
      <c r="S227" s="31" t="str">
        <f>VLOOKUP(A227,Rankings!B:D,3,FALSE)</f>
        <v>AL</v>
      </c>
    </row>
    <row r="228" spans="1:19" ht="18.600000000000001" customHeight="1">
      <c r="A228" s="26" t="s">
        <v>100</v>
      </c>
      <c r="B228" s="27" t="s">
        <v>101</v>
      </c>
      <c r="C228" s="123" t="s">
        <v>23</v>
      </c>
      <c r="D228" s="31">
        <v>558.8888888888888</v>
      </c>
      <c r="E228" s="31">
        <v>81.336666666666659</v>
      </c>
      <c r="F228" s="31">
        <v>20.816666666666666</v>
      </c>
      <c r="G228" s="31">
        <v>77.534444444444446</v>
      </c>
      <c r="H228" s="31">
        <v>30.301111111111112</v>
      </c>
      <c r="I228" s="31">
        <v>143.99</v>
      </c>
      <c r="J228" s="31">
        <v>32.466666666666669</v>
      </c>
      <c r="K228" s="31">
        <v>2.9811111111111113</v>
      </c>
      <c r="L228" s="31">
        <v>49.945555555555558</v>
      </c>
      <c r="M228" s="31">
        <v>154.07888888888888</v>
      </c>
      <c r="N228" s="33">
        <v>0.25763618290258455</v>
      </c>
      <c r="O228" s="33">
        <v>0.32793829501600119</v>
      </c>
      <c r="P228" s="33">
        <v>0.43813518886679925</v>
      </c>
      <c r="Q228" s="33">
        <v>0.7660734838828005</v>
      </c>
      <c r="R228" s="31">
        <v>0</v>
      </c>
      <c r="S228" s="31" t="str">
        <f>VLOOKUP(A228,Rankings!B:D,3,FALSE)</f>
        <v>AL</v>
      </c>
    </row>
    <row r="229" spans="1:19" ht="18.600000000000001" customHeight="1">
      <c r="A229" s="26" t="s">
        <v>87</v>
      </c>
      <c r="B229" s="27" t="s">
        <v>73</v>
      </c>
      <c r="C229" s="123" t="s">
        <v>23</v>
      </c>
      <c r="D229" s="31">
        <v>546.61666666666667</v>
      </c>
      <c r="E229" s="31">
        <v>82.373333333333335</v>
      </c>
      <c r="F229" s="31">
        <v>19.105</v>
      </c>
      <c r="G229" s="31">
        <v>77.384444444444441</v>
      </c>
      <c r="H229" s="31">
        <v>23.040000000000003</v>
      </c>
      <c r="I229" s="31">
        <v>150.33000000000001</v>
      </c>
      <c r="J229" s="31">
        <v>33.271666666666668</v>
      </c>
      <c r="K229" s="31">
        <v>3.9822222222222226</v>
      </c>
      <c r="L229" s="31">
        <v>35.800000000000004</v>
      </c>
      <c r="M229" s="31">
        <v>133.52222222222221</v>
      </c>
      <c r="N229" s="33">
        <v>0.27501905662103243</v>
      </c>
      <c r="O229" s="33">
        <v>0.3291444341039127</v>
      </c>
      <c r="P229" s="33">
        <v>0.45531196959071463</v>
      </c>
      <c r="Q229" s="33">
        <v>0.78445640369462732</v>
      </c>
      <c r="R229" s="31">
        <v>0</v>
      </c>
      <c r="S229" s="31" t="str">
        <f>VLOOKUP(A229,Rankings!B:D,3,FALSE)</f>
        <v>NL</v>
      </c>
    </row>
    <row r="230" spans="1:19" ht="18.600000000000001" customHeight="1">
      <c r="A230" s="26" t="s">
        <v>98</v>
      </c>
      <c r="B230" s="27" t="s">
        <v>99</v>
      </c>
      <c r="C230" s="123" t="s">
        <v>23</v>
      </c>
      <c r="D230" s="31">
        <v>578.62222222222215</v>
      </c>
      <c r="E230" s="31">
        <v>85.883333333333326</v>
      </c>
      <c r="F230" s="31">
        <v>18.364444444444445</v>
      </c>
      <c r="G230" s="31">
        <v>63.31111111111111</v>
      </c>
      <c r="H230" s="31">
        <v>33.607777777777777</v>
      </c>
      <c r="I230" s="31">
        <v>148.26666666666668</v>
      </c>
      <c r="J230" s="31">
        <v>30.377777777777776</v>
      </c>
      <c r="K230" s="31">
        <v>4.0083333333333337</v>
      </c>
      <c r="L230" s="31">
        <v>48.16</v>
      </c>
      <c r="M230" s="31">
        <v>120.40444444444444</v>
      </c>
      <c r="N230" s="33">
        <v>0.25624087871572321</v>
      </c>
      <c r="O230" s="33">
        <v>0.3230479311813258</v>
      </c>
      <c r="P230" s="33">
        <v>0.41781050771948697</v>
      </c>
      <c r="Q230" s="33">
        <v>0.74085843890081282</v>
      </c>
      <c r="R230" s="31">
        <v>0</v>
      </c>
      <c r="S230" s="31" t="str">
        <f>VLOOKUP(A230,Rankings!B:D,3,FALSE)</f>
        <v>AL</v>
      </c>
    </row>
    <row r="231" spans="1:19" ht="18.600000000000001" customHeight="1">
      <c r="A231" s="26" t="s">
        <v>113</v>
      </c>
      <c r="B231" s="27" t="s">
        <v>114</v>
      </c>
      <c r="C231" s="123" t="s">
        <v>23</v>
      </c>
      <c r="D231" s="31">
        <v>523.38888888888891</v>
      </c>
      <c r="E231" s="31">
        <v>77.731111111111105</v>
      </c>
      <c r="F231" s="31">
        <v>21.74111111111111</v>
      </c>
      <c r="G231" s="31">
        <v>76.24166666666666</v>
      </c>
      <c r="H231" s="31">
        <v>16.132222222222222</v>
      </c>
      <c r="I231" s="31">
        <v>146.95555555555555</v>
      </c>
      <c r="J231" s="31">
        <v>30.507777777777779</v>
      </c>
      <c r="K231" s="31">
        <v>1.9544444444444444</v>
      </c>
      <c r="L231" s="31">
        <v>31.781111111111112</v>
      </c>
      <c r="M231" s="31">
        <v>117.05500000000001</v>
      </c>
      <c r="N231" s="33">
        <v>0.28077698758093617</v>
      </c>
      <c r="O231" s="33">
        <v>0.33145659428981739</v>
      </c>
      <c r="P231" s="33">
        <v>0.47115168241163358</v>
      </c>
      <c r="Q231" s="33">
        <v>0.80260827670145096</v>
      </c>
      <c r="R231" s="31">
        <v>0</v>
      </c>
      <c r="S231" s="31" t="str">
        <f>VLOOKUP(A231,Rankings!B:D,3,FALSE)</f>
        <v>AL</v>
      </c>
    </row>
    <row r="232" spans="1:19" ht="18.600000000000001" customHeight="1">
      <c r="A232" s="26" t="s">
        <v>125</v>
      </c>
      <c r="B232" s="27" t="s">
        <v>91</v>
      </c>
      <c r="C232" s="123" t="s">
        <v>23</v>
      </c>
      <c r="D232" s="31">
        <v>532.66666666666663</v>
      </c>
      <c r="E232" s="31">
        <v>91.433333333333337</v>
      </c>
      <c r="F232" s="31">
        <v>38.571111111111115</v>
      </c>
      <c r="G232" s="31">
        <v>92.534444444444446</v>
      </c>
      <c r="H232" s="31">
        <v>6</v>
      </c>
      <c r="I232" s="31">
        <v>124.77222222222223</v>
      </c>
      <c r="J232" s="31">
        <v>21.483333333333334</v>
      </c>
      <c r="K232" s="31">
        <v>1.9977777777777777</v>
      </c>
      <c r="L232" s="31">
        <v>78.856666666666669</v>
      </c>
      <c r="M232" s="31">
        <v>177.13777777777776</v>
      </c>
      <c r="N232" s="33">
        <v>0.23424071756362122</v>
      </c>
      <c r="O232" s="33">
        <v>0.34138132404571075</v>
      </c>
      <c r="P232" s="33">
        <v>0.49930746766791828</v>
      </c>
      <c r="Q232" s="33">
        <v>0.84068879171362898</v>
      </c>
      <c r="R232" s="31">
        <v>0</v>
      </c>
      <c r="S232" s="31" t="str">
        <f>VLOOKUP(A232,Rankings!B:D,3,FALSE)</f>
        <v>NL</v>
      </c>
    </row>
    <row r="233" spans="1:19" ht="18.600000000000001" customHeight="1">
      <c r="A233" s="26" t="s">
        <v>118</v>
      </c>
      <c r="B233" s="27" t="s">
        <v>94</v>
      </c>
      <c r="C233" s="123" t="s">
        <v>23</v>
      </c>
      <c r="D233" s="31">
        <v>520.48888888888894</v>
      </c>
      <c r="E233" s="31">
        <v>88.428333333333327</v>
      </c>
      <c r="F233" s="31">
        <v>26.612222222222226</v>
      </c>
      <c r="G233" s="31">
        <v>75.536666666666676</v>
      </c>
      <c r="H233" s="31">
        <v>11.483333333333334</v>
      </c>
      <c r="I233" s="31">
        <v>134.43555555555557</v>
      </c>
      <c r="J233" s="31">
        <v>24.78222222222222</v>
      </c>
      <c r="K233" s="31">
        <v>3.0150000000000001</v>
      </c>
      <c r="L233" s="31">
        <v>57.537777777777784</v>
      </c>
      <c r="M233" s="31">
        <v>114.75</v>
      </c>
      <c r="N233" s="33">
        <v>0.25828708052258559</v>
      </c>
      <c r="O233" s="33">
        <v>0.34081970235568265</v>
      </c>
      <c r="P233" s="33">
        <v>0.47087353769959861</v>
      </c>
      <c r="Q233" s="33">
        <v>0.81169324005528121</v>
      </c>
      <c r="R233" s="31">
        <v>0</v>
      </c>
      <c r="S233" s="31" t="str">
        <f>VLOOKUP(A233,Rankings!B:D,3,FALSE)</f>
        <v>AL</v>
      </c>
    </row>
    <row r="234" spans="1:19" ht="18.600000000000001" customHeight="1">
      <c r="A234" s="26" t="s">
        <v>136</v>
      </c>
      <c r="B234" s="27" t="s">
        <v>137</v>
      </c>
      <c r="C234" s="123" t="s">
        <v>23</v>
      </c>
      <c r="D234" s="31">
        <v>566.23333333333335</v>
      </c>
      <c r="E234" s="31">
        <v>85.64222222222223</v>
      </c>
      <c r="F234" s="31">
        <v>23.604444444444443</v>
      </c>
      <c r="G234" s="31">
        <v>79.525555555555556</v>
      </c>
      <c r="H234" s="31">
        <v>7.5588888888888883</v>
      </c>
      <c r="I234" s="31">
        <v>154.09888888888889</v>
      </c>
      <c r="J234" s="31">
        <v>29.262222222222221</v>
      </c>
      <c r="K234" s="31">
        <v>4.3600000000000003</v>
      </c>
      <c r="L234" s="31">
        <v>63.361666666666672</v>
      </c>
      <c r="M234" s="31">
        <v>136.6588888888889</v>
      </c>
      <c r="N234" s="33">
        <v>0.27214732834912975</v>
      </c>
      <c r="O234" s="33">
        <v>0.35357205221213261</v>
      </c>
      <c r="P234" s="33">
        <v>0.46428641510174445</v>
      </c>
      <c r="Q234" s="33">
        <v>0.81785846731387712</v>
      </c>
      <c r="R234" s="31">
        <v>0</v>
      </c>
      <c r="S234" s="31" t="str">
        <f>VLOOKUP(A234,Rankings!B:D,3,FALSE)</f>
        <v>NL</v>
      </c>
    </row>
    <row r="235" spans="1:19" ht="18.600000000000001" customHeight="1">
      <c r="A235" s="26" t="s">
        <v>108</v>
      </c>
      <c r="B235" s="27" t="s">
        <v>95</v>
      </c>
      <c r="C235" s="123" t="s">
        <v>23</v>
      </c>
      <c r="D235" s="31">
        <v>507.85000000000008</v>
      </c>
      <c r="E235" s="31">
        <v>77.123333333333335</v>
      </c>
      <c r="F235" s="31">
        <v>14.106666666666667</v>
      </c>
      <c r="G235" s="31">
        <v>61.598888888888894</v>
      </c>
      <c r="H235" s="31">
        <v>28.415555555555557</v>
      </c>
      <c r="I235" s="31">
        <v>137.72166666666666</v>
      </c>
      <c r="J235" s="31">
        <v>24.64222222222222</v>
      </c>
      <c r="K235" s="31">
        <v>3.7977777777777781</v>
      </c>
      <c r="L235" s="31">
        <v>34.144999999999996</v>
      </c>
      <c r="M235" s="31">
        <v>106.86888888888889</v>
      </c>
      <c r="N235" s="33">
        <v>0.27118571756752319</v>
      </c>
      <c r="O235" s="33">
        <v>0.32674778874975113</v>
      </c>
      <c r="P235" s="33">
        <v>0.41799634625272114</v>
      </c>
      <c r="Q235" s="33">
        <v>0.74474413500247227</v>
      </c>
      <c r="R235" s="31">
        <v>0</v>
      </c>
      <c r="S235" s="31" t="str">
        <f>VLOOKUP(A235,Rankings!B:D,3,FALSE)</f>
        <v>NL</v>
      </c>
    </row>
    <row r="236" spans="1:19" ht="18.600000000000001" customHeight="1">
      <c r="A236" s="26" t="s">
        <v>131</v>
      </c>
      <c r="B236" s="27" t="s">
        <v>71</v>
      </c>
      <c r="C236" s="123" t="s">
        <v>23</v>
      </c>
      <c r="D236" s="31">
        <v>545.86666666666667</v>
      </c>
      <c r="E236" s="31">
        <v>76.295555555555552</v>
      </c>
      <c r="F236" s="31">
        <v>28.312222222222221</v>
      </c>
      <c r="G236" s="31">
        <v>85.96</v>
      </c>
      <c r="H236" s="31">
        <v>10.381111111111112</v>
      </c>
      <c r="I236" s="31">
        <v>138.53555555555556</v>
      </c>
      <c r="J236" s="31">
        <v>28.048333333333332</v>
      </c>
      <c r="K236" s="31">
        <v>0.98777777777777775</v>
      </c>
      <c r="L236" s="31">
        <v>40.951666666666661</v>
      </c>
      <c r="M236" s="31">
        <v>166.23444444444445</v>
      </c>
      <c r="N236" s="33">
        <v>0.2537900993323563</v>
      </c>
      <c r="O236" s="33">
        <v>0.31589707186319671</v>
      </c>
      <c r="P236" s="33">
        <v>0.4643919964175216</v>
      </c>
      <c r="Q236" s="33">
        <v>0.78028906828071831</v>
      </c>
      <c r="R236" s="31">
        <v>0</v>
      </c>
      <c r="S236" s="31" t="str">
        <f>VLOOKUP(A236,Rankings!B:D,3,FALSE)</f>
        <v>AL</v>
      </c>
    </row>
    <row r="237" spans="1:19" ht="18.600000000000001" customHeight="1">
      <c r="A237" s="26" t="s">
        <v>130</v>
      </c>
      <c r="B237" s="27" t="s">
        <v>86</v>
      </c>
      <c r="C237" s="123" t="s">
        <v>23</v>
      </c>
      <c r="D237" s="31">
        <v>574.25555555555559</v>
      </c>
      <c r="E237" s="31">
        <v>75.667777777777772</v>
      </c>
      <c r="F237" s="31">
        <v>25.904444444444447</v>
      </c>
      <c r="G237" s="31">
        <v>82.88333333333334</v>
      </c>
      <c r="H237" s="31">
        <v>20.14777777777778</v>
      </c>
      <c r="I237" s="31">
        <v>134.57888888888888</v>
      </c>
      <c r="J237" s="31">
        <v>27.424444444444447</v>
      </c>
      <c r="K237" s="31">
        <v>3</v>
      </c>
      <c r="L237" s="31">
        <v>36.051666666666662</v>
      </c>
      <c r="M237" s="31">
        <v>179.42</v>
      </c>
      <c r="N237" s="33">
        <v>0.23435365594102509</v>
      </c>
      <c r="O237" s="33">
        <v>0.29079197675386353</v>
      </c>
      <c r="P237" s="33">
        <v>0.42788731304297356</v>
      </c>
      <c r="Q237" s="33">
        <v>0.71867928979683704</v>
      </c>
      <c r="R237" s="31">
        <v>0</v>
      </c>
      <c r="S237" s="31" t="str">
        <f>VLOOKUP(A237,Rankings!B:D,3,FALSE)</f>
        <v>AL</v>
      </c>
    </row>
    <row r="238" spans="1:19" ht="18.600000000000001" customHeight="1">
      <c r="A238" s="26" t="s">
        <v>149</v>
      </c>
      <c r="B238" s="27" t="s">
        <v>123</v>
      </c>
      <c r="C238" s="123" t="s">
        <v>23</v>
      </c>
      <c r="D238" s="31">
        <v>492.21111111111105</v>
      </c>
      <c r="E238" s="31">
        <v>76.646666666666661</v>
      </c>
      <c r="F238" s="31">
        <v>25.263333333333332</v>
      </c>
      <c r="G238" s="31">
        <v>75.276666666666671</v>
      </c>
      <c r="H238" s="31">
        <v>17.302222222222223</v>
      </c>
      <c r="I238" s="31">
        <v>120.75555555555555</v>
      </c>
      <c r="J238" s="31">
        <v>21.99111111111111</v>
      </c>
      <c r="K238" s="31">
        <v>1.9822222222222223</v>
      </c>
      <c r="L238" s="31">
        <v>45.763333333333328</v>
      </c>
      <c r="M238" s="31">
        <v>156.98333333333332</v>
      </c>
      <c r="N238" s="33">
        <v>0.24533285175737601</v>
      </c>
      <c r="O238" s="33">
        <v>0.31925820783118342</v>
      </c>
      <c r="P238" s="33">
        <v>0.45204406420009485</v>
      </c>
      <c r="Q238" s="33">
        <v>0.77130227203127832</v>
      </c>
      <c r="R238" s="31">
        <v>0</v>
      </c>
      <c r="S238" s="31" t="str">
        <f>VLOOKUP(A238,Rankings!B:D,3,FALSE)</f>
        <v>NL</v>
      </c>
    </row>
    <row r="239" spans="1:19" ht="18.600000000000001" customHeight="1">
      <c r="A239" s="26" t="s">
        <v>135</v>
      </c>
      <c r="B239" s="27" t="s">
        <v>114</v>
      </c>
      <c r="C239" s="123" t="s">
        <v>23</v>
      </c>
      <c r="D239" s="31">
        <v>524.8555555555555</v>
      </c>
      <c r="E239" s="31">
        <v>72.364444444444445</v>
      </c>
      <c r="F239" s="31">
        <v>27.771111111111111</v>
      </c>
      <c r="G239" s="31">
        <v>87.802222222222213</v>
      </c>
      <c r="H239" s="31">
        <v>2.8333333333333332E-2</v>
      </c>
      <c r="I239" s="31">
        <v>142.11111111111111</v>
      </c>
      <c r="J239" s="31">
        <v>25.674444444444447</v>
      </c>
      <c r="K239" s="31">
        <v>0.98555555555555552</v>
      </c>
      <c r="L239" s="31">
        <v>43.614444444444445</v>
      </c>
      <c r="M239" s="31">
        <v>131.26666666666668</v>
      </c>
      <c r="N239" s="33">
        <v>0.27076232614264245</v>
      </c>
      <c r="O239" s="33">
        <v>0.33583990306253964</v>
      </c>
      <c r="P239" s="33">
        <v>0.48217075597518905</v>
      </c>
      <c r="Q239" s="33">
        <v>0.81801065903772874</v>
      </c>
      <c r="R239" s="31">
        <v>0</v>
      </c>
      <c r="S239" s="31" t="str">
        <f>VLOOKUP(A239,Rankings!B:D,3,FALSE)</f>
        <v>AL</v>
      </c>
    </row>
    <row r="240" spans="1:19" ht="18.600000000000001" customHeight="1">
      <c r="A240" s="26" t="s">
        <v>155</v>
      </c>
      <c r="B240" s="27" t="s">
        <v>156</v>
      </c>
      <c r="C240" s="123" t="s">
        <v>23</v>
      </c>
      <c r="D240" s="31">
        <v>475.73666666666662</v>
      </c>
      <c r="E240" s="31">
        <v>79.63133333333333</v>
      </c>
      <c r="F240" s="31">
        <v>30.47</v>
      </c>
      <c r="G240" s="31">
        <v>72.073333333333338</v>
      </c>
      <c r="H240" s="31">
        <v>11.058</v>
      </c>
      <c r="I240" s="31">
        <v>116.31733333333334</v>
      </c>
      <c r="J240" s="31">
        <v>26.597333333333335</v>
      </c>
      <c r="K240" s="31">
        <v>3.028</v>
      </c>
      <c r="L240" s="31">
        <v>39.266666666666673</v>
      </c>
      <c r="M240" s="31">
        <v>149.94133333333335</v>
      </c>
      <c r="N240" s="33">
        <v>0.2444994079357628</v>
      </c>
      <c r="O240" s="33">
        <v>0.31221817927151635</v>
      </c>
      <c r="P240" s="33">
        <v>0.50528093272889063</v>
      </c>
      <c r="Q240" s="33">
        <v>0.81749911200040692</v>
      </c>
      <c r="R240" s="31">
        <v>0</v>
      </c>
      <c r="S240" s="31" t="str">
        <f>VLOOKUP(A240,Rankings!B:D,3,FALSE)</f>
        <v>AL</v>
      </c>
    </row>
    <row r="241" spans="1:19" ht="20.100000000000001" customHeight="1">
      <c r="A241" s="26" t="s">
        <v>119</v>
      </c>
      <c r="B241" s="27" t="s">
        <v>120</v>
      </c>
      <c r="C241" s="123" t="s">
        <v>23</v>
      </c>
      <c r="D241" s="31">
        <v>506.77777777777777</v>
      </c>
      <c r="E241" s="31">
        <v>70.595555555555549</v>
      </c>
      <c r="F241" s="31">
        <v>11.888333333333334</v>
      </c>
      <c r="G241" s="31">
        <v>60.103333333333332</v>
      </c>
      <c r="H241" s="31">
        <v>29.540000000000003</v>
      </c>
      <c r="I241" s="31">
        <v>131.2788888888889</v>
      </c>
      <c r="J241" s="31">
        <v>25.47666666666667</v>
      </c>
      <c r="K241" s="31">
        <v>5.97</v>
      </c>
      <c r="L241" s="31">
        <v>41.61333333333333</v>
      </c>
      <c r="M241" s="31">
        <v>125.36333333333334</v>
      </c>
      <c r="N241" s="33">
        <v>0.25904626178469636</v>
      </c>
      <c r="O241" s="33">
        <v>0.32486507358340638</v>
      </c>
      <c r="P241" s="33">
        <v>0.40325476869107657</v>
      </c>
      <c r="Q241" s="33">
        <v>0.72811984227448301</v>
      </c>
      <c r="R241" s="31">
        <v>0</v>
      </c>
      <c r="S241" s="31" t="str">
        <f>VLOOKUP(A241,Rankings!B:D,3,FALSE)</f>
        <v>NL</v>
      </c>
    </row>
    <row r="242" spans="1:19" ht="18.600000000000001" customHeight="1">
      <c r="A242" s="26" t="s">
        <v>165</v>
      </c>
      <c r="B242" s="27" t="s">
        <v>97</v>
      </c>
      <c r="C242" s="123" t="s">
        <v>23</v>
      </c>
      <c r="D242" s="31">
        <v>535.93333333333328</v>
      </c>
      <c r="E242" s="31">
        <v>87.176666666666662</v>
      </c>
      <c r="F242" s="31">
        <v>17.713333333333335</v>
      </c>
      <c r="G242" s="31">
        <v>63.00333333333333</v>
      </c>
      <c r="H242" s="31">
        <v>17.426666666666666</v>
      </c>
      <c r="I242" s="31">
        <v>134.46333333333334</v>
      </c>
      <c r="J242" s="31">
        <v>25.79111111111111</v>
      </c>
      <c r="K242" s="31">
        <v>2.9988888888888887</v>
      </c>
      <c r="L242" s="31">
        <v>83.465000000000003</v>
      </c>
      <c r="M242" s="31">
        <v>150.72555555555556</v>
      </c>
      <c r="N242" s="33">
        <v>0.25089563378529672</v>
      </c>
      <c r="O242" s="33">
        <v>0.35947343394045006</v>
      </c>
      <c r="P242" s="33">
        <v>0.40936476344487299</v>
      </c>
      <c r="Q242" s="33">
        <v>0.76883819738532311</v>
      </c>
      <c r="R242" s="31">
        <v>0</v>
      </c>
      <c r="S242" s="31" t="str">
        <f>VLOOKUP(A242,Rankings!B:D,3,FALSE)</f>
        <v>NL</v>
      </c>
    </row>
    <row r="243" spans="1:19" ht="18.600000000000001" customHeight="1">
      <c r="A243" s="26" t="s">
        <v>168</v>
      </c>
      <c r="B243" s="27" t="s">
        <v>84</v>
      </c>
      <c r="C243" s="123" t="s">
        <v>23</v>
      </c>
      <c r="D243" s="31">
        <v>522.01111111111106</v>
      </c>
      <c r="E243" s="31">
        <v>82.798333333333332</v>
      </c>
      <c r="F243" s="31">
        <v>21.784444444444443</v>
      </c>
      <c r="G243" s="31">
        <v>69.053333333333327</v>
      </c>
      <c r="H243" s="31">
        <v>6.9766666666666666</v>
      </c>
      <c r="I243" s="31">
        <v>137.22333333333333</v>
      </c>
      <c r="J243" s="31">
        <v>28.463333333333335</v>
      </c>
      <c r="K243" s="31">
        <v>2.0016666666666665</v>
      </c>
      <c r="L243" s="31">
        <v>61.426666666666669</v>
      </c>
      <c r="M243" s="31">
        <v>132.59333333333333</v>
      </c>
      <c r="N243" s="33">
        <v>0.26287435346203786</v>
      </c>
      <c r="O243" s="33">
        <v>0.34880608719188771</v>
      </c>
      <c r="P243" s="33">
        <v>0.45026500074498199</v>
      </c>
      <c r="Q243" s="33">
        <v>0.79907108793686965</v>
      </c>
      <c r="R243" s="31">
        <v>0</v>
      </c>
      <c r="S243" s="31" t="str">
        <f>VLOOKUP(A243,Rankings!B:D,3,FALSE)</f>
        <v>AL</v>
      </c>
    </row>
    <row r="244" spans="1:19" ht="18.600000000000001" customHeight="1">
      <c r="A244" s="26" t="s">
        <v>166</v>
      </c>
      <c r="B244" s="27" t="s">
        <v>99</v>
      </c>
      <c r="C244" s="123" t="s">
        <v>23</v>
      </c>
      <c r="D244" s="31">
        <v>562.93333333333328</v>
      </c>
      <c r="E244" s="31">
        <v>75.468888888888884</v>
      </c>
      <c r="F244" s="31">
        <v>28.612222222222226</v>
      </c>
      <c r="G244" s="31">
        <v>87.884444444444441</v>
      </c>
      <c r="H244" s="31">
        <v>1.6422222222222222</v>
      </c>
      <c r="I244" s="31">
        <v>138.94</v>
      </c>
      <c r="J244" s="31">
        <v>28.935555555555556</v>
      </c>
      <c r="K244" s="31">
        <v>0.9966666666666667</v>
      </c>
      <c r="L244" s="31">
        <v>44.941666666666663</v>
      </c>
      <c r="M244" s="31">
        <v>122.68777777777778</v>
      </c>
      <c r="N244" s="33">
        <v>0.24681430601610613</v>
      </c>
      <c r="O244" s="33">
        <v>0.31262288635469915</v>
      </c>
      <c r="P244" s="33">
        <v>0.45423772303805471</v>
      </c>
      <c r="Q244" s="33">
        <v>0.76686060939275391</v>
      </c>
      <c r="R244" s="31">
        <v>0</v>
      </c>
      <c r="S244" s="31" t="str">
        <f>VLOOKUP(A244,Rankings!B:D,3,FALSE)</f>
        <v>AL</v>
      </c>
    </row>
    <row r="245" spans="1:19" ht="18.600000000000001" customHeight="1">
      <c r="A245" s="26" t="s">
        <v>141</v>
      </c>
      <c r="B245" s="27" t="s">
        <v>76</v>
      </c>
      <c r="C245" s="123" t="s">
        <v>23</v>
      </c>
      <c r="D245" s="31">
        <v>543.69999999999993</v>
      </c>
      <c r="E245" s="31">
        <v>82.093333333333334</v>
      </c>
      <c r="F245" s="31">
        <v>8.3466666666666658</v>
      </c>
      <c r="G245" s="31">
        <v>55.471111111111107</v>
      </c>
      <c r="H245" s="31">
        <v>16.741111111111113</v>
      </c>
      <c r="I245" s="31">
        <v>154.01444444444445</v>
      </c>
      <c r="J245" s="31">
        <v>27.492222222222221</v>
      </c>
      <c r="K245" s="31">
        <v>5.0383333333333331</v>
      </c>
      <c r="L245" s="31">
        <v>57.926666666666669</v>
      </c>
      <c r="M245" s="31">
        <v>63.238888888888887</v>
      </c>
      <c r="N245" s="33">
        <v>0.28327100320846876</v>
      </c>
      <c r="O245" s="33">
        <v>0.36022372247225903</v>
      </c>
      <c r="P245" s="33">
        <v>0.39842437618784876</v>
      </c>
      <c r="Q245" s="33">
        <v>0.75864809866010785</v>
      </c>
      <c r="R245" s="31">
        <v>0</v>
      </c>
      <c r="S245" s="31" t="str">
        <f>VLOOKUP(A245,Rankings!B:D,3,FALSE)</f>
        <v>AL</v>
      </c>
    </row>
    <row r="246" spans="1:19" ht="18.600000000000001" customHeight="1">
      <c r="A246" s="26" t="s">
        <v>175</v>
      </c>
      <c r="B246" s="27" t="s">
        <v>176</v>
      </c>
      <c r="C246" s="123" t="s">
        <v>23</v>
      </c>
      <c r="D246" s="31">
        <v>486.43333333333334</v>
      </c>
      <c r="E246" s="31">
        <v>78.214999999999989</v>
      </c>
      <c r="F246" s="31">
        <v>19.826666666666668</v>
      </c>
      <c r="G246" s="31">
        <v>67.134444444444441</v>
      </c>
      <c r="H246" s="31">
        <v>5.8444444444444441</v>
      </c>
      <c r="I246" s="31">
        <v>133.73888888888888</v>
      </c>
      <c r="J246" s="31">
        <v>30.492222222222221</v>
      </c>
      <c r="K246" s="31">
        <v>1.9977777777777777</v>
      </c>
      <c r="L246" s="31">
        <v>53.981666666666662</v>
      </c>
      <c r="M246" s="31">
        <v>113.99333333333334</v>
      </c>
      <c r="N246" s="33">
        <v>0.27493775554489591</v>
      </c>
      <c r="O246" s="33">
        <v>0.35546823631838065</v>
      </c>
      <c r="P246" s="33">
        <v>0.4681148495854176</v>
      </c>
      <c r="Q246" s="33">
        <v>0.82358308590379825</v>
      </c>
      <c r="R246" s="31">
        <v>0</v>
      </c>
      <c r="S246" s="31" t="str">
        <f>VLOOKUP(A246,Rankings!B:D,3,FALSE)</f>
        <v>NL</v>
      </c>
    </row>
    <row r="247" spans="1:19" ht="18.600000000000001" customHeight="1">
      <c r="A247" s="26" t="s">
        <v>187</v>
      </c>
      <c r="B247" s="27" t="s">
        <v>91</v>
      </c>
      <c r="C247" s="123" t="s">
        <v>23</v>
      </c>
      <c r="D247" s="31">
        <v>544.74444444444441</v>
      </c>
      <c r="E247" s="31">
        <v>71.884444444444441</v>
      </c>
      <c r="F247" s="31">
        <v>20.658888888888889</v>
      </c>
      <c r="G247" s="31">
        <v>78.148333333333341</v>
      </c>
      <c r="H247" s="31">
        <v>4.9799999999999995</v>
      </c>
      <c r="I247" s="31">
        <v>143.71888888888887</v>
      </c>
      <c r="J247" s="31">
        <v>31.946666666666669</v>
      </c>
      <c r="K247" s="31">
        <v>1.6444444444444446</v>
      </c>
      <c r="L247" s="31">
        <v>36.841666666666669</v>
      </c>
      <c r="M247" s="31">
        <v>135.66777777777779</v>
      </c>
      <c r="N247" s="33">
        <v>0.2638280947233157</v>
      </c>
      <c r="O247" s="33">
        <v>0.32037500619855935</v>
      </c>
      <c r="P247" s="33">
        <v>0.44228282375017847</v>
      </c>
      <c r="Q247" s="33">
        <v>0.76265782994873788</v>
      </c>
      <c r="R247" s="31">
        <v>0</v>
      </c>
      <c r="S247" s="31" t="str">
        <f>VLOOKUP(A247,Rankings!B:D,3,FALSE)</f>
        <v>NL</v>
      </c>
    </row>
    <row r="248" spans="1:19" ht="18.600000000000001" customHeight="1">
      <c r="A248" s="26" t="s">
        <v>191</v>
      </c>
      <c r="B248" s="27" t="s">
        <v>103</v>
      </c>
      <c r="C248" s="123" t="s">
        <v>23</v>
      </c>
      <c r="D248" s="31">
        <v>462.92222222222222</v>
      </c>
      <c r="E248" s="31">
        <v>68.26166666666667</v>
      </c>
      <c r="F248" s="31">
        <v>16.024999999999999</v>
      </c>
      <c r="G248" s="31">
        <v>67.28</v>
      </c>
      <c r="H248" s="31">
        <v>3.5133333333333332</v>
      </c>
      <c r="I248" s="31">
        <v>134.69444444444446</v>
      </c>
      <c r="J248" s="31">
        <v>27.468888888888888</v>
      </c>
      <c r="K248" s="31">
        <v>1.7822222222222222</v>
      </c>
      <c r="L248" s="31">
        <v>54.393333333333338</v>
      </c>
      <c r="M248" s="31">
        <v>59.867777777777775</v>
      </c>
      <c r="N248" s="33">
        <v>0.2909656049732377</v>
      </c>
      <c r="O248" s="33">
        <v>0.37287360631599359</v>
      </c>
      <c r="P248" s="33">
        <v>0.46185464320860237</v>
      </c>
      <c r="Q248" s="33">
        <v>0.83472824952459601</v>
      </c>
      <c r="R248" s="31">
        <v>0</v>
      </c>
      <c r="S248" s="31" t="str">
        <f>VLOOKUP(A248,Rankings!B:D,3,FALSE)</f>
        <v>AL</v>
      </c>
    </row>
    <row r="249" spans="1:19" ht="18.600000000000001" customHeight="1">
      <c r="A249" s="26" t="s">
        <v>178</v>
      </c>
      <c r="B249" s="27" t="s">
        <v>120</v>
      </c>
      <c r="C249" s="123" t="s">
        <v>23</v>
      </c>
      <c r="D249" s="31">
        <v>500.5333333333333</v>
      </c>
      <c r="E249" s="31">
        <v>75.551666666666662</v>
      </c>
      <c r="F249" s="31">
        <v>16.100000000000001</v>
      </c>
      <c r="G249" s="31">
        <v>60.418333333333329</v>
      </c>
      <c r="H249" s="31">
        <v>20.036666666666665</v>
      </c>
      <c r="I249" s="31">
        <v>124.29833333333333</v>
      </c>
      <c r="J249" s="31">
        <v>25.191666666666666</v>
      </c>
      <c r="K249" s="31">
        <v>6.9899999999999993</v>
      </c>
      <c r="L249" s="31">
        <v>53.391666666666673</v>
      </c>
      <c r="M249" s="31">
        <v>147.75333333333333</v>
      </c>
      <c r="N249" s="33">
        <v>0.24833177943526905</v>
      </c>
      <c r="O249" s="33">
        <v>0.32995691437288177</v>
      </c>
      <c r="P249" s="33">
        <v>0.42308870538092708</v>
      </c>
      <c r="Q249" s="33">
        <v>0.7530456197538089</v>
      </c>
      <c r="R249" s="31">
        <v>0</v>
      </c>
      <c r="S249" s="31" t="str">
        <f>VLOOKUP(A249,Rankings!B:D,3,FALSE)</f>
        <v>NL</v>
      </c>
    </row>
    <row r="250" spans="1:19" ht="18.600000000000001" customHeight="1">
      <c r="A250" s="26" t="s">
        <v>194</v>
      </c>
      <c r="B250" s="27" t="s">
        <v>95</v>
      </c>
      <c r="C250" s="123" t="s">
        <v>23</v>
      </c>
      <c r="D250" s="31">
        <v>529.85</v>
      </c>
      <c r="E250" s="31">
        <v>87.545000000000002</v>
      </c>
      <c r="F250" s="31">
        <v>14.469999999999999</v>
      </c>
      <c r="G250" s="31">
        <v>60.456666666666671</v>
      </c>
      <c r="H250" s="31">
        <v>5.9644444444444451</v>
      </c>
      <c r="I250" s="31">
        <v>143.215</v>
      </c>
      <c r="J250" s="31">
        <v>27.801111111111112</v>
      </c>
      <c r="K250" s="31">
        <v>5.0183333333333335</v>
      </c>
      <c r="L250" s="31">
        <v>73.089999999999989</v>
      </c>
      <c r="M250" s="31">
        <v>111.85777777777777</v>
      </c>
      <c r="N250" s="33">
        <v>0.27029347928659053</v>
      </c>
      <c r="O250" s="33">
        <v>0.36623705244197252</v>
      </c>
      <c r="P250" s="33">
        <v>0.42363457162928708</v>
      </c>
      <c r="Q250" s="33">
        <v>0.78987162407125955</v>
      </c>
      <c r="R250" s="31">
        <v>0</v>
      </c>
      <c r="S250" s="31" t="str">
        <f>VLOOKUP(A250,Rankings!B:D,3,FALSE)</f>
        <v>NL</v>
      </c>
    </row>
    <row r="251" spans="1:19" ht="18.600000000000001" customHeight="1">
      <c r="A251" s="26" t="s">
        <v>190</v>
      </c>
      <c r="B251" s="27" t="s">
        <v>158</v>
      </c>
      <c r="C251" s="123" t="s">
        <v>23</v>
      </c>
      <c r="D251" s="31">
        <v>542.32222222222219</v>
      </c>
      <c r="E251" s="31">
        <v>74.648888888888891</v>
      </c>
      <c r="F251" s="31">
        <v>20.554444444444446</v>
      </c>
      <c r="G251" s="31">
        <v>72.513333333333335</v>
      </c>
      <c r="H251" s="31">
        <v>9.7177777777777781</v>
      </c>
      <c r="I251" s="31">
        <v>134.83666666666667</v>
      </c>
      <c r="J251" s="31">
        <v>28.801111111111112</v>
      </c>
      <c r="K251" s="31">
        <v>1.9955555555555555</v>
      </c>
      <c r="L251" s="31">
        <v>62.651111111111106</v>
      </c>
      <c r="M251" s="31">
        <v>151.47333333333333</v>
      </c>
      <c r="N251" s="33">
        <v>0.24862832674301874</v>
      </c>
      <c r="O251" s="33">
        <v>0.33532454140557322</v>
      </c>
      <c r="P251" s="33">
        <v>0.4227970251388064</v>
      </c>
      <c r="Q251" s="33">
        <v>0.75812156654437968</v>
      </c>
      <c r="R251" s="31">
        <v>0</v>
      </c>
      <c r="S251" s="31" t="str">
        <f>VLOOKUP(A251,Rankings!B:D,3,FALSE)</f>
        <v>NL</v>
      </c>
    </row>
    <row r="252" spans="1:19" ht="18.600000000000001" customHeight="1">
      <c r="A252" s="26" t="s">
        <v>157</v>
      </c>
      <c r="B252" s="27" t="s">
        <v>158</v>
      </c>
      <c r="C252" s="123" t="s">
        <v>23</v>
      </c>
      <c r="D252" s="31">
        <v>461.34472222222229</v>
      </c>
      <c r="E252" s="31">
        <v>68.386194444444456</v>
      </c>
      <c r="F252" s="31">
        <v>19.726972222222219</v>
      </c>
      <c r="G252" s="31">
        <v>65.00522222222223</v>
      </c>
      <c r="H252" s="31">
        <v>10.596527777777778</v>
      </c>
      <c r="I252" s="31">
        <v>121.4161388888889</v>
      </c>
      <c r="J252" s="31">
        <v>24.650444444444446</v>
      </c>
      <c r="K252" s="31">
        <v>1.9479444444444445</v>
      </c>
      <c r="L252" s="31">
        <v>56.298388888888894</v>
      </c>
      <c r="M252" s="31">
        <v>119.11075000000001</v>
      </c>
      <c r="N252" s="33">
        <v>0.26317877509045112</v>
      </c>
      <c r="O252" s="33">
        <v>0.3514986481035039</v>
      </c>
      <c r="P252" s="33">
        <v>0.45333430472874875</v>
      </c>
      <c r="Q252" s="33">
        <v>0.80483295283225265</v>
      </c>
      <c r="R252" s="31">
        <v>0</v>
      </c>
      <c r="S252" s="31" t="str">
        <f>VLOOKUP(A252,Rankings!B:D,3,FALSE)</f>
        <v>NL</v>
      </c>
    </row>
    <row r="253" spans="1:19" ht="18.600000000000001" customHeight="1">
      <c r="A253" s="26" t="s">
        <v>173</v>
      </c>
      <c r="B253" s="27" t="s">
        <v>68</v>
      </c>
      <c r="C253" s="123" t="s">
        <v>23</v>
      </c>
      <c r="D253" s="31">
        <v>469.21111111111105</v>
      </c>
      <c r="E253" s="31">
        <v>67.547777777777782</v>
      </c>
      <c r="F253" s="31">
        <v>30.765555555555554</v>
      </c>
      <c r="G253" s="31">
        <v>83.825000000000003</v>
      </c>
      <c r="H253" s="31">
        <v>4.5000000000000005E-2</v>
      </c>
      <c r="I253" s="31">
        <v>113.44666666666667</v>
      </c>
      <c r="J253" s="31">
        <v>16.988888888888891</v>
      </c>
      <c r="K253" s="31">
        <v>0.03</v>
      </c>
      <c r="L253" s="31">
        <v>55.913333333333334</v>
      </c>
      <c r="M253" s="31">
        <v>152.86777777777777</v>
      </c>
      <c r="N253" s="33">
        <v>0.24178171398801776</v>
      </c>
      <c r="O253" s="33">
        <v>0.33152209233627006</v>
      </c>
      <c r="P253" s="33">
        <v>0.47482298894124897</v>
      </c>
      <c r="Q253" s="33">
        <v>0.80634508127751903</v>
      </c>
      <c r="R253" s="31">
        <v>0</v>
      </c>
      <c r="S253" s="31" t="str">
        <f>VLOOKUP(A253,Rankings!B:D,3,FALSE)</f>
        <v>AL</v>
      </c>
    </row>
    <row r="254" spans="1:19" ht="18.600000000000001" customHeight="1">
      <c r="A254" s="26" t="s">
        <v>184</v>
      </c>
      <c r="B254" s="27" t="s">
        <v>103</v>
      </c>
      <c r="C254" s="123" t="s">
        <v>23</v>
      </c>
      <c r="D254" s="31">
        <v>543.94999999999993</v>
      </c>
      <c r="E254" s="31">
        <v>72.85777777777777</v>
      </c>
      <c r="F254" s="31">
        <v>12.691666666666668</v>
      </c>
      <c r="G254" s="31">
        <v>67.846666666666678</v>
      </c>
      <c r="H254" s="31">
        <v>4.4122222222222218</v>
      </c>
      <c r="I254" s="31">
        <v>154.21833333333333</v>
      </c>
      <c r="J254" s="31">
        <v>33.696666666666665</v>
      </c>
      <c r="K254" s="31">
        <v>1.9855555555555557</v>
      </c>
      <c r="L254" s="31">
        <v>44.396666666666668</v>
      </c>
      <c r="M254" s="31">
        <v>85.761111111111106</v>
      </c>
      <c r="N254" s="33">
        <v>0.28351564175628891</v>
      </c>
      <c r="O254" s="33">
        <v>0.34628801370920143</v>
      </c>
      <c r="P254" s="33">
        <v>0.42276148747331777</v>
      </c>
      <c r="Q254" s="33">
        <v>0.76904950118251914</v>
      </c>
      <c r="R254" s="31">
        <v>0</v>
      </c>
      <c r="S254" s="31" t="str">
        <f>VLOOKUP(A254,Rankings!B:D,3,FALSE)</f>
        <v>AL</v>
      </c>
    </row>
    <row r="255" spans="1:19" ht="18.600000000000001" customHeight="1">
      <c r="A255" s="26" t="s">
        <v>195</v>
      </c>
      <c r="B255" s="27" t="s">
        <v>84</v>
      </c>
      <c r="C255" s="123" t="s">
        <v>23</v>
      </c>
      <c r="D255" s="31">
        <v>488.14444444444445</v>
      </c>
      <c r="E255" s="31">
        <v>68.523333333333341</v>
      </c>
      <c r="F255" s="31">
        <v>28.201666666666668</v>
      </c>
      <c r="G255" s="31">
        <v>78.043333333333337</v>
      </c>
      <c r="H255" s="31">
        <v>2</v>
      </c>
      <c r="I255" s="31">
        <v>117.93777777777778</v>
      </c>
      <c r="J255" s="31">
        <v>24.45888888888889</v>
      </c>
      <c r="K255" s="31">
        <v>0.99888888888888883</v>
      </c>
      <c r="L255" s="31">
        <v>42.096666666666671</v>
      </c>
      <c r="M255" s="31">
        <v>128.4088888888889</v>
      </c>
      <c r="N255" s="33">
        <v>0.241604261033847</v>
      </c>
      <c r="O255" s="33">
        <v>0.31190815209698208</v>
      </c>
      <c r="P255" s="33">
        <v>0.46912229986570464</v>
      </c>
      <c r="Q255" s="33">
        <v>0.78103045196268672</v>
      </c>
      <c r="R255" s="31">
        <v>0</v>
      </c>
      <c r="S255" s="31" t="str">
        <f>VLOOKUP(A255,Rankings!B:D,3,FALSE)</f>
        <v>AL</v>
      </c>
    </row>
    <row r="256" spans="1:19" ht="18.600000000000001" customHeight="1">
      <c r="A256" s="26" t="s">
        <v>218</v>
      </c>
      <c r="B256" s="27" t="s">
        <v>114</v>
      </c>
      <c r="C256" s="123" t="s">
        <v>23</v>
      </c>
      <c r="D256" s="31">
        <v>479.81111111111113</v>
      </c>
      <c r="E256" s="31">
        <v>66.004999999999995</v>
      </c>
      <c r="F256" s="31">
        <v>12.964444444444444</v>
      </c>
      <c r="G256" s="31">
        <v>59.964444444444446</v>
      </c>
      <c r="H256" s="31">
        <v>10.456666666666667</v>
      </c>
      <c r="I256" s="31">
        <v>129.67555555555555</v>
      </c>
      <c r="J256" s="31">
        <v>24.455555555555559</v>
      </c>
      <c r="K256" s="31">
        <v>2.0016666666666665</v>
      </c>
      <c r="L256" s="31">
        <v>50.752222222222223</v>
      </c>
      <c r="M256" s="31">
        <v>90.432222222222222</v>
      </c>
      <c r="N256" s="33">
        <v>0.27026376120232498</v>
      </c>
      <c r="O256" s="33">
        <v>0.34849474085720922</v>
      </c>
      <c r="P256" s="33">
        <v>0.41063612995854848</v>
      </c>
      <c r="Q256" s="33">
        <v>0.7591308708157577</v>
      </c>
      <c r="R256" s="31">
        <v>0</v>
      </c>
      <c r="S256" s="31" t="str">
        <f>VLOOKUP(A256,Rankings!B:D,3,FALSE)</f>
        <v>AL</v>
      </c>
    </row>
    <row r="257" spans="1:19" ht="20.100000000000001" customHeight="1">
      <c r="A257" s="26" t="s">
        <v>216</v>
      </c>
      <c r="B257" s="27" t="s">
        <v>217</v>
      </c>
      <c r="C257" s="123" t="s">
        <v>23</v>
      </c>
      <c r="D257" s="31">
        <v>476.93333333333339</v>
      </c>
      <c r="E257" s="31">
        <v>68.896666666666661</v>
      </c>
      <c r="F257" s="31">
        <v>21.891666666666666</v>
      </c>
      <c r="G257" s="31">
        <v>70.516666666666666</v>
      </c>
      <c r="H257" s="31">
        <v>1.1883333333333332</v>
      </c>
      <c r="I257" s="31">
        <v>120.00333333333334</v>
      </c>
      <c r="J257" s="31">
        <v>21.511666666666667</v>
      </c>
      <c r="K257" s="31">
        <v>1.9866666666666666</v>
      </c>
      <c r="L257" s="31">
        <v>46.354999999999997</v>
      </c>
      <c r="M257" s="31">
        <v>127.65666666666668</v>
      </c>
      <c r="N257" s="33">
        <v>0.25161448140900194</v>
      </c>
      <c r="O257" s="33">
        <v>0.32727224887731443</v>
      </c>
      <c r="P257" s="33">
        <v>0.44275230640201285</v>
      </c>
      <c r="Q257" s="33">
        <v>0.77002455527932723</v>
      </c>
      <c r="R257" s="31">
        <v>0</v>
      </c>
      <c r="S257" s="31" t="str">
        <f>VLOOKUP(A257,Rankings!B:D,3,FALSE)</f>
        <v>NL</v>
      </c>
    </row>
    <row r="258" spans="1:19" ht="18.600000000000001" customHeight="1">
      <c r="A258" s="26" t="s">
        <v>279</v>
      </c>
      <c r="B258" s="27" t="s">
        <v>217</v>
      </c>
      <c r="C258" s="123" t="s">
        <v>23</v>
      </c>
      <c r="D258" s="31">
        <v>509.68666666666672</v>
      </c>
      <c r="E258" s="31">
        <v>70.522499999999994</v>
      </c>
      <c r="F258" s="31">
        <v>18.198666666666664</v>
      </c>
      <c r="G258" s="31">
        <v>69.251166666666663</v>
      </c>
      <c r="H258" s="31">
        <v>4.0111666666666661</v>
      </c>
      <c r="I258" s="31">
        <v>127.27283333333332</v>
      </c>
      <c r="J258" s="31">
        <v>26.865666666666666</v>
      </c>
      <c r="K258" s="31">
        <v>1.1543333333333332</v>
      </c>
      <c r="L258" s="31">
        <v>65.327333333333328</v>
      </c>
      <c r="M258" s="31">
        <v>124.1891111111111</v>
      </c>
      <c r="N258" s="33">
        <v>0.24970799053012957</v>
      </c>
      <c r="O258" s="33">
        <v>0.34341059900391879</v>
      </c>
      <c r="P258" s="33">
        <v>0.4140645233018978</v>
      </c>
      <c r="Q258" s="33">
        <v>0.75747512230581659</v>
      </c>
      <c r="R258" s="31">
        <v>0</v>
      </c>
      <c r="S258" s="31" t="str">
        <f>VLOOKUP(A258,Rankings!B:D,3,FALSE)</f>
        <v>NL</v>
      </c>
    </row>
    <row r="259" spans="1:19" ht="18.600000000000001" customHeight="1">
      <c r="A259" s="26" t="s">
        <v>250</v>
      </c>
      <c r="B259" s="27" t="s">
        <v>140</v>
      </c>
      <c r="C259" s="123" t="s">
        <v>23</v>
      </c>
      <c r="D259" s="31">
        <v>498.97777777777782</v>
      </c>
      <c r="E259" s="31">
        <v>66.673333333333332</v>
      </c>
      <c r="F259" s="31">
        <v>18.794444444444444</v>
      </c>
      <c r="G259" s="31">
        <v>59.841111111111111</v>
      </c>
      <c r="H259" s="31">
        <v>16.445555555555554</v>
      </c>
      <c r="I259" s="31">
        <v>115.80777777777779</v>
      </c>
      <c r="J259" s="31">
        <v>26.35777777777778</v>
      </c>
      <c r="K259" s="31">
        <v>1.02</v>
      </c>
      <c r="L259" s="31">
        <v>40.613333333333337</v>
      </c>
      <c r="M259" s="31">
        <v>145.66</v>
      </c>
      <c r="N259" s="33">
        <v>0.23209005077046407</v>
      </c>
      <c r="O259" s="33">
        <v>0.30050177862354271</v>
      </c>
      <c r="P259" s="33">
        <v>0.40199964371604169</v>
      </c>
      <c r="Q259" s="33">
        <v>0.70250142233958446</v>
      </c>
      <c r="R259" s="31">
        <v>0</v>
      </c>
      <c r="S259" s="31" t="str">
        <f>VLOOKUP(A259,Rankings!B:D,3,FALSE)</f>
        <v>AL</v>
      </c>
    </row>
    <row r="260" spans="1:19" ht="18.600000000000001" customHeight="1">
      <c r="A260" s="26" t="s">
        <v>215</v>
      </c>
      <c r="B260" s="27" t="s">
        <v>120</v>
      </c>
      <c r="C260" s="123" t="s">
        <v>23</v>
      </c>
      <c r="D260" s="31">
        <v>482.85000000000008</v>
      </c>
      <c r="E260" s="31">
        <v>58.95333333333334</v>
      </c>
      <c r="F260" s="31">
        <v>12.925555555555556</v>
      </c>
      <c r="G260" s="31">
        <v>62.176666666666669</v>
      </c>
      <c r="H260" s="31">
        <v>4.8600000000000003</v>
      </c>
      <c r="I260" s="31">
        <v>134.97499999999999</v>
      </c>
      <c r="J260" s="31">
        <v>28.866666666666671</v>
      </c>
      <c r="K260" s="31">
        <v>1.9955555555555555</v>
      </c>
      <c r="L260" s="31">
        <v>32.306666666666665</v>
      </c>
      <c r="M260" s="31">
        <v>95.078888888888898</v>
      </c>
      <c r="N260" s="33">
        <v>0.27953815884850364</v>
      </c>
      <c r="O260" s="33">
        <v>0.33406212597702883</v>
      </c>
      <c r="P260" s="33">
        <v>0.42789571180375774</v>
      </c>
      <c r="Q260" s="33">
        <v>0.76195783778078652</v>
      </c>
      <c r="R260" s="31">
        <v>0</v>
      </c>
      <c r="S260" s="31" t="str">
        <f>VLOOKUP(A260,Rankings!B:D,3,FALSE)</f>
        <v>NL</v>
      </c>
    </row>
    <row r="261" spans="1:19" ht="18.600000000000001" customHeight="1">
      <c r="A261" s="26" t="s">
        <v>204</v>
      </c>
      <c r="B261" s="27" t="s">
        <v>76</v>
      </c>
      <c r="C261" s="123" t="s">
        <v>23</v>
      </c>
      <c r="D261" s="31">
        <v>491.56666666666666</v>
      </c>
      <c r="E261" s="31">
        <v>57.101666666666667</v>
      </c>
      <c r="F261" s="31">
        <v>16.88</v>
      </c>
      <c r="G261" s="31">
        <v>66.899999999999991</v>
      </c>
      <c r="H261" s="31">
        <v>2.3083333333333331</v>
      </c>
      <c r="I261" s="31">
        <v>132.6883333333333</v>
      </c>
      <c r="J261" s="31">
        <v>27.83</v>
      </c>
      <c r="K261" s="31">
        <v>1.2916666666666667</v>
      </c>
      <c r="L261" s="31">
        <v>22.16333333333333</v>
      </c>
      <c r="M261" s="31">
        <v>103.7788888888889</v>
      </c>
      <c r="N261" s="33">
        <v>0.2699294771817996</v>
      </c>
      <c r="O261" s="33">
        <v>0.3119169121486931</v>
      </c>
      <c r="P261" s="33">
        <v>0.43481725096629814</v>
      </c>
      <c r="Q261" s="33">
        <v>0.7467341631149913</v>
      </c>
      <c r="R261" s="31">
        <v>0</v>
      </c>
      <c r="S261" s="31" t="str">
        <f>VLOOKUP(A261,Rankings!B:D,3,FALSE)</f>
        <v>AL</v>
      </c>
    </row>
    <row r="262" spans="1:19" ht="18.600000000000001" customHeight="1">
      <c r="A262" s="26" t="s">
        <v>259</v>
      </c>
      <c r="B262" s="27" t="s">
        <v>217</v>
      </c>
      <c r="C262" s="123" t="s">
        <v>23</v>
      </c>
      <c r="D262" s="31">
        <v>444.47777777777782</v>
      </c>
      <c r="E262" s="31">
        <v>63.06444444444444</v>
      </c>
      <c r="F262" s="31">
        <v>21.97111111111111</v>
      </c>
      <c r="G262" s="31">
        <v>67.266666666666666</v>
      </c>
      <c r="H262" s="31">
        <v>3.7466666666666666</v>
      </c>
      <c r="I262" s="31">
        <v>109.39777777777778</v>
      </c>
      <c r="J262" s="31">
        <v>20.933333333333334</v>
      </c>
      <c r="K262" s="31">
        <v>2.7822222222222224</v>
      </c>
      <c r="L262" s="31">
        <v>45.993333333333339</v>
      </c>
      <c r="M262" s="31">
        <v>117.15166666666669</v>
      </c>
      <c r="N262" s="33">
        <v>0.24612654050946176</v>
      </c>
      <c r="O262" s="33">
        <v>0.3261743175469094</v>
      </c>
      <c r="P262" s="33">
        <v>0.45403594730395214</v>
      </c>
      <c r="Q262" s="33">
        <v>0.78021026485086153</v>
      </c>
      <c r="R262" s="31">
        <v>0</v>
      </c>
      <c r="S262" s="31" t="str">
        <f>VLOOKUP(A262,Rankings!B:D,3,FALSE)</f>
        <v>NL</v>
      </c>
    </row>
    <row r="263" spans="1:19" ht="18.600000000000001" customHeight="1">
      <c r="A263" s="26" t="s">
        <v>212</v>
      </c>
      <c r="B263" s="27" t="s">
        <v>176</v>
      </c>
      <c r="C263" s="123" t="s">
        <v>23</v>
      </c>
      <c r="D263" s="31">
        <v>472.78888888888895</v>
      </c>
      <c r="E263" s="31">
        <v>62.625555555555557</v>
      </c>
      <c r="F263" s="31">
        <v>13.078333333333333</v>
      </c>
      <c r="G263" s="31">
        <v>62.843333333333334</v>
      </c>
      <c r="H263" s="31">
        <v>3.5266666666666668</v>
      </c>
      <c r="I263" s="31">
        <v>127.92333333333333</v>
      </c>
      <c r="J263" s="31">
        <v>23.14833333333333</v>
      </c>
      <c r="K263" s="31">
        <v>4.0233333333333334</v>
      </c>
      <c r="L263" s="31">
        <v>35.977777777777781</v>
      </c>
      <c r="M263" s="31">
        <v>94.177777777777763</v>
      </c>
      <c r="N263" s="33">
        <v>0.270571784446899</v>
      </c>
      <c r="O263" s="33">
        <v>0.33152236630230358</v>
      </c>
      <c r="P263" s="33">
        <v>0.41953890625367202</v>
      </c>
      <c r="Q263" s="33">
        <v>0.75106127255597555</v>
      </c>
      <c r="R263" s="31">
        <v>0</v>
      </c>
      <c r="S263" s="31" t="str">
        <f>VLOOKUP(A263,Rankings!B:D,3,FALSE)</f>
        <v>NL</v>
      </c>
    </row>
    <row r="264" spans="1:19" ht="20.100000000000001" customHeight="1">
      <c r="A264" s="26" t="s">
        <v>235</v>
      </c>
      <c r="B264" s="27" t="s">
        <v>99</v>
      </c>
      <c r="C264" s="123" t="s">
        <v>23</v>
      </c>
      <c r="D264" s="31">
        <v>511.24444444444447</v>
      </c>
      <c r="E264" s="31">
        <v>64.435555555555553</v>
      </c>
      <c r="F264" s="31">
        <v>17.616666666666667</v>
      </c>
      <c r="G264" s="31">
        <v>65.525555555555556</v>
      </c>
      <c r="H264" s="31">
        <v>4.9833333333333334</v>
      </c>
      <c r="I264" s="31">
        <v>128.04444444444445</v>
      </c>
      <c r="J264" s="31">
        <v>27.372222222222224</v>
      </c>
      <c r="K264" s="31">
        <v>2.0183333333333335</v>
      </c>
      <c r="L264" s="31">
        <v>32.049999999999997</v>
      </c>
      <c r="M264" s="31">
        <v>110.50555555555555</v>
      </c>
      <c r="N264" s="33">
        <v>0.25045640267756236</v>
      </c>
      <c r="O264" s="33">
        <v>0.30527179918629754</v>
      </c>
      <c r="P264" s="33">
        <v>0.41526775623750328</v>
      </c>
      <c r="Q264" s="33">
        <v>0.72053955542380077</v>
      </c>
      <c r="R264" s="31">
        <v>0</v>
      </c>
      <c r="S264" s="31" t="str">
        <f>VLOOKUP(A264,Rankings!B:D,3,FALSE)</f>
        <v>AL</v>
      </c>
    </row>
    <row r="265" spans="1:19" ht="18.600000000000001" customHeight="1">
      <c r="A265" s="26" t="s">
        <v>205</v>
      </c>
      <c r="B265" s="27" t="s">
        <v>68</v>
      </c>
      <c r="C265" s="123" t="s">
        <v>23</v>
      </c>
      <c r="D265" s="31">
        <v>432.49500000000006</v>
      </c>
      <c r="E265" s="31">
        <v>57.107499999999995</v>
      </c>
      <c r="F265" s="31">
        <v>13.933833333333332</v>
      </c>
      <c r="G265" s="31">
        <v>52.082000000000001</v>
      </c>
      <c r="H265" s="31">
        <v>18.655000000000001</v>
      </c>
      <c r="I265" s="31">
        <v>106.11083333333333</v>
      </c>
      <c r="J265" s="31">
        <v>20.136166666666668</v>
      </c>
      <c r="K265" s="31">
        <v>2.9015</v>
      </c>
      <c r="L265" s="31">
        <v>32.574833333333338</v>
      </c>
      <c r="M265" s="31">
        <v>105.26574999999998</v>
      </c>
      <c r="N265" s="33">
        <v>0.24534580361237313</v>
      </c>
      <c r="O265" s="33">
        <v>0.30854104216313283</v>
      </c>
      <c r="P265" s="33">
        <v>0.40197343321888107</v>
      </c>
      <c r="Q265" s="33">
        <v>0.71051447538201384</v>
      </c>
      <c r="R265" s="31">
        <v>0</v>
      </c>
      <c r="S265" s="31" t="str">
        <f>VLOOKUP(A265,Rankings!B:D,3,FALSE)</f>
        <v>AL</v>
      </c>
    </row>
    <row r="266" spans="1:19" ht="18.600000000000001" customHeight="1">
      <c r="A266" s="26" t="s">
        <v>257</v>
      </c>
      <c r="B266" s="27" t="s">
        <v>258</v>
      </c>
      <c r="C266" s="123" t="s">
        <v>23</v>
      </c>
      <c r="D266" s="31">
        <v>530.86666666666667</v>
      </c>
      <c r="E266" s="31">
        <v>70.583333333333343</v>
      </c>
      <c r="F266" s="31">
        <v>12.945555555555556</v>
      </c>
      <c r="G266" s="31">
        <v>58.506666666666668</v>
      </c>
      <c r="H266" s="31">
        <v>7.87</v>
      </c>
      <c r="I266" s="31">
        <v>133.36000000000001</v>
      </c>
      <c r="J266" s="31">
        <v>24.874444444444446</v>
      </c>
      <c r="K266" s="31">
        <v>5.0233333333333334</v>
      </c>
      <c r="L266" s="31">
        <v>52.726666666666667</v>
      </c>
      <c r="M266" s="31">
        <v>156.37666666666667</v>
      </c>
      <c r="N266" s="33">
        <v>0.25121185482858222</v>
      </c>
      <c r="O266" s="33">
        <v>0.32817140909996284</v>
      </c>
      <c r="P266" s="33">
        <v>0.3901502783707983</v>
      </c>
      <c r="Q266" s="33">
        <v>0.71832168747076119</v>
      </c>
      <c r="R266" s="31">
        <v>0</v>
      </c>
      <c r="S266" s="31" t="str">
        <f>VLOOKUP(A266,Rankings!B:D,3,FALSE)</f>
        <v>AL</v>
      </c>
    </row>
    <row r="267" spans="1:19" ht="18.600000000000001" customHeight="1">
      <c r="A267" s="26" t="s">
        <v>229</v>
      </c>
      <c r="B267" s="27" t="s">
        <v>176</v>
      </c>
      <c r="C267" s="123" t="s">
        <v>23</v>
      </c>
      <c r="D267" s="31">
        <v>433.48333333333335</v>
      </c>
      <c r="E267" s="31">
        <v>56.774999999999999</v>
      </c>
      <c r="F267" s="31">
        <v>18.563333333333333</v>
      </c>
      <c r="G267" s="31">
        <v>62.55833333333333</v>
      </c>
      <c r="H267" s="31">
        <v>2.7544444444444447</v>
      </c>
      <c r="I267" s="31">
        <v>111.95333333333333</v>
      </c>
      <c r="J267" s="31">
        <v>22.456666666666667</v>
      </c>
      <c r="K267" s="31">
        <v>2.4566666666666666</v>
      </c>
      <c r="L267" s="31">
        <v>24.091666666666669</v>
      </c>
      <c r="M267" s="31">
        <v>102.05888888888889</v>
      </c>
      <c r="N267" s="33">
        <v>0.25826444692221923</v>
      </c>
      <c r="O267" s="33">
        <v>0.30787613094261801</v>
      </c>
      <c r="P267" s="33">
        <v>0.44987504325425814</v>
      </c>
      <c r="Q267" s="33">
        <v>0.7577511741968761</v>
      </c>
      <c r="R267" s="31">
        <v>0</v>
      </c>
      <c r="S267" s="31" t="str">
        <f>VLOOKUP(A267,Rankings!B:D,3,FALSE)</f>
        <v>NL</v>
      </c>
    </row>
    <row r="268" spans="1:19" ht="18.600000000000001" customHeight="1">
      <c r="A268" s="26" t="s">
        <v>294</v>
      </c>
      <c r="B268" s="27" t="s">
        <v>158</v>
      </c>
      <c r="C268" s="123" t="s">
        <v>23</v>
      </c>
      <c r="D268" s="31">
        <v>460.06666666666661</v>
      </c>
      <c r="E268" s="31">
        <v>61.441111111111105</v>
      </c>
      <c r="F268" s="31">
        <v>18.003333333333334</v>
      </c>
      <c r="G268" s="31">
        <v>60.901666666666664</v>
      </c>
      <c r="H268" s="31">
        <v>12.82</v>
      </c>
      <c r="I268" s="31">
        <v>105.43</v>
      </c>
      <c r="J268" s="31">
        <v>21.423333333333332</v>
      </c>
      <c r="K268" s="31">
        <v>2.9888888888888889</v>
      </c>
      <c r="L268" s="31">
        <v>45.961666666666666</v>
      </c>
      <c r="M268" s="31">
        <v>127.66444444444444</v>
      </c>
      <c r="N268" s="33">
        <v>0.22916244022605425</v>
      </c>
      <c r="O268" s="33">
        <v>0.30925316764903554</v>
      </c>
      <c r="P268" s="33">
        <v>0.40611747089793754</v>
      </c>
      <c r="Q268" s="33">
        <v>0.71537063854697314</v>
      </c>
      <c r="R268" s="31">
        <v>0</v>
      </c>
      <c r="S268" s="31" t="str">
        <f>VLOOKUP(A268,Rankings!B:D,3,FALSE)</f>
        <v>NL</v>
      </c>
    </row>
    <row r="269" spans="1:19" ht="18.600000000000001" customHeight="1">
      <c r="A269" s="26" t="s">
        <v>315</v>
      </c>
      <c r="B269" s="27" t="s">
        <v>123</v>
      </c>
      <c r="C269" s="123" t="s">
        <v>23</v>
      </c>
      <c r="D269" s="31">
        <v>421.2</v>
      </c>
      <c r="E269" s="31">
        <v>63.580000000000005</v>
      </c>
      <c r="F269" s="31">
        <v>17.893333333333334</v>
      </c>
      <c r="G269" s="31">
        <v>57.706666666666671</v>
      </c>
      <c r="H269" s="31">
        <v>6.6616666666666662</v>
      </c>
      <c r="I269" s="31">
        <v>102.09666666666665</v>
      </c>
      <c r="J269" s="31">
        <v>19.446666666666669</v>
      </c>
      <c r="K269" s="31">
        <v>2.9016666666666668</v>
      </c>
      <c r="L269" s="31">
        <v>58.281666666666666</v>
      </c>
      <c r="M269" s="31">
        <v>101.99333333333334</v>
      </c>
      <c r="N269" s="33">
        <v>0.24239474517252291</v>
      </c>
      <c r="O269" s="33">
        <v>0.34288945347009009</v>
      </c>
      <c r="P269" s="33">
        <v>0.4297879075656853</v>
      </c>
      <c r="Q269" s="33">
        <v>0.77267736103577533</v>
      </c>
      <c r="R269" s="31">
        <v>0</v>
      </c>
      <c r="S269" s="31" t="str">
        <f>VLOOKUP(A269,Rankings!B:D,3,FALSE)</f>
        <v>NL</v>
      </c>
    </row>
    <row r="270" spans="1:19" ht="18.600000000000001" customHeight="1">
      <c r="A270" s="26" t="s">
        <v>297</v>
      </c>
      <c r="B270" s="27" t="s">
        <v>101</v>
      </c>
      <c r="C270" s="123" t="s">
        <v>23</v>
      </c>
      <c r="D270" s="31">
        <v>457.14444444444445</v>
      </c>
      <c r="E270" s="31">
        <v>55.993333333333332</v>
      </c>
      <c r="F270" s="31">
        <v>9.6788888888888902</v>
      </c>
      <c r="G270" s="31">
        <v>52.292222222222222</v>
      </c>
      <c r="H270" s="31">
        <v>15.234444444444444</v>
      </c>
      <c r="I270" s="31">
        <v>116.08</v>
      </c>
      <c r="J270" s="31">
        <v>22.704444444444444</v>
      </c>
      <c r="K270" s="31">
        <v>2.4733333333333336</v>
      </c>
      <c r="L270" s="31">
        <v>37.353333333333332</v>
      </c>
      <c r="M270" s="31">
        <v>86.834999999999994</v>
      </c>
      <c r="N270" s="33">
        <v>0.25392411831903361</v>
      </c>
      <c r="O270" s="33">
        <v>0.32007722370032848</v>
      </c>
      <c r="P270" s="33">
        <v>0.37792820163818874</v>
      </c>
      <c r="Q270" s="33">
        <v>0.69800542533851728</v>
      </c>
      <c r="R270" s="31">
        <v>0</v>
      </c>
      <c r="S270" s="31" t="str">
        <f>VLOOKUP(A270,Rankings!B:D,3,FALSE)</f>
        <v>AL</v>
      </c>
    </row>
    <row r="271" spans="1:19" ht="18.600000000000001" customHeight="1">
      <c r="A271" s="26" t="s">
        <v>305</v>
      </c>
      <c r="B271" s="27" t="s">
        <v>306</v>
      </c>
      <c r="C271" s="123" t="s">
        <v>23</v>
      </c>
      <c r="D271" s="31">
        <v>475.35555555555555</v>
      </c>
      <c r="E271" s="31">
        <v>64.626666666666665</v>
      </c>
      <c r="F271" s="31">
        <v>16.697777777777777</v>
      </c>
      <c r="G271" s="31">
        <v>54.425555555555555</v>
      </c>
      <c r="H271" s="31">
        <v>10.700000000000001</v>
      </c>
      <c r="I271" s="31">
        <v>112.55666666666667</v>
      </c>
      <c r="J271" s="31">
        <v>25.383333333333336</v>
      </c>
      <c r="K271" s="31">
        <v>2.0049999999999999</v>
      </c>
      <c r="L271" s="31">
        <v>45.772222222222219</v>
      </c>
      <c r="M271" s="31">
        <v>128.82777777777778</v>
      </c>
      <c r="N271" s="33">
        <v>0.23678416156327428</v>
      </c>
      <c r="O271" s="33">
        <v>0.31374541260118183</v>
      </c>
      <c r="P271" s="33">
        <v>0.40399934551914363</v>
      </c>
      <c r="Q271" s="33">
        <v>0.71774475812032545</v>
      </c>
      <c r="R271" s="31">
        <v>0</v>
      </c>
      <c r="S271" s="31" t="str">
        <f>VLOOKUP(A271,Rankings!B:D,3,FALSE)</f>
        <v>NL</v>
      </c>
    </row>
    <row r="272" spans="1:19" ht="18.600000000000001" customHeight="1">
      <c r="A272" s="26" t="s">
        <v>311</v>
      </c>
      <c r="B272" s="27" t="s">
        <v>258</v>
      </c>
      <c r="C272" s="123" t="s">
        <v>23</v>
      </c>
      <c r="D272" s="31">
        <v>445.36666666666662</v>
      </c>
      <c r="E272" s="31">
        <v>59.758333333333333</v>
      </c>
      <c r="F272" s="31">
        <v>16.808888888888887</v>
      </c>
      <c r="G272" s="31">
        <v>61.987777777777779</v>
      </c>
      <c r="H272" s="31">
        <v>4.1666666666666661</v>
      </c>
      <c r="I272" s="31">
        <v>110.45</v>
      </c>
      <c r="J272" s="31">
        <v>23.402222222222221</v>
      </c>
      <c r="K272" s="31">
        <v>3.9766666666666666</v>
      </c>
      <c r="L272" s="31">
        <v>48.044999999999995</v>
      </c>
      <c r="M272" s="31">
        <v>94.332222222222228</v>
      </c>
      <c r="N272" s="33">
        <v>0.24799790434847693</v>
      </c>
      <c r="O272" s="33">
        <v>0.33036930664562397</v>
      </c>
      <c r="P272" s="33">
        <v>0.43162687423596041</v>
      </c>
      <c r="Q272" s="33">
        <v>0.76199618088158438</v>
      </c>
      <c r="R272" s="31">
        <v>0</v>
      </c>
      <c r="S272" s="31" t="str">
        <f>VLOOKUP(A272,Rankings!B:D,3,FALSE)</f>
        <v>AL</v>
      </c>
    </row>
    <row r="273" spans="1:19" ht="18.600000000000001" customHeight="1">
      <c r="A273" s="26" t="s">
        <v>291</v>
      </c>
      <c r="B273" s="27" t="s">
        <v>134</v>
      </c>
      <c r="C273" s="123" t="s">
        <v>23</v>
      </c>
      <c r="D273" s="31">
        <v>478.51666666666665</v>
      </c>
      <c r="E273" s="31">
        <v>55.703333333333326</v>
      </c>
      <c r="F273" s="31">
        <v>16.181666666666665</v>
      </c>
      <c r="G273" s="31">
        <v>61.836666666666666</v>
      </c>
      <c r="H273" s="31">
        <v>6.9033333333333333</v>
      </c>
      <c r="I273" s="31">
        <v>117.53333333333332</v>
      </c>
      <c r="J273" s="31">
        <v>19.596666666666668</v>
      </c>
      <c r="K273" s="31">
        <v>0.98666666666666669</v>
      </c>
      <c r="L273" s="31">
        <v>32.238333333333337</v>
      </c>
      <c r="M273" s="31">
        <v>136.16888888888889</v>
      </c>
      <c r="N273" s="33">
        <v>0.24562014558879869</v>
      </c>
      <c r="O273" s="33">
        <v>0.30384774289744954</v>
      </c>
      <c r="P273" s="33">
        <v>0.39214586743756746</v>
      </c>
      <c r="Q273" s="33">
        <v>0.69599361033501705</v>
      </c>
      <c r="R273" s="31">
        <v>0</v>
      </c>
      <c r="S273" s="31" t="str">
        <f>VLOOKUP(A273,Rankings!B:D,3,FALSE)</f>
        <v>NL</v>
      </c>
    </row>
    <row r="274" spans="1:19" ht="18.600000000000001" customHeight="1">
      <c r="A274" s="26" t="s">
        <v>276</v>
      </c>
      <c r="B274" s="27" t="s">
        <v>217</v>
      </c>
      <c r="C274" s="123" t="s">
        <v>23</v>
      </c>
      <c r="D274" s="31">
        <v>470.68333333333334</v>
      </c>
      <c r="E274" s="31">
        <v>67.115555555555559</v>
      </c>
      <c r="F274" s="31">
        <v>18.739999999999998</v>
      </c>
      <c r="G274" s="31">
        <v>62.611111111111114</v>
      </c>
      <c r="H274" s="31">
        <v>4.9877777777777776</v>
      </c>
      <c r="I274" s="31">
        <v>108.30555555555556</v>
      </c>
      <c r="J274" s="31">
        <v>27.123333333333335</v>
      </c>
      <c r="K274" s="31">
        <v>2.668333333333333</v>
      </c>
      <c r="L274" s="31">
        <v>53.713333333333331</v>
      </c>
      <c r="M274" s="31">
        <v>132.70111111111112</v>
      </c>
      <c r="N274" s="33">
        <v>0.23010280561358781</v>
      </c>
      <c r="O274" s="33">
        <v>0.31853586111391569</v>
      </c>
      <c r="P274" s="33">
        <v>0.41850973171393835</v>
      </c>
      <c r="Q274" s="33">
        <v>0.73704559282785409</v>
      </c>
      <c r="R274" s="31">
        <v>0</v>
      </c>
      <c r="S274" s="31" t="str">
        <f>VLOOKUP(A274,Rankings!B:D,3,FALSE)</f>
        <v>NL</v>
      </c>
    </row>
    <row r="275" spans="1:19" ht="20.100000000000001" customHeight="1">
      <c r="A275" s="26" t="s">
        <v>264</v>
      </c>
      <c r="B275" s="27" t="s">
        <v>223</v>
      </c>
      <c r="C275" s="123" t="s">
        <v>23</v>
      </c>
      <c r="D275" s="31">
        <v>386.91666666666669</v>
      </c>
      <c r="E275" s="31">
        <v>56.356666666666662</v>
      </c>
      <c r="F275" s="31">
        <v>15.491666666666667</v>
      </c>
      <c r="G275" s="31">
        <v>51.176666666666669</v>
      </c>
      <c r="H275" s="31">
        <v>11.906666666666666</v>
      </c>
      <c r="I275" s="31">
        <v>94.15666666666668</v>
      </c>
      <c r="J275" s="31">
        <v>18.45</v>
      </c>
      <c r="K275" s="31">
        <v>1</v>
      </c>
      <c r="L275" s="31">
        <v>48.976666666666667</v>
      </c>
      <c r="M275" s="31">
        <v>109.07</v>
      </c>
      <c r="N275" s="33">
        <v>0.24335128149903082</v>
      </c>
      <c r="O275" s="33">
        <v>0.33709398849743233</v>
      </c>
      <c r="P275" s="33">
        <v>0.41632134395864745</v>
      </c>
      <c r="Q275" s="33">
        <v>0.75341533245607972</v>
      </c>
      <c r="R275" s="31">
        <v>0</v>
      </c>
      <c r="S275" s="31" t="str">
        <f>VLOOKUP(A275,Rankings!B:D,3,FALSE)</f>
        <v>NL</v>
      </c>
    </row>
    <row r="276" spans="1:19" ht="18.600000000000001" customHeight="1">
      <c r="A276" s="26" t="s">
        <v>323</v>
      </c>
      <c r="B276" s="27" t="s">
        <v>134</v>
      </c>
      <c r="C276" s="123" t="s">
        <v>23</v>
      </c>
      <c r="D276" s="31">
        <v>450.41666666666669</v>
      </c>
      <c r="E276" s="31">
        <v>61.204444444444448</v>
      </c>
      <c r="F276" s="31">
        <v>22.491666666666664</v>
      </c>
      <c r="G276" s="31">
        <v>66.063333333333333</v>
      </c>
      <c r="H276" s="31">
        <v>1.7011111111111112</v>
      </c>
      <c r="I276" s="31">
        <v>102.78333333333335</v>
      </c>
      <c r="J276" s="31">
        <v>21.462222222222223</v>
      </c>
      <c r="K276" s="31">
        <v>0.98555555555555552</v>
      </c>
      <c r="L276" s="31">
        <v>53.515000000000008</v>
      </c>
      <c r="M276" s="31">
        <v>141.21</v>
      </c>
      <c r="N276" s="33">
        <v>0.22819611470860315</v>
      </c>
      <c r="O276" s="33">
        <v>0.31964635027474381</v>
      </c>
      <c r="P276" s="33">
        <v>0.43002775208140609</v>
      </c>
      <c r="Q276" s="33">
        <v>0.74967410235614995</v>
      </c>
      <c r="R276" s="31">
        <v>0</v>
      </c>
      <c r="S276" s="31" t="str">
        <f>VLOOKUP(A276,Rankings!B:D,3,FALSE)</f>
        <v>NL</v>
      </c>
    </row>
    <row r="277" spans="1:19" ht="18.600000000000001" customHeight="1">
      <c r="A277" s="26" t="s">
        <v>308</v>
      </c>
      <c r="B277" s="27" t="s">
        <v>97</v>
      </c>
      <c r="C277" s="123" t="s">
        <v>23</v>
      </c>
      <c r="D277" s="31">
        <v>419.98888888888888</v>
      </c>
      <c r="E277" s="31">
        <v>60.693333333333335</v>
      </c>
      <c r="F277" s="31">
        <v>16.671666666666667</v>
      </c>
      <c r="G277" s="31">
        <v>57.531111111111109</v>
      </c>
      <c r="H277" s="31">
        <v>0.66555555555555557</v>
      </c>
      <c r="I277" s="31">
        <v>106.23666666666666</v>
      </c>
      <c r="J277" s="31">
        <v>21.048333333333332</v>
      </c>
      <c r="K277" s="31">
        <v>0.98555555555555552</v>
      </c>
      <c r="L277" s="31">
        <v>64.393333333333331</v>
      </c>
      <c r="M277" s="31">
        <v>89.44</v>
      </c>
      <c r="N277" s="33">
        <v>0.2529511362734464</v>
      </c>
      <c r="O277" s="33">
        <v>0.3598972786503164</v>
      </c>
      <c r="P277" s="33">
        <v>0.42684727109182785</v>
      </c>
      <c r="Q277" s="33">
        <v>0.78674454974214425</v>
      </c>
      <c r="R277" s="31">
        <v>0</v>
      </c>
      <c r="S277" s="31" t="str">
        <f>VLOOKUP(A277,Rankings!B:D,3,FALSE)</f>
        <v>NL</v>
      </c>
    </row>
    <row r="278" spans="1:19" ht="18.600000000000001" customHeight="1">
      <c r="A278" s="26" t="s">
        <v>287</v>
      </c>
      <c r="B278" s="27" t="s">
        <v>63</v>
      </c>
      <c r="C278" s="123" t="s">
        <v>23</v>
      </c>
      <c r="D278" s="31">
        <v>455.85000000000008</v>
      </c>
      <c r="E278" s="31">
        <v>64.196666666666673</v>
      </c>
      <c r="F278" s="31">
        <v>16.853333333333335</v>
      </c>
      <c r="G278" s="31">
        <v>56.994999999999997</v>
      </c>
      <c r="H278" s="31">
        <v>11.846666666666666</v>
      </c>
      <c r="I278" s="31">
        <v>101.03444444444445</v>
      </c>
      <c r="J278" s="31">
        <v>20.536666666666665</v>
      </c>
      <c r="K278" s="31">
        <v>2.9777777777777779</v>
      </c>
      <c r="L278" s="31">
        <v>56.886666666666663</v>
      </c>
      <c r="M278" s="31">
        <v>135.14111111111112</v>
      </c>
      <c r="N278" s="33">
        <v>0.22163967191936915</v>
      </c>
      <c r="O278" s="33">
        <v>0.31751971415112473</v>
      </c>
      <c r="P278" s="33">
        <v>0.3906694453584878</v>
      </c>
      <c r="Q278" s="33">
        <v>0.70818915950961259</v>
      </c>
      <c r="R278" s="31">
        <v>0</v>
      </c>
      <c r="S278" s="31" t="str">
        <f>VLOOKUP(A278,Rankings!B:D,3,FALSE)</f>
        <v>NL</v>
      </c>
    </row>
    <row r="279" spans="1:19" ht="18.600000000000001" customHeight="1">
      <c r="A279" s="26" t="s">
        <v>304</v>
      </c>
      <c r="B279" s="27" t="s">
        <v>137</v>
      </c>
      <c r="C279" s="123" t="s">
        <v>23</v>
      </c>
      <c r="D279" s="31">
        <v>435.15555555555557</v>
      </c>
      <c r="E279" s="31">
        <v>58.830000000000005</v>
      </c>
      <c r="F279" s="31">
        <v>14.974444444444444</v>
      </c>
      <c r="G279" s="31">
        <v>56.788888888888891</v>
      </c>
      <c r="H279" s="31">
        <v>7.4922222222222219</v>
      </c>
      <c r="I279" s="31">
        <v>104.48666666666666</v>
      </c>
      <c r="J279" s="31">
        <v>21.973333333333333</v>
      </c>
      <c r="K279" s="31">
        <v>0.98444444444444434</v>
      </c>
      <c r="L279" s="31">
        <v>54.56444444444444</v>
      </c>
      <c r="M279" s="31">
        <v>106.09166666666665</v>
      </c>
      <c r="N279" s="33">
        <v>0.24011336942089673</v>
      </c>
      <c r="O279" s="33">
        <v>0.33365272470950436</v>
      </c>
      <c r="P279" s="33">
        <v>0.39836839955060771</v>
      </c>
      <c r="Q279" s="33">
        <v>0.73202112426011201</v>
      </c>
      <c r="R279" s="31">
        <v>0</v>
      </c>
      <c r="S279" s="31" t="str">
        <f>VLOOKUP(A279,Rankings!B:D,3,FALSE)</f>
        <v>NL</v>
      </c>
    </row>
    <row r="280" spans="1:19" ht="18.600000000000001" customHeight="1">
      <c r="A280" s="26" t="s">
        <v>292</v>
      </c>
      <c r="B280" s="27" t="s">
        <v>123</v>
      </c>
      <c r="C280" s="123" t="s">
        <v>23</v>
      </c>
      <c r="D280" s="31">
        <v>442.43333333333334</v>
      </c>
      <c r="E280" s="31">
        <v>60.958333333333321</v>
      </c>
      <c r="F280" s="31">
        <v>12.023333333333333</v>
      </c>
      <c r="G280" s="31">
        <v>53.51</v>
      </c>
      <c r="H280" s="31">
        <v>5.6099999999999994</v>
      </c>
      <c r="I280" s="31">
        <v>111.48833333333333</v>
      </c>
      <c r="J280" s="31">
        <v>26.983333333333334</v>
      </c>
      <c r="K280" s="31">
        <v>3.0150000000000001</v>
      </c>
      <c r="L280" s="31">
        <v>46.046666666666674</v>
      </c>
      <c r="M280" s="31">
        <v>100.77333333333333</v>
      </c>
      <c r="N280" s="33">
        <v>0.25198900022602272</v>
      </c>
      <c r="O280" s="33">
        <v>0.33162729232868365</v>
      </c>
      <c r="P280" s="33">
        <v>0.4081330520605741</v>
      </c>
      <c r="Q280" s="33">
        <v>0.73976034438925775</v>
      </c>
      <c r="R280" s="31">
        <v>0</v>
      </c>
      <c r="S280" s="31" t="str">
        <f>VLOOKUP(A280,Rankings!B:D,3,FALSE)</f>
        <v>NL</v>
      </c>
    </row>
    <row r="281" spans="1:19" ht="18.600000000000001" customHeight="1">
      <c r="A281" s="26" t="s">
        <v>280</v>
      </c>
      <c r="B281" s="27" t="s">
        <v>95</v>
      </c>
      <c r="C281" s="123" t="s">
        <v>23</v>
      </c>
      <c r="D281" s="31">
        <v>446.7833333333333</v>
      </c>
      <c r="E281" s="31">
        <v>64.486666666666665</v>
      </c>
      <c r="F281" s="31">
        <v>13.026666666666666</v>
      </c>
      <c r="G281" s="31">
        <v>55.352222222222224</v>
      </c>
      <c r="H281" s="31">
        <v>5.3711111111111114</v>
      </c>
      <c r="I281" s="31">
        <v>108.41166666666668</v>
      </c>
      <c r="J281" s="31">
        <v>21.045000000000002</v>
      </c>
      <c r="K281" s="31">
        <v>1.9922222222222221</v>
      </c>
      <c r="L281" s="31">
        <v>54.822222222222223</v>
      </c>
      <c r="M281" s="31">
        <v>104.75777777777778</v>
      </c>
      <c r="N281" s="33">
        <v>0.24264930801656287</v>
      </c>
      <c r="O281" s="33">
        <v>0.33429147022650751</v>
      </c>
      <c r="P281" s="33">
        <v>0.38614043595578273</v>
      </c>
      <c r="Q281" s="33">
        <v>0.72043190618229025</v>
      </c>
      <c r="R281" s="31">
        <v>0</v>
      </c>
      <c r="S281" s="31" t="str">
        <f>VLOOKUP(A281,Rankings!B:D,3,FALSE)</f>
        <v>NL</v>
      </c>
    </row>
    <row r="282" spans="1:19" ht="18.600000000000001" customHeight="1">
      <c r="A282" s="26" t="s">
        <v>370</v>
      </c>
      <c r="B282" s="27" t="s">
        <v>156</v>
      </c>
      <c r="C282" s="123" t="s">
        <v>23</v>
      </c>
      <c r="D282" s="31">
        <v>436.82222222222225</v>
      </c>
      <c r="E282" s="31">
        <v>59.96</v>
      </c>
      <c r="F282" s="31">
        <v>15.985555555555555</v>
      </c>
      <c r="G282" s="31">
        <v>57.118333333333332</v>
      </c>
      <c r="H282" s="31">
        <v>5.746666666666667</v>
      </c>
      <c r="I282" s="31">
        <v>103.36666666666667</v>
      </c>
      <c r="J282" s="31">
        <v>22.597777777777779</v>
      </c>
      <c r="K282" s="31">
        <v>1.9955555555555555</v>
      </c>
      <c r="L282" s="31">
        <v>52.126666666666665</v>
      </c>
      <c r="M282" s="31">
        <v>85.371111111111119</v>
      </c>
      <c r="N282" s="33">
        <v>0.23663326041613675</v>
      </c>
      <c r="O282" s="33">
        <v>0.32719615034823951</v>
      </c>
      <c r="P282" s="33">
        <v>0.40728748028692069</v>
      </c>
      <c r="Q282" s="33">
        <v>0.7344836306351602</v>
      </c>
      <c r="R282" s="31">
        <v>0</v>
      </c>
      <c r="S282" s="31" t="str">
        <f>VLOOKUP(A282,Rankings!B:D,3,FALSE)</f>
        <v>AL</v>
      </c>
    </row>
    <row r="283" spans="1:19" ht="18.600000000000001" customHeight="1">
      <c r="A283" s="26" t="s">
        <v>266</v>
      </c>
      <c r="B283" s="27" t="s">
        <v>78</v>
      </c>
      <c r="C283" s="123" t="s">
        <v>23</v>
      </c>
      <c r="D283" s="31">
        <v>392.7166666666667</v>
      </c>
      <c r="E283" s="31">
        <v>53.48</v>
      </c>
      <c r="F283" s="31">
        <v>8.2149999999999999</v>
      </c>
      <c r="G283" s="31">
        <v>45.608333333333327</v>
      </c>
      <c r="H283" s="31">
        <v>2.0066666666666668</v>
      </c>
      <c r="I283" s="31">
        <v>110.96666666666665</v>
      </c>
      <c r="J283" s="31">
        <v>21.982222222222219</v>
      </c>
      <c r="K283" s="31">
        <v>2.0016666666666665</v>
      </c>
      <c r="L283" s="31">
        <v>36.896666666666668</v>
      </c>
      <c r="M283" s="31">
        <v>52.094444444444441</v>
      </c>
      <c r="N283" s="33">
        <v>0.28256164325425448</v>
      </c>
      <c r="O283" s="33">
        <v>0.35252924725385171</v>
      </c>
      <c r="P283" s="33">
        <v>0.41148552108531739</v>
      </c>
      <c r="Q283" s="33">
        <v>0.76401476833916915</v>
      </c>
      <c r="R283" s="31">
        <v>0</v>
      </c>
      <c r="S283" s="31" t="str">
        <f>VLOOKUP(A283,Rankings!B:D,3,FALSE)</f>
        <v>AL</v>
      </c>
    </row>
    <row r="284" spans="1:19" ht="18.600000000000001" customHeight="1">
      <c r="A284" s="26" t="s">
        <v>317</v>
      </c>
      <c r="B284" s="27" t="s">
        <v>134</v>
      </c>
      <c r="C284" s="123" t="s">
        <v>23</v>
      </c>
      <c r="D284" s="31">
        <v>417.15000000000003</v>
      </c>
      <c r="E284" s="31">
        <v>50.451666666666675</v>
      </c>
      <c r="F284" s="31">
        <v>13.358333333333333</v>
      </c>
      <c r="G284" s="31">
        <v>52.092500000000001</v>
      </c>
      <c r="H284" s="31">
        <v>4.9683333333333328</v>
      </c>
      <c r="I284" s="31">
        <v>107.63249999999999</v>
      </c>
      <c r="J284" s="31">
        <v>21.510833333333334</v>
      </c>
      <c r="K284" s="31">
        <v>1.8</v>
      </c>
      <c r="L284" s="31">
        <v>28.442499999999999</v>
      </c>
      <c r="M284" s="31">
        <v>107.63499999999999</v>
      </c>
      <c r="N284" s="33">
        <v>0.25801869830996038</v>
      </c>
      <c r="O284" s="33">
        <v>0.31549317157813073</v>
      </c>
      <c r="P284" s="33">
        <v>0.414283431219785</v>
      </c>
      <c r="Q284" s="33">
        <v>0.72977660279791579</v>
      </c>
      <c r="R284" s="31">
        <v>0</v>
      </c>
      <c r="S284" s="31" t="str">
        <f>VLOOKUP(A284,Rankings!B:D,3,FALSE)</f>
        <v>NL</v>
      </c>
    </row>
    <row r="285" spans="1:19" ht="18.600000000000001" customHeight="1">
      <c r="A285" s="26" t="s">
        <v>303</v>
      </c>
      <c r="B285" s="27" t="s">
        <v>223</v>
      </c>
      <c r="C285" s="123" t="s">
        <v>23</v>
      </c>
      <c r="D285" s="31">
        <v>392.09999999999997</v>
      </c>
      <c r="E285" s="31">
        <v>53.638333333333343</v>
      </c>
      <c r="F285" s="31">
        <v>12.214999999999998</v>
      </c>
      <c r="G285" s="31">
        <v>46.634999999999998</v>
      </c>
      <c r="H285" s="31">
        <v>11.341666666666667</v>
      </c>
      <c r="I285" s="31">
        <v>96.823333333333338</v>
      </c>
      <c r="J285" s="31">
        <v>17.395</v>
      </c>
      <c r="K285" s="31">
        <v>4.0616666666666665</v>
      </c>
      <c r="L285" s="31">
        <v>36.919999999999995</v>
      </c>
      <c r="M285" s="31">
        <v>81.781111111111116</v>
      </c>
      <c r="N285" s="33">
        <v>0.24693530561931484</v>
      </c>
      <c r="O285" s="33">
        <v>0.3213728275547606</v>
      </c>
      <c r="P285" s="33">
        <v>0.4054747938451076</v>
      </c>
      <c r="Q285" s="33">
        <v>0.72684762139986825</v>
      </c>
      <c r="R285" s="31">
        <v>0</v>
      </c>
      <c r="S285" s="31" t="str">
        <f>VLOOKUP(A285,Rankings!B:D,3,FALSE)</f>
        <v>NL</v>
      </c>
    </row>
    <row r="286" spans="1:19" ht="18.600000000000001" customHeight="1">
      <c r="A286" s="26" t="s">
        <v>342</v>
      </c>
      <c r="B286" s="27" t="s">
        <v>101</v>
      </c>
      <c r="C286" s="123" t="s">
        <v>23</v>
      </c>
      <c r="D286" s="31">
        <v>412.61111111111109</v>
      </c>
      <c r="E286" s="31">
        <v>53.567777777777771</v>
      </c>
      <c r="F286" s="31">
        <v>13.742222222222223</v>
      </c>
      <c r="G286" s="31">
        <v>48.126666666666665</v>
      </c>
      <c r="H286" s="31">
        <v>18.45888888888889</v>
      </c>
      <c r="I286" s="31">
        <v>92.615555555555559</v>
      </c>
      <c r="J286" s="31">
        <v>18.732222222222223</v>
      </c>
      <c r="K286" s="31">
        <v>2.9955555555555553</v>
      </c>
      <c r="L286" s="31">
        <v>26.331666666666663</v>
      </c>
      <c r="M286" s="31">
        <v>147.86555555555557</v>
      </c>
      <c r="N286" s="33">
        <v>0.22446209775144743</v>
      </c>
      <c r="O286" s="33">
        <v>0.28253463644107568</v>
      </c>
      <c r="P286" s="33">
        <v>0.38429783223374181</v>
      </c>
      <c r="Q286" s="33">
        <v>0.66683246867481749</v>
      </c>
      <c r="R286" s="31">
        <v>0</v>
      </c>
      <c r="S286" s="31" t="str">
        <f>VLOOKUP(A286,Rankings!B:D,3,FALSE)</f>
        <v>AL</v>
      </c>
    </row>
    <row r="287" spans="1:19" ht="18.600000000000001" customHeight="1">
      <c r="A287" s="26" t="s">
        <v>321</v>
      </c>
      <c r="B287" s="27" t="s">
        <v>76</v>
      </c>
      <c r="C287" s="123" t="s">
        <v>23</v>
      </c>
      <c r="D287" s="31">
        <v>431.18888888888887</v>
      </c>
      <c r="E287" s="31">
        <v>55.668888888888887</v>
      </c>
      <c r="F287" s="31">
        <v>1.9922222222222221</v>
      </c>
      <c r="G287" s="31">
        <v>35.798888888888889</v>
      </c>
      <c r="H287" s="31">
        <v>21.89222222222222</v>
      </c>
      <c r="I287" s="31">
        <v>108.50444444444445</v>
      </c>
      <c r="J287" s="31">
        <v>20.34888888888889</v>
      </c>
      <c r="K287" s="31">
        <v>1.9955555555555555</v>
      </c>
      <c r="L287" s="31">
        <v>45.136666666666663</v>
      </c>
      <c r="M287" s="31">
        <v>78.718888888888884</v>
      </c>
      <c r="N287" s="33">
        <v>0.25164016801092587</v>
      </c>
      <c r="O287" s="33">
        <v>0.33167479592066595</v>
      </c>
      <c r="P287" s="33">
        <v>0.3219496482593347</v>
      </c>
      <c r="Q287" s="33">
        <v>0.65362444418000065</v>
      </c>
      <c r="R287" s="31">
        <v>0</v>
      </c>
      <c r="S287" s="31" t="str">
        <f>VLOOKUP(A287,Rankings!B:D,3,FALSE)</f>
        <v>AL</v>
      </c>
    </row>
    <row r="288" spans="1:19" ht="18.600000000000001" customHeight="1">
      <c r="A288" s="26" t="s">
        <v>751</v>
      </c>
      <c r="B288" s="27" t="s">
        <v>101</v>
      </c>
      <c r="C288" s="123" t="s">
        <v>23</v>
      </c>
      <c r="D288" s="31">
        <v>391.21666666666664</v>
      </c>
      <c r="E288" s="31">
        <v>47.123333333333335</v>
      </c>
      <c r="F288" s="31">
        <v>9.6183333333333341</v>
      </c>
      <c r="G288" s="31">
        <v>48.726666666666667</v>
      </c>
      <c r="H288" s="31">
        <v>5.8683333333333332</v>
      </c>
      <c r="I288" s="31">
        <v>104.58888888888889</v>
      </c>
      <c r="J288" s="31">
        <v>21.611111111111111</v>
      </c>
      <c r="K288" s="31">
        <v>1.4933333333333334</v>
      </c>
      <c r="L288" s="31">
        <v>22.955000000000002</v>
      </c>
      <c r="M288" s="31">
        <v>78.50333333333333</v>
      </c>
      <c r="N288" s="33">
        <v>0.2673426205995541</v>
      </c>
      <c r="O288" s="33">
        <v>0.31804494237018632</v>
      </c>
      <c r="P288" s="33">
        <v>0.40397477953393263</v>
      </c>
      <c r="Q288" s="33">
        <v>0.72201972190411889</v>
      </c>
      <c r="R288" s="31">
        <v>0</v>
      </c>
      <c r="S288" s="31" t="str">
        <f>VLOOKUP(A288,Rankings!B:D,3,FALSE)</f>
        <v>AL</v>
      </c>
    </row>
    <row r="289" spans="1:19" ht="18.600000000000001" customHeight="1">
      <c r="A289" s="26" t="s">
        <v>139</v>
      </c>
      <c r="B289" s="27" t="s">
        <v>140</v>
      </c>
      <c r="C289" s="123" t="s">
        <v>23</v>
      </c>
      <c r="D289" s="31">
        <v>357.68333333333334</v>
      </c>
      <c r="E289" s="31">
        <v>46.908833333333327</v>
      </c>
      <c r="F289" s="31">
        <v>7.6336666666666666</v>
      </c>
      <c r="G289" s="31">
        <v>34.237833333333334</v>
      </c>
      <c r="H289" s="31">
        <v>27.074166666666667</v>
      </c>
      <c r="I289" s="31">
        <v>84.228166666666667</v>
      </c>
      <c r="J289" s="31">
        <v>18.98</v>
      </c>
      <c r="K289" s="31">
        <v>2.0220000000000002</v>
      </c>
      <c r="L289" s="31">
        <v>29.561000000000003</v>
      </c>
      <c r="M289" s="31">
        <v>89.649333333333331</v>
      </c>
      <c r="N289" s="33">
        <v>0.23548250314524019</v>
      </c>
      <c r="O289" s="33">
        <v>0.3042872629610951</v>
      </c>
      <c r="P289" s="33">
        <v>0.3638781976608732</v>
      </c>
      <c r="Q289" s="33">
        <v>0.66816546062196824</v>
      </c>
      <c r="R289" s="31">
        <v>0</v>
      </c>
      <c r="S289" s="31" t="str">
        <f>VLOOKUP(A289,Rankings!B:D,3,FALSE)</f>
        <v>AL</v>
      </c>
    </row>
    <row r="290" spans="1:19" ht="18.600000000000001" customHeight="1">
      <c r="A290" s="26" t="s">
        <v>380</v>
      </c>
      <c r="B290" s="27" t="s">
        <v>103</v>
      </c>
      <c r="C290" s="123" t="s">
        <v>23</v>
      </c>
      <c r="D290" s="31">
        <v>474.27777777777777</v>
      </c>
      <c r="E290" s="31">
        <v>62.398333333333333</v>
      </c>
      <c r="F290" s="31">
        <v>14.685555555555554</v>
      </c>
      <c r="G290" s="31">
        <v>57.673333333333339</v>
      </c>
      <c r="H290" s="31">
        <v>1.9788888888888889</v>
      </c>
      <c r="I290" s="31">
        <v>112.55444444444443</v>
      </c>
      <c r="J290" s="31">
        <v>27.79111111111111</v>
      </c>
      <c r="K290" s="31">
        <v>1.9133333333333333</v>
      </c>
      <c r="L290" s="31">
        <v>45.06</v>
      </c>
      <c r="M290" s="31">
        <v>102.84500000000001</v>
      </c>
      <c r="N290" s="33">
        <v>0.23731755886142669</v>
      </c>
      <c r="O290" s="33">
        <v>0.31344104058210609</v>
      </c>
      <c r="P290" s="33">
        <v>0.39687478036781071</v>
      </c>
      <c r="Q290" s="33">
        <v>0.71031582094991674</v>
      </c>
      <c r="R290" s="31">
        <v>0</v>
      </c>
      <c r="S290" s="31" t="str">
        <f>VLOOKUP(A290,Rankings!B:D,3,FALSE)</f>
        <v>AL</v>
      </c>
    </row>
    <row r="291" spans="1:19" ht="18.600000000000001" customHeight="1">
      <c r="A291" s="26" t="s">
        <v>429</v>
      </c>
      <c r="B291" s="27" t="s">
        <v>156</v>
      </c>
      <c r="C291" s="123" t="s">
        <v>23</v>
      </c>
      <c r="D291" s="31">
        <v>394.98833333333329</v>
      </c>
      <c r="E291" s="31">
        <v>48.822333333333326</v>
      </c>
      <c r="F291" s="31">
        <v>13.3405</v>
      </c>
      <c r="G291" s="31">
        <v>53.133166666666675</v>
      </c>
      <c r="H291" s="31">
        <v>2.1113333333333335</v>
      </c>
      <c r="I291" s="31">
        <v>102.25916666666666</v>
      </c>
      <c r="J291" s="31">
        <v>20.611000000000001</v>
      </c>
      <c r="K291" s="31">
        <v>1.0556666666666668</v>
      </c>
      <c r="L291" s="31">
        <v>28.306666666666668</v>
      </c>
      <c r="M291" s="31">
        <v>91.4741111111111</v>
      </c>
      <c r="N291" s="33">
        <v>0.25889161283244655</v>
      </c>
      <c r="O291" s="33">
        <v>0.31840911608464101</v>
      </c>
      <c r="P291" s="33">
        <v>0.41774145227918125</v>
      </c>
      <c r="Q291" s="33">
        <v>0.73615056836382231</v>
      </c>
      <c r="R291" s="31">
        <v>0</v>
      </c>
      <c r="S291" s="31" t="str">
        <f>VLOOKUP(A291,Rankings!B:D,3,FALSE)</f>
        <v>AL</v>
      </c>
    </row>
    <row r="292" spans="1:19" ht="18.600000000000001" customHeight="1">
      <c r="A292" s="26" t="s">
        <v>379</v>
      </c>
      <c r="B292" s="27" t="s">
        <v>91</v>
      </c>
      <c r="C292" s="123" t="s">
        <v>23</v>
      </c>
      <c r="D292" s="31">
        <v>444.4111111111111</v>
      </c>
      <c r="E292" s="31">
        <v>54.705555555555556</v>
      </c>
      <c r="F292" s="31">
        <v>10.487777777777778</v>
      </c>
      <c r="G292" s="31">
        <v>48.787777777777784</v>
      </c>
      <c r="H292" s="31">
        <v>12.724444444444444</v>
      </c>
      <c r="I292" s="31">
        <v>105.43666666666667</v>
      </c>
      <c r="J292" s="31">
        <v>20.806666666666668</v>
      </c>
      <c r="K292" s="31">
        <v>3.4499999999999997</v>
      </c>
      <c r="L292" s="31">
        <v>37.454999999999998</v>
      </c>
      <c r="M292" s="31">
        <v>153.54222222222222</v>
      </c>
      <c r="N292" s="33">
        <v>0.23725029377203291</v>
      </c>
      <c r="O292" s="33">
        <v>0.30685954146774647</v>
      </c>
      <c r="P292" s="33">
        <v>0.37039277945845939</v>
      </c>
      <c r="Q292" s="33">
        <v>0.6772523209262058</v>
      </c>
      <c r="R292" s="31">
        <v>0</v>
      </c>
      <c r="S292" s="31" t="str">
        <f>VLOOKUP(A292,Rankings!B:D,3,FALSE)</f>
        <v>NL</v>
      </c>
    </row>
    <row r="293" spans="1:19" ht="18.600000000000001" customHeight="1">
      <c r="A293" s="26" t="s">
        <v>395</v>
      </c>
      <c r="B293" s="27" t="s">
        <v>71</v>
      </c>
      <c r="C293" s="123" t="s">
        <v>23</v>
      </c>
      <c r="D293" s="31">
        <v>419.84722222222223</v>
      </c>
      <c r="E293" s="31">
        <v>52.864444444444445</v>
      </c>
      <c r="F293" s="31">
        <v>17.666666666666664</v>
      </c>
      <c r="G293" s="31">
        <v>53.531111111111109</v>
      </c>
      <c r="H293" s="31">
        <v>10.79</v>
      </c>
      <c r="I293" s="31">
        <v>92.789444444444442</v>
      </c>
      <c r="J293" s="31">
        <v>20.972222222222221</v>
      </c>
      <c r="K293" s="31">
        <v>1.1108333333333333</v>
      </c>
      <c r="L293" s="31">
        <v>37.257500000000007</v>
      </c>
      <c r="M293" s="31">
        <v>116.72814814814815</v>
      </c>
      <c r="N293" s="33">
        <v>0.22100764166859638</v>
      </c>
      <c r="O293" s="33">
        <v>0.2952600013217847</v>
      </c>
      <c r="P293" s="33">
        <v>0.40248767739587815</v>
      </c>
      <c r="Q293" s="33">
        <v>0.69774767871766286</v>
      </c>
      <c r="R293" s="31">
        <v>0</v>
      </c>
      <c r="S293" s="31" t="str">
        <f>VLOOKUP(A293,Rankings!B:D,3,FALSE)</f>
        <v>AL</v>
      </c>
    </row>
    <row r="294" spans="1:19" ht="20.100000000000001" customHeight="1">
      <c r="A294" s="26" t="s">
        <v>363</v>
      </c>
      <c r="B294" s="27" t="s">
        <v>73</v>
      </c>
      <c r="C294" s="123" t="s">
        <v>23</v>
      </c>
      <c r="D294" s="31">
        <v>372.44166666666666</v>
      </c>
      <c r="E294" s="31">
        <v>48.888333333333328</v>
      </c>
      <c r="F294" s="31">
        <v>17.357500000000002</v>
      </c>
      <c r="G294" s="31">
        <v>54.568333333333328</v>
      </c>
      <c r="H294" s="31">
        <v>2.1475</v>
      </c>
      <c r="I294" s="31">
        <v>91.080833333333331</v>
      </c>
      <c r="J294" s="31">
        <v>15.993333333333334</v>
      </c>
      <c r="K294" s="31">
        <v>0.9916666666666667</v>
      </c>
      <c r="L294" s="31">
        <v>33.648333333333333</v>
      </c>
      <c r="M294" s="31">
        <v>95.545000000000002</v>
      </c>
      <c r="N294" s="33">
        <v>0.2445506007652205</v>
      </c>
      <c r="O294" s="33">
        <v>0.31699242747401385</v>
      </c>
      <c r="P294" s="33">
        <v>0.43263150828988878</v>
      </c>
      <c r="Q294" s="33">
        <v>0.74962393576390263</v>
      </c>
      <c r="R294" s="31">
        <v>0</v>
      </c>
      <c r="S294" s="31" t="str">
        <f>VLOOKUP(A294,Rankings!B:D,3,FALSE)</f>
        <v>NL</v>
      </c>
    </row>
    <row r="295" spans="1:19" ht="18.600000000000001" customHeight="1">
      <c r="A295" s="26" t="s">
        <v>387</v>
      </c>
      <c r="B295" s="27" t="s">
        <v>86</v>
      </c>
      <c r="C295" s="123" t="s">
        <v>23</v>
      </c>
      <c r="D295" s="31">
        <v>413.2</v>
      </c>
      <c r="E295" s="31">
        <v>49.800000000000004</v>
      </c>
      <c r="F295" s="31">
        <v>9.6422222222222214</v>
      </c>
      <c r="G295" s="31">
        <v>42.083333333333329</v>
      </c>
      <c r="H295" s="31">
        <v>16.861111111111111</v>
      </c>
      <c r="I295" s="31">
        <v>97.643333333333331</v>
      </c>
      <c r="J295" s="31">
        <v>19.691666666666666</v>
      </c>
      <c r="K295" s="31">
        <v>2.9822222222222226</v>
      </c>
      <c r="L295" s="31">
        <v>32.171666666666674</v>
      </c>
      <c r="M295" s="31">
        <v>113.29444444444444</v>
      </c>
      <c r="N295" s="33">
        <v>0.23631010003226846</v>
      </c>
      <c r="O295" s="33">
        <v>0.30205898856021679</v>
      </c>
      <c r="P295" s="33">
        <v>0.36840781972679365</v>
      </c>
      <c r="Q295" s="33">
        <v>0.67046680828701044</v>
      </c>
      <c r="R295" s="31">
        <v>0</v>
      </c>
      <c r="S295" s="31" t="str">
        <f>VLOOKUP(A295,Rankings!B:D,3,FALSE)</f>
        <v>AL</v>
      </c>
    </row>
    <row r="296" spans="1:19" ht="18.600000000000001" customHeight="1">
      <c r="A296" s="26" t="s">
        <v>398</v>
      </c>
      <c r="B296" s="27" t="s">
        <v>176</v>
      </c>
      <c r="C296" s="123" t="s">
        <v>23</v>
      </c>
      <c r="D296" s="31">
        <v>391</v>
      </c>
      <c r="E296" s="31">
        <v>49.744999999999997</v>
      </c>
      <c r="F296" s="31">
        <v>3.8255555555555554</v>
      </c>
      <c r="G296" s="31">
        <v>38.121111111111112</v>
      </c>
      <c r="H296" s="31">
        <v>3.9622222222222221</v>
      </c>
      <c r="I296" s="31">
        <v>111.52555555555556</v>
      </c>
      <c r="J296" s="31">
        <v>20.77</v>
      </c>
      <c r="K296" s="31">
        <v>2.9688888888888889</v>
      </c>
      <c r="L296" s="31">
        <v>26.048333333333336</v>
      </c>
      <c r="M296" s="31">
        <v>69.11666666666666</v>
      </c>
      <c r="N296" s="33">
        <v>0.28523159988633134</v>
      </c>
      <c r="O296" s="33">
        <v>0.3390110409812388</v>
      </c>
      <c r="P296" s="33">
        <v>0.3828900255754476</v>
      </c>
      <c r="Q296" s="33">
        <v>0.7219010665566864</v>
      </c>
      <c r="R296" s="31">
        <v>0</v>
      </c>
      <c r="S296" s="31" t="str">
        <f>VLOOKUP(A296,Rankings!B:D,3,FALSE)</f>
        <v>NL</v>
      </c>
    </row>
    <row r="297" spans="1:19" ht="18.600000000000001" customHeight="1">
      <c r="A297" s="26" t="s">
        <v>344</v>
      </c>
      <c r="B297" s="27" t="s">
        <v>97</v>
      </c>
      <c r="C297" s="123" t="s">
        <v>23</v>
      </c>
      <c r="D297" s="31">
        <v>382.8</v>
      </c>
      <c r="E297" s="31">
        <v>48.208333333333336</v>
      </c>
      <c r="F297" s="31">
        <v>9.1875</v>
      </c>
      <c r="G297" s="31">
        <v>42.05833333333333</v>
      </c>
      <c r="H297" s="31">
        <v>16.93</v>
      </c>
      <c r="I297" s="31">
        <v>91.070000000000007</v>
      </c>
      <c r="J297" s="31">
        <v>18.400000000000002</v>
      </c>
      <c r="K297" s="31">
        <v>1.9950000000000001</v>
      </c>
      <c r="L297" s="31">
        <v>35.68</v>
      </c>
      <c r="M297" s="31">
        <v>130.79249999999999</v>
      </c>
      <c r="N297" s="33">
        <v>0.23790491118077325</v>
      </c>
      <c r="O297" s="33">
        <v>0.31287152345847885</v>
      </c>
      <c r="P297" s="33">
        <v>0.36839733542319741</v>
      </c>
      <c r="Q297" s="33">
        <v>0.68126885888167621</v>
      </c>
      <c r="R297" s="31">
        <v>0</v>
      </c>
      <c r="S297" s="31" t="str">
        <f>VLOOKUP(A297,Rankings!B:D,3,FALSE)</f>
        <v>NL</v>
      </c>
    </row>
    <row r="298" spans="1:19" ht="18.600000000000001" customHeight="1">
      <c r="A298" s="26" t="s">
        <v>397</v>
      </c>
      <c r="B298" s="27" t="s">
        <v>114</v>
      </c>
      <c r="C298" s="123" t="s">
        <v>23</v>
      </c>
      <c r="D298" s="31">
        <v>406.55</v>
      </c>
      <c r="E298" s="31">
        <v>49.705000000000005</v>
      </c>
      <c r="F298" s="31">
        <v>15.138333333333334</v>
      </c>
      <c r="G298" s="31">
        <v>52.943333333333328</v>
      </c>
      <c r="H298" s="31">
        <v>2.9916666666666667</v>
      </c>
      <c r="I298" s="31">
        <v>99.28166666666668</v>
      </c>
      <c r="J298" s="31">
        <v>17.39</v>
      </c>
      <c r="K298" s="31">
        <v>1.6733333333333331</v>
      </c>
      <c r="L298" s="31">
        <v>25.09</v>
      </c>
      <c r="M298" s="31">
        <v>111.03166666666668</v>
      </c>
      <c r="N298" s="33">
        <v>0.24420530480055758</v>
      </c>
      <c r="O298" s="33">
        <v>0.29901094918022375</v>
      </c>
      <c r="P298" s="33">
        <v>0.40692001803796168</v>
      </c>
      <c r="Q298" s="33">
        <v>0.70593096721818549</v>
      </c>
      <c r="R298" s="31">
        <v>0</v>
      </c>
      <c r="S298" s="31" t="str">
        <f>VLOOKUP(A298,Rankings!B:D,3,FALSE)</f>
        <v>AL</v>
      </c>
    </row>
    <row r="299" spans="1:19" ht="18.600000000000001" customHeight="1">
      <c r="A299" s="26" t="s">
        <v>369</v>
      </c>
      <c r="B299" s="27" t="s">
        <v>117</v>
      </c>
      <c r="C299" s="123" t="s">
        <v>23</v>
      </c>
      <c r="D299" s="31">
        <v>403.40000000000003</v>
      </c>
      <c r="E299" s="31">
        <v>49.233333333333327</v>
      </c>
      <c r="F299" s="31">
        <v>9.1283333333333339</v>
      </c>
      <c r="G299" s="31">
        <v>43.957777777777778</v>
      </c>
      <c r="H299" s="31">
        <v>14.814444444444446</v>
      </c>
      <c r="I299" s="31">
        <v>95.383333333333326</v>
      </c>
      <c r="J299" s="31">
        <v>19.216666666666665</v>
      </c>
      <c r="K299" s="31">
        <v>3.9844444444444442</v>
      </c>
      <c r="L299" s="31">
        <v>29.590000000000003</v>
      </c>
      <c r="M299" s="31">
        <v>107.87444444444445</v>
      </c>
      <c r="N299" s="33">
        <v>0.2364485209056354</v>
      </c>
      <c r="O299" s="33">
        <v>0.29936923178090613</v>
      </c>
      <c r="P299" s="33">
        <v>0.37172505921886184</v>
      </c>
      <c r="Q299" s="33">
        <v>0.67109429099976792</v>
      </c>
      <c r="R299" s="31">
        <v>0</v>
      </c>
      <c r="S299" s="31" t="str">
        <f>VLOOKUP(A299,Rankings!B:D,3,FALSE)</f>
        <v>AL</v>
      </c>
    </row>
    <row r="300" spans="1:19" ht="18.600000000000001" customHeight="1">
      <c r="A300" s="26" t="s">
        <v>401</v>
      </c>
      <c r="B300" s="27" t="s">
        <v>97</v>
      </c>
      <c r="C300" s="123" t="s">
        <v>23</v>
      </c>
      <c r="D300" s="31">
        <v>371.93333333333334</v>
      </c>
      <c r="E300" s="31">
        <v>46.771666666666668</v>
      </c>
      <c r="F300" s="31">
        <v>15.464999999999998</v>
      </c>
      <c r="G300" s="31">
        <v>50.485000000000007</v>
      </c>
      <c r="H300" s="31">
        <v>5.085</v>
      </c>
      <c r="I300" s="31">
        <v>86.948333333333323</v>
      </c>
      <c r="J300" s="31">
        <v>18.126666666666669</v>
      </c>
      <c r="K300" s="31">
        <v>2.0716666666666668</v>
      </c>
      <c r="L300" s="31">
        <v>25.594999999999999</v>
      </c>
      <c r="M300" s="31">
        <v>97.513333333333335</v>
      </c>
      <c r="N300" s="33">
        <v>0.23377397383043552</v>
      </c>
      <c r="O300" s="33">
        <v>0.29411504382054654</v>
      </c>
      <c r="P300" s="33">
        <v>0.41839039254346649</v>
      </c>
      <c r="Q300" s="33">
        <v>0.71250543636401309</v>
      </c>
      <c r="R300" s="31">
        <v>0</v>
      </c>
      <c r="S300" s="31" t="str">
        <f>VLOOKUP(A300,Rankings!B:D,3,FALSE)</f>
        <v>NL</v>
      </c>
    </row>
    <row r="301" spans="1:19" ht="18.600000000000001" customHeight="1">
      <c r="A301" s="26" t="s">
        <v>416</v>
      </c>
      <c r="B301" s="27" t="s">
        <v>223</v>
      </c>
      <c r="C301" s="123" t="s">
        <v>23</v>
      </c>
      <c r="D301" s="31">
        <v>380.96666666666664</v>
      </c>
      <c r="E301" s="31">
        <v>46.925000000000004</v>
      </c>
      <c r="F301" s="31">
        <v>7.830000000000001</v>
      </c>
      <c r="G301" s="31">
        <v>38.06444444444444</v>
      </c>
      <c r="H301" s="31">
        <v>9.9811111111111117</v>
      </c>
      <c r="I301" s="31">
        <v>95.86</v>
      </c>
      <c r="J301" s="31">
        <v>20.476666666666667</v>
      </c>
      <c r="K301" s="31">
        <v>1.7855555555555556</v>
      </c>
      <c r="L301" s="31">
        <v>31.781666666666666</v>
      </c>
      <c r="M301" s="31">
        <v>76.596666666666664</v>
      </c>
      <c r="N301" s="33">
        <v>0.25162306413509494</v>
      </c>
      <c r="O301" s="33">
        <v>0.31907057240367831</v>
      </c>
      <c r="P301" s="33">
        <v>0.3764050514772363</v>
      </c>
      <c r="Q301" s="33">
        <v>0.69547562388091455</v>
      </c>
      <c r="R301" s="31">
        <v>0</v>
      </c>
      <c r="S301" s="31" t="str">
        <f>VLOOKUP(A301,Rankings!B:D,3,FALSE)</f>
        <v>NL</v>
      </c>
    </row>
    <row r="302" spans="1:19" ht="18.600000000000001" customHeight="1">
      <c r="A302" s="26" t="s">
        <v>368</v>
      </c>
      <c r="B302" s="27" t="s">
        <v>117</v>
      </c>
      <c r="C302" s="123" t="s">
        <v>23</v>
      </c>
      <c r="D302" s="31">
        <v>333.81666666666666</v>
      </c>
      <c r="E302" s="31">
        <v>42.314999999999998</v>
      </c>
      <c r="F302" s="31">
        <v>9.3766666666666669</v>
      </c>
      <c r="G302" s="31">
        <v>38.706666666666671</v>
      </c>
      <c r="H302" s="31">
        <v>7.9077777777777776</v>
      </c>
      <c r="I302" s="31">
        <v>85.935000000000002</v>
      </c>
      <c r="J302" s="31">
        <v>16.2</v>
      </c>
      <c r="K302" s="31">
        <v>1.4583333333333333</v>
      </c>
      <c r="L302" s="31">
        <v>23.001666666666665</v>
      </c>
      <c r="M302" s="31">
        <v>69.476666666666674</v>
      </c>
      <c r="N302" s="33">
        <v>0.2574317240001997</v>
      </c>
      <c r="O302" s="33">
        <v>0.31541000712447848</v>
      </c>
      <c r="P302" s="33">
        <v>0.39896649857706329</v>
      </c>
      <c r="Q302" s="33">
        <v>0.71437650570154176</v>
      </c>
      <c r="R302" s="31">
        <v>0</v>
      </c>
      <c r="S302" s="31" t="str">
        <f>VLOOKUP(A302,Rankings!B:D,3,FALSE)</f>
        <v>AL</v>
      </c>
    </row>
    <row r="303" spans="1:19" ht="18.600000000000001" customHeight="1">
      <c r="A303" s="26" t="s">
        <v>419</v>
      </c>
      <c r="B303" s="27" t="s">
        <v>103</v>
      </c>
      <c r="C303" s="123" t="s">
        <v>23</v>
      </c>
      <c r="D303" s="31">
        <v>382.34444444444443</v>
      </c>
      <c r="E303" s="31">
        <v>48.867777777777775</v>
      </c>
      <c r="F303" s="31">
        <v>20.671666666666667</v>
      </c>
      <c r="G303" s="31">
        <v>58.217777777777776</v>
      </c>
      <c r="H303" s="31">
        <v>2</v>
      </c>
      <c r="I303" s="31">
        <v>83.137777777777771</v>
      </c>
      <c r="J303" s="31">
        <v>16.832222222222224</v>
      </c>
      <c r="K303" s="31">
        <v>1.3344444444444445</v>
      </c>
      <c r="L303" s="31">
        <v>27.963333333333335</v>
      </c>
      <c r="M303" s="31">
        <v>126.96666666666665</v>
      </c>
      <c r="N303" s="33">
        <v>0.21744209700386502</v>
      </c>
      <c r="O303" s="33">
        <v>0.28223619825193214</v>
      </c>
      <c r="P303" s="33">
        <v>0.43064281770364127</v>
      </c>
      <c r="Q303" s="33">
        <v>0.71287901595557335</v>
      </c>
      <c r="R303" s="31">
        <v>0</v>
      </c>
      <c r="S303" s="31" t="str">
        <f>VLOOKUP(A303,Rankings!B:D,3,FALSE)</f>
        <v>AL</v>
      </c>
    </row>
    <row r="304" spans="1:19" ht="18.600000000000001" customHeight="1">
      <c r="A304" s="26" t="s">
        <v>372</v>
      </c>
      <c r="B304" s="27" t="s">
        <v>78</v>
      </c>
      <c r="C304" s="123" t="s">
        <v>23</v>
      </c>
      <c r="D304" s="31">
        <v>373.59999999999997</v>
      </c>
      <c r="E304" s="31">
        <v>50.455555555555556</v>
      </c>
      <c r="F304" s="31">
        <v>13.066666666666668</v>
      </c>
      <c r="G304" s="31">
        <v>48.321111111111115</v>
      </c>
      <c r="H304" s="31">
        <v>5.974444444444444</v>
      </c>
      <c r="I304" s="31">
        <v>87.393333333333331</v>
      </c>
      <c r="J304" s="31">
        <v>14.52222222222222</v>
      </c>
      <c r="K304" s="31">
        <v>1.9822222222222223</v>
      </c>
      <c r="L304" s="31">
        <v>41.782222222222224</v>
      </c>
      <c r="M304" s="31">
        <v>112.92555555555555</v>
      </c>
      <c r="N304" s="33">
        <v>0.23392219842969308</v>
      </c>
      <c r="O304" s="33">
        <v>0.32049376977634547</v>
      </c>
      <c r="P304" s="33">
        <v>0.3883297644539615</v>
      </c>
      <c r="Q304" s="33">
        <v>0.70882353423030697</v>
      </c>
      <c r="R304" s="31">
        <v>0</v>
      </c>
      <c r="S304" s="31" t="str">
        <f>VLOOKUP(A304,Rankings!B:D,3,FALSE)</f>
        <v>AL</v>
      </c>
    </row>
    <row r="305" spans="1:19" ht="18.600000000000001" customHeight="1">
      <c r="A305" s="26" t="s">
        <v>327</v>
      </c>
      <c r="B305" s="27" t="s">
        <v>258</v>
      </c>
      <c r="C305" s="123" t="s">
        <v>23</v>
      </c>
      <c r="D305" s="31">
        <v>360.61111111111109</v>
      </c>
      <c r="E305" s="31">
        <v>47.618888888888897</v>
      </c>
      <c r="F305" s="31">
        <v>8.8466666666666658</v>
      </c>
      <c r="G305" s="31">
        <v>35.728333333333332</v>
      </c>
      <c r="H305" s="31">
        <v>17.526666666666667</v>
      </c>
      <c r="I305" s="31">
        <v>83.49</v>
      </c>
      <c r="J305" s="31">
        <v>15.256666666666668</v>
      </c>
      <c r="K305" s="31">
        <v>4.1050000000000004</v>
      </c>
      <c r="L305" s="31">
        <v>40.424999999999997</v>
      </c>
      <c r="M305" s="31">
        <v>103.04777777777777</v>
      </c>
      <c r="N305" s="33">
        <v>0.23152364812817747</v>
      </c>
      <c r="O305" s="33">
        <v>0.3185762530880758</v>
      </c>
      <c r="P305" s="33">
        <v>0.37019565552303185</v>
      </c>
      <c r="Q305" s="33">
        <v>0.68877190861110771</v>
      </c>
      <c r="R305" s="31">
        <v>0</v>
      </c>
      <c r="S305" s="31" t="str">
        <f>VLOOKUP(A305,Rankings!B:D,3,FALSE)</f>
        <v>AL</v>
      </c>
    </row>
    <row r="306" spans="1:19" ht="18.600000000000001" customHeight="1">
      <c r="A306" s="26" t="s">
        <v>428</v>
      </c>
      <c r="B306" s="27" t="s">
        <v>156</v>
      </c>
      <c r="C306" s="123" t="s">
        <v>23</v>
      </c>
      <c r="D306" s="31">
        <v>404.66666666666669</v>
      </c>
      <c r="E306" s="31">
        <v>59.66</v>
      </c>
      <c r="F306" s="31">
        <v>23.481666666666666</v>
      </c>
      <c r="G306" s="31">
        <v>59.728333333333332</v>
      </c>
      <c r="H306" s="31">
        <v>4.003333333333333</v>
      </c>
      <c r="I306" s="31">
        <v>77.645555555555561</v>
      </c>
      <c r="J306" s="31">
        <v>13.796666666666667</v>
      </c>
      <c r="K306" s="31">
        <v>1.0283333333333333</v>
      </c>
      <c r="L306" s="31">
        <v>70.355000000000004</v>
      </c>
      <c r="M306" s="31">
        <v>172.34555555555553</v>
      </c>
      <c r="N306" s="33">
        <v>0.19187534321801208</v>
      </c>
      <c r="O306" s="33">
        <v>0.32057394710846943</v>
      </c>
      <c r="P306" s="33">
        <v>0.40513316858868748</v>
      </c>
      <c r="Q306" s="33">
        <v>0.72570711569715685</v>
      </c>
      <c r="R306" s="31">
        <v>0</v>
      </c>
      <c r="S306" s="31" t="str">
        <f>VLOOKUP(A306,Rankings!B:D,3,FALSE)</f>
        <v>AL</v>
      </c>
    </row>
    <row r="307" spans="1:19" ht="18.600000000000001" customHeight="1">
      <c r="A307" s="26" t="s">
        <v>392</v>
      </c>
      <c r="B307" s="27" t="s">
        <v>73</v>
      </c>
      <c r="C307" s="123" t="s">
        <v>23</v>
      </c>
      <c r="D307" s="31">
        <v>378.56666666666666</v>
      </c>
      <c r="E307" s="31">
        <v>44.74666666666667</v>
      </c>
      <c r="F307" s="31">
        <v>12.035000000000002</v>
      </c>
      <c r="G307" s="31">
        <v>48.297777777777775</v>
      </c>
      <c r="H307" s="31">
        <v>6.4211111111111121</v>
      </c>
      <c r="I307" s="31">
        <v>91.098888888888894</v>
      </c>
      <c r="J307" s="31">
        <v>17.445555555555554</v>
      </c>
      <c r="K307" s="31">
        <v>1.46</v>
      </c>
      <c r="L307" s="31">
        <v>25.133333333333336</v>
      </c>
      <c r="M307" s="31">
        <v>83.158333333333346</v>
      </c>
      <c r="N307" s="33">
        <v>0.240641601361862</v>
      </c>
      <c r="O307" s="33">
        <v>0.29875394134530819</v>
      </c>
      <c r="P307" s="33">
        <v>0.38981098294737465</v>
      </c>
      <c r="Q307" s="33">
        <v>0.68856492429268279</v>
      </c>
      <c r="R307" s="31">
        <v>0</v>
      </c>
      <c r="S307" s="31" t="str">
        <f>VLOOKUP(A307,Rankings!B:D,3,FALSE)</f>
        <v>NL</v>
      </c>
    </row>
    <row r="308" spans="1:19" ht="18.600000000000001" customHeight="1">
      <c r="A308" s="26" t="s">
        <v>640</v>
      </c>
      <c r="B308" s="27" t="s">
        <v>120</v>
      </c>
      <c r="C308" s="123" t="s">
        <v>23</v>
      </c>
      <c r="D308" s="31">
        <v>330.76666666666665</v>
      </c>
      <c r="E308" s="31">
        <v>43.166666666666664</v>
      </c>
      <c r="F308" s="31">
        <v>7.43</v>
      </c>
      <c r="G308" s="31">
        <v>38.783333333333331</v>
      </c>
      <c r="H308" s="31">
        <v>6.6722222222222216</v>
      </c>
      <c r="I308" s="31">
        <v>86.757777777777775</v>
      </c>
      <c r="J308" s="31">
        <v>17.955555555555556</v>
      </c>
      <c r="K308" s="31">
        <v>2.9444444444444442</v>
      </c>
      <c r="L308" s="31">
        <v>24.50333333333333</v>
      </c>
      <c r="M308" s="31">
        <v>67.715000000000003</v>
      </c>
      <c r="N308" s="33">
        <v>0.26229298935133866</v>
      </c>
      <c r="O308" s="33">
        <v>0.32291996390095967</v>
      </c>
      <c r="P308" s="33">
        <v>0.40177029796096603</v>
      </c>
      <c r="Q308" s="33">
        <v>0.72469026186192576</v>
      </c>
      <c r="R308" s="31">
        <v>0</v>
      </c>
      <c r="S308" s="31" t="str">
        <f>VLOOKUP(A308,Rankings!B:D,3,FALSE)</f>
        <v>NL</v>
      </c>
    </row>
    <row r="309" spans="1:19" ht="18.600000000000001" customHeight="1">
      <c r="A309" s="26" t="s">
        <v>413</v>
      </c>
      <c r="B309" s="27" t="s">
        <v>81</v>
      </c>
      <c r="C309" s="123" t="s">
        <v>23</v>
      </c>
      <c r="D309" s="31">
        <v>380.26666666666665</v>
      </c>
      <c r="E309" s="31">
        <v>45.677777777777777</v>
      </c>
      <c r="F309" s="31">
        <v>10.86888888888889</v>
      </c>
      <c r="G309" s="31">
        <v>49.03</v>
      </c>
      <c r="H309" s="31">
        <v>2.0099999999999998</v>
      </c>
      <c r="I309" s="31">
        <v>95.853333333333339</v>
      </c>
      <c r="J309" s="31">
        <v>21.316666666666666</v>
      </c>
      <c r="K309" s="31">
        <v>2.36</v>
      </c>
      <c r="L309" s="31">
        <v>33.326666666666668</v>
      </c>
      <c r="M309" s="31">
        <v>90.21</v>
      </c>
      <c r="N309" s="33">
        <v>0.25206872370266481</v>
      </c>
      <c r="O309" s="33">
        <v>0.32199895365431591</v>
      </c>
      <c r="P309" s="33">
        <v>0.40628506311360452</v>
      </c>
      <c r="Q309" s="33">
        <v>0.72828401676792043</v>
      </c>
      <c r="R309" s="31">
        <v>0</v>
      </c>
      <c r="S309" s="31" t="str">
        <f>VLOOKUP(A309,Rankings!B:D,3,FALSE)</f>
        <v>NL</v>
      </c>
    </row>
    <row r="310" spans="1:19" ht="18.600000000000001" customHeight="1">
      <c r="A310" s="26" t="s">
        <v>373</v>
      </c>
      <c r="B310" s="27" t="s">
        <v>258</v>
      </c>
      <c r="C310" s="123" t="s">
        <v>23</v>
      </c>
      <c r="D310" s="31">
        <v>360.45000000000005</v>
      </c>
      <c r="E310" s="31">
        <v>43.976666666666667</v>
      </c>
      <c r="F310" s="31">
        <v>14.183333333333332</v>
      </c>
      <c r="G310" s="31">
        <v>47.288333333333334</v>
      </c>
      <c r="H310" s="31">
        <v>4.0166666666666666</v>
      </c>
      <c r="I310" s="31">
        <v>87.596666666666678</v>
      </c>
      <c r="J310" s="31">
        <v>17.62</v>
      </c>
      <c r="K310" s="31">
        <v>1.9966666666666668</v>
      </c>
      <c r="L310" s="31">
        <v>24.925000000000001</v>
      </c>
      <c r="M310" s="31">
        <v>91.894444444444446</v>
      </c>
      <c r="N310" s="33">
        <v>0.24302029870069819</v>
      </c>
      <c r="O310" s="33">
        <v>0.30262538380786791</v>
      </c>
      <c r="P310" s="33">
        <v>0.42102926896934378</v>
      </c>
      <c r="Q310" s="33">
        <v>0.72365465277721164</v>
      </c>
      <c r="R310" s="31">
        <v>0</v>
      </c>
      <c r="S310" s="31" t="str">
        <f>VLOOKUP(A310,Rankings!B:D,3,FALSE)</f>
        <v>AL</v>
      </c>
    </row>
    <row r="311" spans="1:19" ht="18.600000000000001" customHeight="1">
      <c r="A311" s="26" t="s">
        <v>396</v>
      </c>
      <c r="B311" s="27"/>
      <c r="C311" s="123" t="s">
        <v>23</v>
      </c>
      <c r="D311" s="31">
        <v>371.27777777777777</v>
      </c>
      <c r="E311" s="31">
        <v>52.081111111111113</v>
      </c>
      <c r="F311" s="31">
        <v>9.7544444444444434</v>
      </c>
      <c r="G311" s="31">
        <v>41.505555555555553</v>
      </c>
      <c r="H311" s="31">
        <v>6.253333333333333</v>
      </c>
      <c r="I311" s="31">
        <v>90.628888888888881</v>
      </c>
      <c r="J311" s="31">
        <v>19.91</v>
      </c>
      <c r="K311" s="31">
        <v>1.788888888888889</v>
      </c>
      <c r="L311" s="31">
        <v>44.084444444444443</v>
      </c>
      <c r="M311" s="31">
        <v>65.173333333333332</v>
      </c>
      <c r="N311" s="33">
        <v>0.24409995510998053</v>
      </c>
      <c r="O311" s="33">
        <v>0.33326861469760211</v>
      </c>
      <c r="P311" s="33">
        <v>0.38617985934460569</v>
      </c>
      <c r="Q311" s="33">
        <v>0.7194484740422078</v>
      </c>
      <c r="R311" s="31">
        <v>0</v>
      </c>
      <c r="S311" s="31" t="str">
        <f>VLOOKUP(A311,Rankings!B:D,3,FALSE)</f>
        <v>AL</v>
      </c>
    </row>
    <row r="312" spans="1:19" ht="18.600000000000001" customHeight="1">
      <c r="A312" s="26" t="s">
        <v>604</v>
      </c>
      <c r="B312" s="27" t="s">
        <v>176</v>
      </c>
      <c r="C312" s="123" t="s">
        <v>23</v>
      </c>
      <c r="D312" s="31">
        <v>295.2833333333333</v>
      </c>
      <c r="E312" s="31">
        <v>41.058333333333337</v>
      </c>
      <c r="F312" s="31">
        <v>11.530000000000001</v>
      </c>
      <c r="G312" s="31">
        <v>43.62166666666667</v>
      </c>
      <c r="H312" s="31">
        <v>2.9466666666666668</v>
      </c>
      <c r="I312" s="31">
        <v>75.688333333333333</v>
      </c>
      <c r="J312" s="31">
        <v>16.21166666666667</v>
      </c>
      <c r="K312" s="31">
        <v>1.1733333333333333</v>
      </c>
      <c r="L312" s="31">
        <v>31.109999999999996</v>
      </c>
      <c r="M312" s="31">
        <v>71.447777777777773</v>
      </c>
      <c r="N312" s="33">
        <v>0.25632443415928208</v>
      </c>
      <c r="O312" s="33">
        <v>0.33614005097428395</v>
      </c>
      <c r="P312" s="33">
        <v>0.43631540328498047</v>
      </c>
      <c r="Q312" s="33">
        <v>0.77245545425926443</v>
      </c>
      <c r="R312" s="31">
        <v>0</v>
      </c>
      <c r="S312" s="31" t="str">
        <f>VLOOKUP(A312,Rankings!B:D,3,FALSE)</f>
        <v>NL</v>
      </c>
    </row>
    <row r="313" spans="1:19" ht="18.600000000000001" customHeight="1">
      <c r="A313" s="26" t="s">
        <v>471</v>
      </c>
      <c r="B313" s="27" t="s">
        <v>71</v>
      </c>
      <c r="C313" s="123" t="s">
        <v>23</v>
      </c>
      <c r="D313" s="31">
        <v>353.7833333333333</v>
      </c>
      <c r="E313" s="31">
        <v>43.04</v>
      </c>
      <c r="F313" s="31">
        <v>12.876666666666665</v>
      </c>
      <c r="G313" s="31">
        <v>44.945</v>
      </c>
      <c r="H313" s="31">
        <v>3.9683333333333333</v>
      </c>
      <c r="I313" s="31">
        <v>86.616666666666674</v>
      </c>
      <c r="J313" s="31">
        <v>18.478333333333335</v>
      </c>
      <c r="K313" s="31">
        <v>0.9916666666666667</v>
      </c>
      <c r="L313" s="31">
        <v>24.801666666666666</v>
      </c>
      <c r="M313" s="31">
        <v>80.240833333333327</v>
      </c>
      <c r="N313" s="33">
        <v>0.24482969802609889</v>
      </c>
      <c r="O313" s="33">
        <v>0.3048449080631162</v>
      </c>
      <c r="P313" s="33">
        <v>0.41185753992556656</v>
      </c>
      <c r="Q313" s="33">
        <v>0.71670244798868277</v>
      </c>
      <c r="R313" s="31">
        <v>0</v>
      </c>
      <c r="S313" s="31" t="str">
        <f>VLOOKUP(A313,Rankings!B:D,3,FALSE)</f>
        <v>AL</v>
      </c>
    </row>
    <row r="314" spans="1:19" ht="20.100000000000001" customHeight="1">
      <c r="A314" s="26" t="s">
        <v>457</v>
      </c>
      <c r="B314" s="27" t="s">
        <v>306</v>
      </c>
      <c r="C314" s="123" t="s">
        <v>23</v>
      </c>
      <c r="D314" s="31">
        <v>401.13333333333327</v>
      </c>
      <c r="E314" s="31">
        <v>47.656666666666666</v>
      </c>
      <c r="F314" s="31">
        <v>8.0666666666666664</v>
      </c>
      <c r="G314" s="31">
        <v>37.03</v>
      </c>
      <c r="H314" s="31">
        <v>16.243333333333336</v>
      </c>
      <c r="I314" s="31">
        <v>90.841666666666683</v>
      </c>
      <c r="J314" s="31">
        <v>19.206666666666667</v>
      </c>
      <c r="K314" s="31">
        <v>1.9988888888888889</v>
      </c>
      <c r="L314" s="31">
        <v>27.196666666666669</v>
      </c>
      <c r="M314" s="31">
        <v>110.89666666666666</v>
      </c>
      <c r="N314" s="33">
        <v>0.22646252285191965</v>
      </c>
      <c r="O314" s="33">
        <v>0.28689990538725152</v>
      </c>
      <c r="P314" s="33">
        <v>0.34463880117445028</v>
      </c>
      <c r="Q314" s="33">
        <v>0.63153870656170175</v>
      </c>
      <c r="R314" s="31">
        <v>0</v>
      </c>
      <c r="S314" s="31" t="str">
        <f>VLOOKUP(A314,Rankings!B:D,3,FALSE)</f>
        <v>NL</v>
      </c>
    </row>
    <row r="315" spans="1:19" ht="18.600000000000001" customHeight="1">
      <c r="A315" s="26" t="s">
        <v>434</v>
      </c>
      <c r="B315" s="27" t="s">
        <v>68</v>
      </c>
      <c r="C315" s="123" t="s">
        <v>23</v>
      </c>
      <c r="D315" s="31">
        <v>340.21111111111111</v>
      </c>
      <c r="E315" s="31">
        <v>41.771111111111111</v>
      </c>
      <c r="F315" s="31">
        <v>12.302222222222222</v>
      </c>
      <c r="G315" s="31">
        <v>43.098888888888894</v>
      </c>
      <c r="H315" s="31">
        <v>8.8122222222222231</v>
      </c>
      <c r="I315" s="31">
        <v>79.534444444444446</v>
      </c>
      <c r="J315" s="31">
        <v>17.446666666666669</v>
      </c>
      <c r="K315" s="31">
        <v>1.7866666666666664</v>
      </c>
      <c r="L315" s="31">
        <v>27.27</v>
      </c>
      <c r="M315" s="31">
        <v>94.55</v>
      </c>
      <c r="N315" s="33">
        <v>0.23377967928410465</v>
      </c>
      <c r="O315" s="33">
        <v>0.30123445788682557</v>
      </c>
      <c r="P315" s="33">
        <v>0.40404650707077305</v>
      </c>
      <c r="Q315" s="33">
        <v>0.70528096495759862</v>
      </c>
      <c r="R315" s="31">
        <v>0</v>
      </c>
      <c r="S315" s="31" t="str">
        <f>VLOOKUP(A315,Rankings!B:D,3,FALSE)</f>
        <v>AL</v>
      </c>
    </row>
    <row r="316" spans="1:19" ht="20.100000000000001" customHeight="1">
      <c r="A316" s="26" t="s">
        <v>420</v>
      </c>
      <c r="B316" s="27" t="s">
        <v>137</v>
      </c>
      <c r="C316" s="123" t="s">
        <v>23</v>
      </c>
      <c r="D316" s="31">
        <v>347.33333333333331</v>
      </c>
      <c r="E316" s="31">
        <v>46.225555555555559</v>
      </c>
      <c r="F316" s="31">
        <v>15.402222222222221</v>
      </c>
      <c r="G316" s="31">
        <v>46.107777777777777</v>
      </c>
      <c r="H316" s="31">
        <v>4.76</v>
      </c>
      <c r="I316" s="31">
        <v>77.963333333333324</v>
      </c>
      <c r="J316" s="31">
        <v>16.371111111111109</v>
      </c>
      <c r="K316" s="31">
        <v>0.98666666666666669</v>
      </c>
      <c r="L316" s="31">
        <v>39.651111111111113</v>
      </c>
      <c r="M316" s="31">
        <v>117.11166666666666</v>
      </c>
      <c r="N316" s="33">
        <v>0.22446257197696737</v>
      </c>
      <c r="O316" s="33">
        <v>0.31369410491978822</v>
      </c>
      <c r="P316" s="33">
        <v>0.41031030070377483</v>
      </c>
      <c r="Q316" s="33">
        <v>0.72400440562356305</v>
      </c>
      <c r="R316" s="31">
        <v>0</v>
      </c>
      <c r="S316" s="31" t="str">
        <f>VLOOKUP(A316,Rankings!B:D,3,FALSE)</f>
        <v>NL</v>
      </c>
    </row>
    <row r="317" spans="1:19" ht="18.600000000000001" customHeight="1">
      <c r="A317" s="26" t="s">
        <v>355</v>
      </c>
      <c r="B317" s="27" t="s">
        <v>117</v>
      </c>
      <c r="C317" s="123" t="s">
        <v>23</v>
      </c>
      <c r="D317" s="31">
        <v>350.36666666666662</v>
      </c>
      <c r="E317" s="31">
        <v>43.87166666666667</v>
      </c>
      <c r="F317" s="31">
        <v>9.4233333333333338</v>
      </c>
      <c r="G317" s="31">
        <v>38.966666666666669</v>
      </c>
      <c r="H317" s="31">
        <v>9.3483333333333327</v>
      </c>
      <c r="I317" s="31">
        <v>82.618333333333325</v>
      </c>
      <c r="J317" s="31">
        <v>18.78166666666667</v>
      </c>
      <c r="K317" s="31">
        <v>3.0233333333333334</v>
      </c>
      <c r="L317" s="31">
        <v>30.599999999999998</v>
      </c>
      <c r="M317" s="31">
        <v>118.69222222222221</v>
      </c>
      <c r="N317" s="33">
        <v>0.23580534677956427</v>
      </c>
      <c r="O317" s="33">
        <v>0.30745475863500193</v>
      </c>
      <c r="P317" s="33">
        <v>0.38735610313005431</v>
      </c>
      <c r="Q317" s="33">
        <v>0.69481086176505624</v>
      </c>
      <c r="R317" s="31">
        <v>0</v>
      </c>
      <c r="S317" s="31" t="str">
        <f>VLOOKUP(A317,Rankings!B:D,3,FALSE)</f>
        <v>AL</v>
      </c>
    </row>
    <row r="318" spans="1:19" ht="18.600000000000001" customHeight="1">
      <c r="A318" s="26" t="s">
        <v>460</v>
      </c>
      <c r="B318" s="27" t="s">
        <v>306</v>
      </c>
      <c r="C318" s="123" t="s">
        <v>23</v>
      </c>
      <c r="D318" s="31">
        <v>340.81666666666666</v>
      </c>
      <c r="E318" s="31">
        <v>39.449999999999996</v>
      </c>
      <c r="F318" s="31">
        <v>7.9944444444444445</v>
      </c>
      <c r="G318" s="31">
        <v>38.54</v>
      </c>
      <c r="H318" s="31">
        <v>2.9211111111111112</v>
      </c>
      <c r="I318" s="31">
        <v>88.383333333333326</v>
      </c>
      <c r="J318" s="31">
        <v>19.21166666666667</v>
      </c>
      <c r="K318" s="31">
        <v>2.0033333333333334</v>
      </c>
      <c r="L318" s="31">
        <v>20.39</v>
      </c>
      <c r="M318" s="31">
        <v>65.61333333333333</v>
      </c>
      <c r="N318" s="33">
        <v>0.25932808450290967</v>
      </c>
      <c r="O318" s="33">
        <v>0.31150126335586353</v>
      </c>
      <c r="P318" s="33">
        <v>0.39782385446721114</v>
      </c>
      <c r="Q318" s="33">
        <v>0.70932511782307461</v>
      </c>
      <c r="R318" s="31">
        <v>0</v>
      </c>
      <c r="S318" s="31" t="str">
        <f>VLOOKUP(A318,Rankings!B:D,3,FALSE)</f>
        <v>NL</v>
      </c>
    </row>
    <row r="319" spans="1:19" ht="18.600000000000001" customHeight="1">
      <c r="A319" s="26" t="s">
        <v>447</v>
      </c>
      <c r="B319" s="27" t="s">
        <v>137</v>
      </c>
      <c r="C319" s="123" t="s">
        <v>23</v>
      </c>
      <c r="D319" s="31">
        <v>272.66666666666669</v>
      </c>
      <c r="E319" s="31">
        <v>36.445</v>
      </c>
      <c r="F319" s="31">
        <v>4.0175000000000001</v>
      </c>
      <c r="G319" s="31">
        <v>28.341666666666669</v>
      </c>
      <c r="H319" s="31">
        <v>12.165000000000001</v>
      </c>
      <c r="I319" s="31">
        <v>70.713333333333324</v>
      </c>
      <c r="J319" s="31">
        <v>14.6</v>
      </c>
      <c r="K319" s="31">
        <v>2.0225</v>
      </c>
      <c r="L319" s="31">
        <v>23.636666666666667</v>
      </c>
      <c r="M319" s="31">
        <v>59.468333333333334</v>
      </c>
      <c r="N319" s="33">
        <v>0.25933985330073345</v>
      </c>
      <c r="O319" s="33">
        <v>0.32785291448818216</v>
      </c>
      <c r="P319" s="33">
        <v>0.37192237163814179</v>
      </c>
      <c r="Q319" s="33">
        <v>0.699775286126324</v>
      </c>
      <c r="R319" s="31">
        <v>0</v>
      </c>
      <c r="S319" s="31" t="str">
        <f>VLOOKUP(A319,Rankings!B:D,3,FALSE)</f>
        <v>NL</v>
      </c>
    </row>
    <row r="320" spans="1:19" ht="18.600000000000001" customHeight="1">
      <c r="A320" s="26" t="s">
        <v>357</v>
      </c>
      <c r="B320" s="27" t="s">
        <v>81</v>
      </c>
      <c r="C320" s="123" t="s">
        <v>23</v>
      </c>
      <c r="D320" s="31">
        <v>324.16666666666669</v>
      </c>
      <c r="E320" s="31">
        <v>43.987777777777779</v>
      </c>
      <c r="F320" s="31">
        <v>16.912222222222223</v>
      </c>
      <c r="G320" s="31">
        <v>49.488888888888887</v>
      </c>
      <c r="H320" s="31">
        <v>4.4944444444444445</v>
      </c>
      <c r="I320" s="31">
        <v>70.097777777777779</v>
      </c>
      <c r="J320" s="31">
        <v>14.463333333333333</v>
      </c>
      <c r="K320" s="31">
        <v>1.0016666666666667</v>
      </c>
      <c r="L320" s="31">
        <v>34.173333333333332</v>
      </c>
      <c r="M320" s="31">
        <v>124.65333333333332</v>
      </c>
      <c r="N320" s="33">
        <v>0.21623993144815765</v>
      </c>
      <c r="O320" s="33">
        <v>0.30133277320062951</v>
      </c>
      <c r="P320" s="33">
        <v>0.42355098543273351</v>
      </c>
      <c r="Q320" s="33">
        <v>0.72488375863336296</v>
      </c>
      <c r="R320" s="31">
        <v>0</v>
      </c>
      <c r="S320" s="31" t="str">
        <f>VLOOKUP(A320,Rankings!B:D,3,FALSE)</f>
        <v>NL</v>
      </c>
    </row>
    <row r="321" spans="1:19" ht="18.600000000000001" customHeight="1">
      <c r="A321" s="26" t="s">
        <v>482</v>
      </c>
      <c r="B321" s="27" t="s">
        <v>94</v>
      </c>
      <c r="C321" s="123" t="s">
        <v>23</v>
      </c>
      <c r="D321" s="31">
        <v>348.07777777777778</v>
      </c>
      <c r="E321" s="31">
        <v>44.468888888888891</v>
      </c>
      <c r="F321" s="31">
        <v>7.8244444444444445</v>
      </c>
      <c r="G321" s="31">
        <v>37.806666666666665</v>
      </c>
      <c r="H321" s="31">
        <v>10.823333333333332</v>
      </c>
      <c r="I321" s="31">
        <v>81.24666666666667</v>
      </c>
      <c r="J321" s="31">
        <v>16.8</v>
      </c>
      <c r="K321" s="31">
        <v>3</v>
      </c>
      <c r="L321" s="31">
        <v>27.233333333333334</v>
      </c>
      <c r="M321" s="31">
        <v>96.06</v>
      </c>
      <c r="N321" s="33">
        <v>0.23341526478756344</v>
      </c>
      <c r="O321" s="33">
        <v>0.29971752925701484</v>
      </c>
      <c r="P321" s="33">
        <v>0.36635490152264821</v>
      </c>
      <c r="Q321" s="33">
        <v>0.66607243077966305</v>
      </c>
      <c r="R321" s="31">
        <v>0</v>
      </c>
      <c r="S321" s="31" t="str">
        <f>VLOOKUP(A321,Rankings!B:D,3,FALSE)</f>
        <v>AL</v>
      </c>
    </row>
    <row r="322" spans="1:19" ht="18.600000000000001" customHeight="1">
      <c r="A322" s="26" t="s">
        <v>476</v>
      </c>
      <c r="B322" s="27" t="s">
        <v>258</v>
      </c>
      <c r="C322" s="123" t="s">
        <v>23</v>
      </c>
      <c r="D322" s="31">
        <v>307.87777777777779</v>
      </c>
      <c r="E322" s="31">
        <v>36.647777777777776</v>
      </c>
      <c r="F322" s="31">
        <v>6.985555555555556</v>
      </c>
      <c r="G322" s="31">
        <v>32.18</v>
      </c>
      <c r="H322" s="31">
        <v>9.0788888888888888</v>
      </c>
      <c r="I322" s="31">
        <v>78.057777777777787</v>
      </c>
      <c r="J322" s="31">
        <v>14.735555555555555</v>
      </c>
      <c r="K322" s="31">
        <v>2.0216666666666665</v>
      </c>
      <c r="L322" s="31">
        <v>22.885555555555555</v>
      </c>
      <c r="M322" s="31">
        <v>67.131666666666675</v>
      </c>
      <c r="N322" s="33">
        <v>0.25353495254249525</v>
      </c>
      <c r="O322" s="33">
        <v>0.31524856600411311</v>
      </c>
      <c r="P322" s="33">
        <v>0.38259771193475045</v>
      </c>
      <c r="Q322" s="33">
        <v>0.69784627793886356</v>
      </c>
      <c r="R322" s="31">
        <v>0</v>
      </c>
      <c r="S322" s="31" t="str">
        <f>VLOOKUP(A322,Rankings!B:D,3,FALSE)</f>
        <v>AL</v>
      </c>
    </row>
    <row r="323" spans="1:19" ht="18.600000000000001" customHeight="1">
      <c r="A323" s="26" t="s">
        <v>489</v>
      </c>
      <c r="B323" s="27" t="s">
        <v>76</v>
      </c>
      <c r="C323" s="123" t="s">
        <v>23</v>
      </c>
      <c r="D323" s="31">
        <v>287.86666666666667</v>
      </c>
      <c r="E323" s="31">
        <v>34.352222222222224</v>
      </c>
      <c r="F323" s="31">
        <v>4.8211111111111107</v>
      </c>
      <c r="G323" s="31">
        <v>33.501111111111108</v>
      </c>
      <c r="H323" s="31">
        <v>6.1611111111111114</v>
      </c>
      <c r="I323" s="31">
        <v>76.785555555555547</v>
      </c>
      <c r="J323" s="31">
        <v>16.264444444444447</v>
      </c>
      <c r="K323" s="31">
        <v>1.0033333333333334</v>
      </c>
      <c r="L323" s="31">
        <v>21.223333333333333</v>
      </c>
      <c r="M323" s="31">
        <v>46.169999999999995</v>
      </c>
      <c r="N323" s="33">
        <v>0.26674000308784929</v>
      </c>
      <c r="O323" s="33">
        <v>0.32668068821513685</v>
      </c>
      <c r="P323" s="33">
        <v>0.38045391384900418</v>
      </c>
      <c r="Q323" s="33">
        <v>0.70713460206414103</v>
      </c>
      <c r="R323" s="31">
        <v>0</v>
      </c>
      <c r="S323" s="31" t="str">
        <f>VLOOKUP(A323,Rankings!B:D,3,FALSE)</f>
        <v>AL</v>
      </c>
    </row>
    <row r="324" spans="1:19" ht="18.600000000000001" customHeight="1">
      <c r="A324" s="26" t="s">
        <v>461</v>
      </c>
      <c r="B324" s="27" t="s">
        <v>95</v>
      </c>
      <c r="C324" s="123" t="s">
        <v>23</v>
      </c>
      <c r="D324" s="31">
        <v>333.78888888888889</v>
      </c>
      <c r="E324" s="31">
        <v>46.432222222222229</v>
      </c>
      <c r="F324" s="31">
        <v>9.7766666666666655</v>
      </c>
      <c r="G324" s="31">
        <v>38.237777777777779</v>
      </c>
      <c r="H324" s="31">
        <v>8.0144444444444449</v>
      </c>
      <c r="I324" s="31">
        <v>77.597777777777779</v>
      </c>
      <c r="J324" s="31">
        <v>13.924444444444445</v>
      </c>
      <c r="K324" s="31">
        <v>0.99888888888888883</v>
      </c>
      <c r="L324" s="31">
        <v>40.525555555555556</v>
      </c>
      <c r="M324" s="31">
        <v>95.53166666666668</v>
      </c>
      <c r="N324" s="33">
        <v>0.23247561665723512</v>
      </c>
      <c r="O324" s="33">
        <v>0.32483099028271711</v>
      </c>
      <c r="P324" s="33">
        <v>0.36804700243001232</v>
      </c>
      <c r="Q324" s="33">
        <v>0.69287799271272943</v>
      </c>
      <c r="R324" s="31">
        <v>0</v>
      </c>
      <c r="S324" s="31" t="str">
        <f>VLOOKUP(A324,Rankings!B:D,3,FALSE)</f>
        <v>NL</v>
      </c>
    </row>
    <row r="325" spans="1:19" ht="18.600000000000001" customHeight="1">
      <c r="A325" s="26" t="s">
        <v>412</v>
      </c>
      <c r="B325" s="27" t="s">
        <v>123</v>
      </c>
      <c r="C325" s="123" t="s">
        <v>23</v>
      </c>
      <c r="D325" s="31">
        <v>281.66666666666669</v>
      </c>
      <c r="E325" s="31">
        <v>36.725000000000001</v>
      </c>
      <c r="F325" s="31">
        <v>13.304444444444444</v>
      </c>
      <c r="G325" s="31">
        <v>41.531666666666666</v>
      </c>
      <c r="H325" s="31">
        <v>1</v>
      </c>
      <c r="I325" s="31">
        <v>69.456666666666663</v>
      </c>
      <c r="J325" s="31">
        <v>14.294444444444444</v>
      </c>
      <c r="K325" s="31">
        <v>0.51666666666666672</v>
      </c>
      <c r="L325" s="31">
        <v>21.916666666666668</v>
      </c>
      <c r="M325" s="31">
        <v>67.692222222222213</v>
      </c>
      <c r="N325" s="33">
        <v>0.24659171597633134</v>
      </c>
      <c r="O325" s="33">
        <v>0.3111854760085373</v>
      </c>
      <c r="P325" s="33">
        <v>0.44271400394477317</v>
      </c>
      <c r="Q325" s="33">
        <v>0.75389947995331053</v>
      </c>
      <c r="R325" s="31">
        <v>0</v>
      </c>
      <c r="S325" s="31" t="str">
        <f>VLOOKUP(A325,Rankings!B:D,3,FALSE)</f>
        <v>NL</v>
      </c>
    </row>
    <row r="326" spans="1:19" ht="18.600000000000001" customHeight="1">
      <c r="A326" s="26" t="s">
        <v>424</v>
      </c>
      <c r="B326" s="27" t="s">
        <v>114</v>
      </c>
      <c r="C326" s="123" t="s">
        <v>23</v>
      </c>
      <c r="D326" s="31">
        <v>290.66666666666669</v>
      </c>
      <c r="E326" s="31">
        <v>35.313333333333333</v>
      </c>
      <c r="F326" s="31">
        <v>12.637777777777778</v>
      </c>
      <c r="G326" s="31">
        <v>40.922222222222224</v>
      </c>
      <c r="H326" s="31">
        <v>0.65333333333333332</v>
      </c>
      <c r="I326" s="31">
        <v>71.312222222222218</v>
      </c>
      <c r="J326" s="31">
        <v>13.562222222222223</v>
      </c>
      <c r="K326" s="31">
        <v>2.1666666666666667E-2</v>
      </c>
      <c r="L326" s="31">
        <v>23.928888888888888</v>
      </c>
      <c r="M326" s="31">
        <v>67.155555555555551</v>
      </c>
      <c r="N326" s="33">
        <v>0.24534021406727827</v>
      </c>
      <c r="O326" s="33">
        <v>0.31283315474656503</v>
      </c>
      <c r="P326" s="33">
        <v>0.42258409785932716</v>
      </c>
      <c r="Q326" s="33">
        <v>0.73541725260589219</v>
      </c>
      <c r="R326" s="31">
        <v>0</v>
      </c>
      <c r="S326" s="31" t="str">
        <f>VLOOKUP(A326,Rankings!B:D,3,FALSE)</f>
        <v>AL</v>
      </c>
    </row>
    <row r="327" spans="1:19" ht="18.600000000000001" customHeight="1">
      <c r="A327" s="26" t="s">
        <v>459</v>
      </c>
      <c r="B327" s="27" t="s">
        <v>217</v>
      </c>
      <c r="C327" s="123" t="s">
        <v>23</v>
      </c>
      <c r="D327" s="31">
        <v>232.93333333333331</v>
      </c>
      <c r="E327" s="31">
        <v>35.094444444444441</v>
      </c>
      <c r="F327" s="31">
        <v>6.88</v>
      </c>
      <c r="G327" s="31">
        <v>25.886666666666667</v>
      </c>
      <c r="H327" s="31">
        <v>10.697777777777778</v>
      </c>
      <c r="I327" s="31">
        <v>58.1</v>
      </c>
      <c r="J327" s="31">
        <v>10.985555555555555</v>
      </c>
      <c r="K327" s="31">
        <v>1.0216666666666667</v>
      </c>
      <c r="L327" s="31">
        <v>29.101666666666663</v>
      </c>
      <c r="M327" s="31">
        <v>70.276666666666657</v>
      </c>
      <c r="N327" s="33">
        <v>0.24942759015455068</v>
      </c>
      <c r="O327" s="33">
        <v>0.34135485125698589</v>
      </c>
      <c r="P327" s="33">
        <v>0.39397061629460028</v>
      </c>
      <c r="Q327" s="33">
        <v>0.73532546755158612</v>
      </c>
      <c r="R327" s="31">
        <v>0</v>
      </c>
      <c r="S327" s="31" t="str">
        <f>VLOOKUP(A327,Rankings!B:D,3,FALSE)</f>
        <v>NL</v>
      </c>
    </row>
    <row r="328" spans="1:19" ht="18.600000000000001" customHeight="1">
      <c r="A328" s="26" t="s">
        <v>565</v>
      </c>
      <c r="B328" s="27" t="s">
        <v>134</v>
      </c>
      <c r="C328" s="123" t="s">
        <v>23</v>
      </c>
      <c r="D328" s="31">
        <v>284.5</v>
      </c>
      <c r="E328" s="31">
        <v>36.411111111111111</v>
      </c>
      <c r="F328" s="31">
        <v>11.744999999999999</v>
      </c>
      <c r="G328" s="31">
        <v>39.656666666666666</v>
      </c>
      <c r="H328" s="31">
        <v>1.9855555555555557</v>
      </c>
      <c r="I328" s="31">
        <v>69.194444444444443</v>
      </c>
      <c r="J328" s="31">
        <v>11.815</v>
      </c>
      <c r="K328" s="31">
        <v>2</v>
      </c>
      <c r="L328" s="31">
        <v>24.725555555555555</v>
      </c>
      <c r="M328" s="31">
        <v>78.495555555555555</v>
      </c>
      <c r="N328" s="33">
        <v>0.24321421597344267</v>
      </c>
      <c r="O328" s="33">
        <v>0.31373819223825389</v>
      </c>
      <c r="P328" s="33">
        <v>0.42265182581527044</v>
      </c>
      <c r="Q328" s="33">
        <v>0.73639001805352433</v>
      </c>
      <c r="R328" s="31">
        <v>0</v>
      </c>
      <c r="S328" s="31" t="str">
        <f>VLOOKUP(A328,Rankings!B:D,3,FALSE)</f>
        <v>NL</v>
      </c>
    </row>
    <row r="329" spans="1:19" ht="18.600000000000001" customHeight="1">
      <c r="A329" s="26" t="s">
        <v>451</v>
      </c>
      <c r="B329" s="27" t="s">
        <v>99</v>
      </c>
      <c r="C329" s="123" t="s">
        <v>23</v>
      </c>
      <c r="D329" s="31">
        <v>328.46666666666664</v>
      </c>
      <c r="E329" s="31">
        <v>39.345000000000006</v>
      </c>
      <c r="F329" s="31">
        <v>12.186666666666667</v>
      </c>
      <c r="G329" s="31">
        <v>42.62777777777778</v>
      </c>
      <c r="H329" s="31">
        <v>2.4355555555555557</v>
      </c>
      <c r="I329" s="31">
        <v>76.532222222222217</v>
      </c>
      <c r="J329" s="31">
        <v>16.555555555555557</v>
      </c>
      <c r="K329" s="31">
        <v>1.0733333333333333</v>
      </c>
      <c r="L329" s="31">
        <v>29.627777777777776</v>
      </c>
      <c r="M329" s="31">
        <v>108.38555555555554</v>
      </c>
      <c r="N329" s="33">
        <v>0.23299844394831201</v>
      </c>
      <c r="O329" s="33">
        <v>0.30672887788862474</v>
      </c>
      <c r="P329" s="33">
        <v>0.40124145862932148</v>
      </c>
      <c r="Q329" s="33">
        <v>0.70797033651794616</v>
      </c>
      <c r="R329" s="31">
        <v>0</v>
      </c>
      <c r="S329" s="31" t="str">
        <f>VLOOKUP(A329,Rankings!B:D,3,FALSE)</f>
        <v>AL</v>
      </c>
    </row>
    <row r="330" spans="1:19" ht="18.600000000000001" customHeight="1">
      <c r="A330" s="26" t="s">
        <v>566</v>
      </c>
      <c r="B330" s="27" t="s">
        <v>68</v>
      </c>
      <c r="C330" s="123" t="s">
        <v>23</v>
      </c>
      <c r="D330" s="31">
        <v>327.83333333333331</v>
      </c>
      <c r="E330" s="31">
        <v>43.773333333333333</v>
      </c>
      <c r="F330" s="31">
        <v>9.7911111111111122</v>
      </c>
      <c r="G330" s="31">
        <v>37.044999999999995</v>
      </c>
      <c r="H330" s="31">
        <v>7.4811111111111117</v>
      </c>
      <c r="I330" s="31">
        <v>72.26444444444445</v>
      </c>
      <c r="J330" s="31">
        <v>12.672222222222222</v>
      </c>
      <c r="K330" s="31">
        <v>1.7277777777777779</v>
      </c>
      <c r="L330" s="31">
        <v>48.640000000000008</v>
      </c>
      <c r="M330" s="31">
        <v>90.148888888888891</v>
      </c>
      <c r="N330" s="33">
        <v>0.22043043551940353</v>
      </c>
      <c r="O330" s="33">
        <v>0.32998914380937983</v>
      </c>
      <c r="P330" s="33">
        <v>0.35922386036265042</v>
      </c>
      <c r="Q330" s="33">
        <v>0.68921300417203024</v>
      </c>
      <c r="R330" s="31">
        <v>0</v>
      </c>
      <c r="S330" s="31" t="str">
        <f>VLOOKUP(A330,Rankings!B:D,3,FALSE)</f>
        <v>AL</v>
      </c>
    </row>
    <row r="331" spans="1:19" ht="18.600000000000001" customHeight="1">
      <c r="A331" s="26" t="s">
        <v>682</v>
      </c>
      <c r="B331" s="27" t="s">
        <v>156</v>
      </c>
      <c r="C331" s="123" t="s">
        <v>23</v>
      </c>
      <c r="D331" s="31">
        <v>342.93333333333334</v>
      </c>
      <c r="E331" s="31">
        <v>40.886666666666663</v>
      </c>
      <c r="F331" s="31">
        <v>10.43</v>
      </c>
      <c r="G331" s="31">
        <v>40.98</v>
      </c>
      <c r="H331" s="31">
        <v>1.4800000000000002</v>
      </c>
      <c r="I331" s="31">
        <v>78.026666666666671</v>
      </c>
      <c r="J331" s="31">
        <v>16.64</v>
      </c>
      <c r="K331" s="31">
        <v>6.6666666666666654E-3</v>
      </c>
      <c r="L331" s="31">
        <v>35.563333333333333</v>
      </c>
      <c r="M331" s="31">
        <v>109.87333333333333</v>
      </c>
      <c r="N331" s="33">
        <v>0.22752721617418353</v>
      </c>
      <c r="O331" s="33">
        <v>0.31011536775693738</v>
      </c>
      <c r="P331" s="33">
        <v>0.36733087091757388</v>
      </c>
      <c r="Q331" s="33">
        <v>0.67744623867451126</v>
      </c>
      <c r="R331" s="31">
        <v>0</v>
      </c>
      <c r="S331" s="31" t="str">
        <f>VLOOKUP(A331,Rankings!B:D,3,FALSE)</f>
        <v>AL</v>
      </c>
    </row>
    <row r="332" spans="1:19" ht="18.600000000000001" customHeight="1">
      <c r="A332" s="26" t="s">
        <v>498</v>
      </c>
      <c r="B332" s="27" t="s">
        <v>156</v>
      </c>
      <c r="C332" s="123" t="s">
        <v>23</v>
      </c>
      <c r="D332" s="31">
        <v>306.63333333333333</v>
      </c>
      <c r="E332" s="31">
        <v>36.874444444444443</v>
      </c>
      <c r="F332" s="31">
        <v>7.9488888888888889</v>
      </c>
      <c r="G332" s="31">
        <v>32.844444444444441</v>
      </c>
      <c r="H332" s="31">
        <v>5.7866666666666662</v>
      </c>
      <c r="I332" s="31">
        <v>72.036666666666676</v>
      </c>
      <c r="J332" s="31">
        <v>13.644444444444446</v>
      </c>
      <c r="K332" s="31">
        <v>1.04</v>
      </c>
      <c r="L332" s="31">
        <v>24.38111111111111</v>
      </c>
      <c r="M332" s="31">
        <v>89.112222222222229</v>
      </c>
      <c r="N332" s="33">
        <v>0.234927709533645</v>
      </c>
      <c r="O332" s="33">
        <v>0.30185528933320205</v>
      </c>
      <c r="P332" s="33">
        <v>0.36397796861977755</v>
      </c>
      <c r="Q332" s="33">
        <v>0.66583325795297954</v>
      </c>
      <c r="R332" s="31">
        <v>0</v>
      </c>
      <c r="S332" s="31" t="str">
        <f>VLOOKUP(A332,Rankings!B:D,3,FALSE)</f>
        <v>AL</v>
      </c>
    </row>
    <row r="333" spans="1:19" ht="20.100000000000001" customHeight="1">
      <c r="A333" s="26" t="s">
        <v>560</v>
      </c>
      <c r="B333" s="27" t="s">
        <v>137</v>
      </c>
      <c r="C333" s="123" t="s">
        <v>23</v>
      </c>
      <c r="D333" s="31">
        <v>226.96666666666667</v>
      </c>
      <c r="E333" s="31">
        <v>25.995000000000001</v>
      </c>
      <c r="F333" s="31">
        <v>5.9883333333333333</v>
      </c>
      <c r="G333" s="31">
        <v>27.734999999999999</v>
      </c>
      <c r="H333" s="31">
        <v>3.5355555555555553</v>
      </c>
      <c r="I333" s="31">
        <v>58.914999999999999</v>
      </c>
      <c r="J333" s="31">
        <v>12.816666666666665</v>
      </c>
      <c r="K333" s="31">
        <v>0.98666666666666669</v>
      </c>
      <c r="L333" s="31">
        <v>15.956666666666669</v>
      </c>
      <c r="M333" s="31">
        <v>46.024444444444441</v>
      </c>
      <c r="N333" s="33">
        <v>0.25957556175649876</v>
      </c>
      <c r="O333" s="33">
        <v>0.31819088622029851</v>
      </c>
      <c r="P333" s="33">
        <v>0.40389190776912903</v>
      </c>
      <c r="Q333" s="33">
        <v>0.72208279398942754</v>
      </c>
      <c r="R333" s="31">
        <v>0</v>
      </c>
      <c r="S333" s="31" t="str">
        <f>VLOOKUP(A333,Rankings!B:D,3,FALSE)</f>
        <v>NL</v>
      </c>
    </row>
    <row r="334" spans="1:19" ht="18.600000000000001" customHeight="1">
      <c r="A334" s="26" t="s">
        <v>468</v>
      </c>
      <c r="B334" s="27" t="s">
        <v>86</v>
      </c>
      <c r="C334" s="123" t="s">
        <v>23</v>
      </c>
      <c r="D334" s="31">
        <v>321.83333333333337</v>
      </c>
      <c r="E334" s="31">
        <v>40.094999999999999</v>
      </c>
      <c r="F334" s="31">
        <v>7.5444444444444443</v>
      </c>
      <c r="G334" s="31">
        <v>34.72</v>
      </c>
      <c r="H334" s="31">
        <v>7.7277777777777779</v>
      </c>
      <c r="I334" s="31">
        <v>71.068333333333328</v>
      </c>
      <c r="J334" s="31">
        <v>15.086666666666666</v>
      </c>
      <c r="K334" s="31">
        <v>1.0133333333333332</v>
      </c>
      <c r="L334" s="31">
        <v>45.384444444444448</v>
      </c>
      <c r="M334" s="31">
        <v>93.898888888888891</v>
      </c>
      <c r="N334" s="33">
        <v>0.22082340756084926</v>
      </c>
      <c r="O334" s="33">
        <v>0.32616851063334301</v>
      </c>
      <c r="P334" s="33">
        <v>0.34432418436043494</v>
      </c>
      <c r="Q334" s="33">
        <v>0.67049269499377795</v>
      </c>
      <c r="R334" s="31">
        <v>0</v>
      </c>
      <c r="S334" s="31" t="str">
        <f>VLOOKUP(A334,Rankings!B:D,3,FALSE)</f>
        <v>AL</v>
      </c>
    </row>
    <row r="335" spans="1:19" ht="18.600000000000001" customHeight="1">
      <c r="A335" s="26" t="s">
        <v>602</v>
      </c>
      <c r="B335" s="27" t="s">
        <v>306</v>
      </c>
      <c r="C335" s="123" t="s">
        <v>23</v>
      </c>
      <c r="D335" s="31">
        <v>262.82222222222225</v>
      </c>
      <c r="E335" s="31">
        <v>34.873333333333335</v>
      </c>
      <c r="F335" s="31">
        <v>8.0016666666666669</v>
      </c>
      <c r="G335" s="31">
        <v>31.105555555555554</v>
      </c>
      <c r="H335" s="31">
        <v>5.8322222222222218</v>
      </c>
      <c r="I335" s="31">
        <v>61.484444444444442</v>
      </c>
      <c r="J335" s="31">
        <v>12.75</v>
      </c>
      <c r="K335" s="31">
        <v>1</v>
      </c>
      <c r="L335" s="31">
        <v>28.67</v>
      </c>
      <c r="M335" s="31">
        <v>64.521666666666675</v>
      </c>
      <c r="N335" s="33">
        <v>0.23393929145176287</v>
      </c>
      <c r="O335" s="33">
        <v>0.31888846111156083</v>
      </c>
      <c r="P335" s="33">
        <v>0.38139638116174851</v>
      </c>
      <c r="Q335" s="33">
        <v>0.70028484227330934</v>
      </c>
      <c r="R335" s="31">
        <v>0</v>
      </c>
      <c r="S335" s="31" t="str">
        <f>VLOOKUP(A335,Rankings!B:D,3,FALSE)</f>
        <v>NL</v>
      </c>
    </row>
    <row r="336" spans="1:19" ht="18.600000000000001" customHeight="1">
      <c r="A336" s="26" t="s">
        <v>514</v>
      </c>
      <c r="B336" s="27" t="s">
        <v>117</v>
      </c>
      <c r="C336" s="123" t="s">
        <v>23</v>
      </c>
      <c r="D336" s="31">
        <v>250.28888888888889</v>
      </c>
      <c r="E336" s="31">
        <v>30.213333333333335</v>
      </c>
      <c r="F336" s="31">
        <v>4.8966666666666665</v>
      </c>
      <c r="G336" s="31">
        <v>25.89222222222222</v>
      </c>
      <c r="H336" s="31">
        <v>11.646666666666667</v>
      </c>
      <c r="I336" s="31">
        <v>59.402222222222214</v>
      </c>
      <c r="J336" s="31">
        <v>11.614444444444445</v>
      </c>
      <c r="K336" s="31">
        <v>2.4477777777777781</v>
      </c>
      <c r="L336" s="31">
        <v>18.66888888888889</v>
      </c>
      <c r="M336" s="31">
        <v>64.428333333333327</v>
      </c>
      <c r="N336" s="33">
        <v>0.23733463553227377</v>
      </c>
      <c r="O336" s="33">
        <v>0.30093533392519473</v>
      </c>
      <c r="P336" s="33">
        <v>0.36199058865311196</v>
      </c>
      <c r="Q336" s="33">
        <v>0.66292592257830663</v>
      </c>
      <c r="R336" s="31">
        <v>0</v>
      </c>
      <c r="S336" s="31" t="str">
        <f>VLOOKUP(A336,Rankings!B:D,3,FALSE)</f>
        <v>AL</v>
      </c>
    </row>
    <row r="337" spans="1:19" ht="18.600000000000001" customHeight="1">
      <c r="A337" s="26" t="s">
        <v>654</v>
      </c>
      <c r="B337" s="27" t="s">
        <v>101</v>
      </c>
      <c r="C337" s="123" t="s">
        <v>23</v>
      </c>
      <c r="D337" s="31">
        <v>271.84444444444443</v>
      </c>
      <c r="E337" s="31">
        <v>33.723333333333336</v>
      </c>
      <c r="F337" s="31">
        <v>7.3944444444444448</v>
      </c>
      <c r="G337" s="31">
        <v>31.864444444444445</v>
      </c>
      <c r="H337" s="31">
        <v>9.2077777777777783</v>
      </c>
      <c r="I337" s="31">
        <v>61.347777777777786</v>
      </c>
      <c r="J337" s="31">
        <v>15.081111111111111</v>
      </c>
      <c r="K337" s="31">
        <v>1.3355555555555556</v>
      </c>
      <c r="L337" s="31">
        <v>27.391111111111112</v>
      </c>
      <c r="M337" s="31">
        <v>98.926666666666677</v>
      </c>
      <c r="N337" s="33">
        <v>0.22567236164473151</v>
      </c>
      <c r="O337" s="33">
        <v>0.30672438130904606</v>
      </c>
      <c r="P337" s="33">
        <v>0.37257827188751735</v>
      </c>
      <c r="Q337" s="33">
        <v>0.67930265319656336</v>
      </c>
      <c r="R337" s="31">
        <v>0</v>
      </c>
      <c r="S337" s="31" t="str">
        <f>VLOOKUP(A337,Rankings!B:D,3,FALSE)</f>
        <v>AL</v>
      </c>
    </row>
    <row r="338" spans="1:19" ht="18.600000000000001" customHeight="1">
      <c r="A338" s="26" t="s">
        <v>542</v>
      </c>
      <c r="B338" s="27" t="s">
        <v>258</v>
      </c>
      <c r="C338" s="123" t="s">
        <v>23</v>
      </c>
      <c r="D338" s="31">
        <v>345.43333333333334</v>
      </c>
      <c r="E338" s="31">
        <v>38.782222222222224</v>
      </c>
      <c r="F338" s="31">
        <v>8.0549999999999997</v>
      </c>
      <c r="G338" s="31">
        <v>36.295555555555559</v>
      </c>
      <c r="H338" s="31">
        <v>3.03</v>
      </c>
      <c r="I338" s="31">
        <v>76.086666666666659</v>
      </c>
      <c r="J338" s="31">
        <v>16.508888888888887</v>
      </c>
      <c r="K338" s="31">
        <v>2.6688888888888891</v>
      </c>
      <c r="L338" s="31">
        <v>36.653333333333336</v>
      </c>
      <c r="M338" s="31">
        <v>103.07166666666667</v>
      </c>
      <c r="N338" s="33">
        <v>0.22026440220013507</v>
      </c>
      <c r="O338" s="33">
        <v>0.30524728318160843</v>
      </c>
      <c r="P338" s="33">
        <v>0.35346424780468977</v>
      </c>
      <c r="Q338" s="33">
        <v>0.6587115309862982</v>
      </c>
      <c r="R338" s="31">
        <v>0</v>
      </c>
      <c r="S338" s="31" t="str">
        <f>VLOOKUP(A338,Rankings!B:D,3,FALSE)</f>
        <v>AL</v>
      </c>
    </row>
    <row r="339" spans="1:19" ht="18.600000000000001" customHeight="1">
      <c r="A339" s="26" t="s">
        <v>438</v>
      </c>
      <c r="B339" s="27" t="s">
        <v>86</v>
      </c>
      <c r="C339" s="123" t="s">
        <v>23</v>
      </c>
      <c r="D339" s="31">
        <v>197.55555555555557</v>
      </c>
      <c r="E339" s="31">
        <v>24.284444444444443</v>
      </c>
      <c r="F339" s="31">
        <v>3.8833333333333333</v>
      </c>
      <c r="G339" s="31">
        <v>18.623333333333331</v>
      </c>
      <c r="H339" s="31">
        <v>14.048888888888889</v>
      </c>
      <c r="I339" s="31">
        <v>46.704444444444448</v>
      </c>
      <c r="J339" s="31">
        <v>7.97</v>
      </c>
      <c r="K339" s="31">
        <v>1.3766666666666667</v>
      </c>
      <c r="L339" s="31">
        <v>10.336666666666666</v>
      </c>
      <c r="M339" s="31">
        <v>58.56166666666666</v>
      </c>
      <c r="N339" s="33">
        <v>0.23641169853768279</v>
      </c>
      <c r="O339" s="33">
        <v>0.28590905363293417</v>
      </c>
      <c r="P339" s="33">
        <v>0.3496625421822272</v>
      </c>
      <c r="Q339" s="33">
        <v>0.63557159581516132</v>
      </c>
      <c r="R339" s="31">
        <v>0</v>
      </c>
      <c r="S339" s="31" t="str">
        <f>VLOOKUP(A339,Rankings!B:D,3,FALSE)</f>
        <v>AL</v>
      </c>
    </row>
    <row r="340" spans="1:19" ht="20.100000000000001" customHeight="1">
      <c r="A340" s="26" t="s">
        <v>670</v>
      </c>
      <c r="B340" s="27" t="s">
        <v>223</v>
      </c>
      <c r="C340" s="123" t="s">
        <v>23</v>
      </c>
      <c r="D340" s="31">
        <v>211.06666666666669</v>
      </c>
      <c r="E340" s="31">
        <v>27.046666666666667</v>
      </c>
      <c r="F340" s="31">
        <v>8.0833333333333339</v>
      </c>
      <c r="G340" s="31">
        <v>26.813333333333333</v>
      </c>
      <c r="H340" s="31">
        <v>4.04</v>
      </c>
      <c r="I340" s="31">
        <v>49.145000000000003</v>
      </c>
      <c r="J340" s="31">
        <v>10.794444444444444</v>
      </c>
      <c r="K340" s="31">
        <v>1.0016666666666667</v>
      </c>
      <c r="L340" s="31">
        <v>18.408333333333335</v>
      </c>
      <c r="M340" s="31">
        <v>66.683333333333337</v>
      </c>
      <c r="N340" s="33">
        <v>0.23284112444725205</v>
      </c>
      <c r="O340" s="33">
        <v>0.3047624627049918</v>
      </c>
      <c r="P340" s="33">
        <v>0.4083675510633818</v>
      </c>
      <c r="Q340" s="33">
        <v>0.71313001376837359</v>
      </c>
      <c r="R340" s="31">
        <v>0</v>
      </c>
      <c r="S340" s="31" t="str">
        <f>VLOOKUP(A340,Rankings!B:D,3,FALSE)</f>
        <v>NL</v>
      </c>
    </row>
    <row r="341" spans="1:19" ht="18.600000000000001" customHeight="1">
      <c r="A341" s="26" t="s">
        <v>619</v>
      </c>
      <c r="B341" s="27" t="s">
        <v>306</v>
      </c>
      <c r="C341" s="123" t="s">
        <v>23</v>
      </c>
      <c r="D341" s="31">
        <v>210.76666666666665</v>
      </c>
      <c r="E341" s="31">
        <v>25.666666666666668</v>
      </c>
      <c r="F341" s="31">
        <v>8.8866666666666667</v>
      </c>
      <c r="G341" s="31">
        <v>27.653333333333336</v>
      </c>
      <c r="H341" s="31">
        <v>5.2522222222222217</v>
      </c>
      <c r="I341" s="31">
        <v>48.034444444444439</v>
      </c>
      <c r="J341" s="31">
        <v>10.795555555555557</v>
      </c>
      <c r="K341" s="31">
        <v>0.98777777777777775</v>
      </c>
      <c r="L341" s="31">
        <v>10.842222222222224</v>
      </c>
      <c r="M341" s="31">
        <v>65.398333333333326</v>
      </c>
      <c r="N341" s="33">
        <v>0.22790342137171174</v>
      </c>
      <c r="O341" s="33">
        <v>0.27757537176528679</v>
      </c>
      <c r="P341" s="33">
        <v>0.41498761136591278</v>
      </c>
      <c r="Q341" s="33">
        <v>0.69256298313119957</v>
      </c>
      <c r="R341" s="31">
        <v>0</v>
      </c>
      <c r="S341" s="31" t="str">
        <f>VLOOKUP(A341,Rankings!B:D,3,FALSE)</f>
        <v>NL</v>
      </c>
    </row>
    <row r="342" spans="1:19" ht="18.600000000000001" customHeight="1">
      <c r="A342" s="26" t="s">
        <v>608</v>
      </c>
      <c r="B342" s="27" t="s">
        <v>63</v>
      </c>
      <c r="C342" s="123" t="s">
        <v>23</v>
      </c>
      <c r="D342" s="31">
        <v>225.13333333333333</v>
      </c>
      <c r="E342" s="31">
        <v>27.181666666666668</v>
      </c>
      <c r="F342" s="31">
        <v>4.6766666666666667</v>
      </c>
      <c r="G342" s="31">
        <v>23.091666666666665</v>
      </c>
      <c r="H342" s="31">
        <v>9.9877777777777776</v>
      </c>
      <c r="I342" s="31">
        <v>50.946666666666665</v>
      </c>
      <c r="J342" s="31">
        <v>10.741666666666667</v>
      </c>
      <c r="K342" s="31">
        <v>0.99888888888888883</v>
      </c>
      <c r="L342" s="31">
        <v>13.491666666666667</v>
      </c>
      <c r="M342" s="31">
        <v>66.346666666666664</v>
      </c>
      <c r="N342" s="33">
        <v>0.22629552857565888</v>
      </c>
      <c r="O342" s="33">
        <v>0.28166824786805811</v>
      </c>
      <c r="P342" s="33">
        <v>0.34520037508636853</v>
      </c>
      <c r="Q342" s="33">
        <v>0.62686862295442669</v>
      </c>
      <c r="R342" s="31">
        <v>0</v>
      </c>
      <c r="S342" s="31" t="str">
        <f>VLOOKUP(A342,Rankings!B:D,3,FALSE)</f>
        <v>NL</v>
      </c>
    </row>
    <row r="343" spans="1:19" ht="18.600000000000001" customHeight="1">
      <c r="A343" s="26" t="s">
        <v>627</v>
      </c>
      <c r="B343" s="27" t="s">
        <v>78</v>
      </c>
      <c r="C343" s="123" t="s">
        <v>23</v>
      </c>
      <c r="D343" s="31">
        <v>214.5</v>
      </c>
      <c r="E343" s="31">
        <v>26.396666666666665</v>
      </c>
      <c r="F343" s="31">
        <v>5.8688888888888888</v>
      </c>
      <c r="G343" s="31">
        <v>25.959999999999997</v>
      </c>
      <c r="H343" s="31">
        <v>3.86</v>
      </c>
      <c r="I343" s="31">
        <v>50.523333333333333</v>
      </c>
      <c r="J343" s="31">
        <v>10.001666666666667</v>
      </c>
      <c r="K343" s="31">
        <v>1.0049999999999999</v>
      </c>
      <c r="L343" s="31">
        <v>16.842222222222222</v>
      </c>
      <c r="M343" s="31">
        <v>62.896666666666668</v>
      </c>
      <c r="N343" s="33">
        <v>0.23554001554001555</v>
      </c>
      <c r="O343" s="33">
        <v>0.30178277302061707</v>
      </c>
      <c r="P343" s="33">
        <v>0.37362082362082361</v>
      </c>
      <c r="Q343" s="33">
        <v>0.67540359664144067</v>
      </c>
      <c r="R343" s="31">
        <v>0</v>
      </c>
      <c r="S343" s="31" t="str">
        <f>VLOOKUP(A343,Rankings!B:D,3,FALSE)</f>
        <v>AL</v>
      </c>
    </row>
    <row r="344" spans="1:19" ht="20.100000000000001" customHeight="1">
      <c r="A344" s="26" t="s">
        <v>455</v>
      </c>
      <c r="B344" s="27" t="s">
        <v>81</v>
      </c>
      <c r="C344" s="123" t="s">
        <v>23</v>
      </c>
      <c r="D344" s="31">
        <v>205.15</v>
      </c>
      <c r="E344" s="31">
        <v>28.08666666666667</v>
      </c>
      <c r="F344" s="31">
        <v>8.0716666666666672</v>
      </c>
      <c r="G344" s="31">
        <v>27.366666666666671</v>
      </c>
      <c r="H344" s="31">
        <v>3.47</v>
      </c>
      <c r="I344" s="31">
        <v>45.991666666666667</v>
      </c>
      <c r="J344" s="31">
        <v>10.105</v>
      </c>
      <c r="K344" s="31">
        <v>1.0449999999999999</v>
      </c>
      <c r="L344" s="31">
        <v>18.796666666666667</v>
      </c>
      <c r="M344" s="31">
        <v>74.821111111111108</v>
      </c>
      <c r="N344" s="33">
        <v>0.22418555528475098</v>
      </c>
      <c r="O344" s="33">
        <v>0.29984371766826612</v>
      </c>
      <c r="P344" s="33">
        <v>0.40166544804614512</v>
      </c>
      <c r="Q344" s="33">
        <v>0.70150916571441124</v>
      </c>
      <c r="R344" s="31">
        <v>0</v>
      </c>
      <c r="S344" s="31" t="str">
        <f>VLOOKUP(A344,Rankings!B:D,3,FALSE)</f>
        <v>NL</v>
      </c>
    </row>
    <row r="345" spans="1:19" ht="18.600000000000001" customHeight="1">
      <c r="A345" s="26" t="s">
        <v>723</v>
      </c>
      <c r="B345" s="27" t="s">
        <v>134</v>
      </c>
      <c r="C345" s="123" t="s">
        <v>23</v>
      </c>
      <c r="D345" s="31">
        <v>305.90000000000003</v>
      </c>
      <c r="E345" s="31">
        <v>34.783333333333339</v>
      </c>
      <c r="F345" s="31">
        <v>9.913333333333334</v>
      </c>
      <c r="G345" s="31">
        <v>34.821666666666665</v>
      </c>
      <c r="H345" s="31">
        <v>3.1466666666666669</v>
      </c>
      <c r="I345" s="31">
        <v>61.678333333333335</v>
      </c>
      <c r="J345" s="31">
        <v>14.734999999999999</v>
      </c>
      <c r="K345" s="31">
        <v>1.2983333333333333</v>
      </c>
      <c r="L345" s="31">
        <v>38.511666666666663</v>
      </c>
      <c r="M345" s="31">
        <v>95.084444444444443</v>
      </c>
      <c r="N345" s="33">
        <v>0.20162907268170424</v>
      </c>
      <c r="O345" s="33">
        <v>0.30107307231104907</v>
      </c>
      <c r="P345" s="33">
        <v>0.35550833605753512</v>
      </c>
      <c r="Q345" s="33">
        <v>0.65658140836858414</v>
      </c>
      <c r="R345" s="31">
        <v>0</v>
      </c>
      <c r="S345" s="31" t="str">
        <f>VLOOKUP(A345,Rankings!B:D,3,FALSE)</f>
        <v>NL</v>
      </c>
    </row>
    <row r="346" spans="1:19" ht="18.600000000000001" customHeight="1">
      <c r="A346" s="26" t="s">
        <v>620</v>
      </c>
      <c r="B346" s="27" t="s">
        <v>103</v>
      </c>
      <c r="C346" s="123" t="s">
        <v>23</v>
      </c>
      <c r="D346" s="31">
        <v>142.69999999999999</v>
      </c>
      <c r="E346" s="31">
        <v>19.065000000000001</v>
      </c>
      <c r="F346" s="31">
        <v>4.0166666666666666</v>
      </c>
      <c r="G346" s="31">
        <v>17.454999999999998</v>
      </c>
      <c r="H346" s="31">
        <v>1.02</v>
      </c>
      <c r="I346" s="31">
        <v>36.138333333333328</v>
      </c>
      <c r="J346" s="31">
        <v>7.7349999999999994</v>
      </c>
      <c r="K346" s="31">
        <v>4.9999999999999992E-3</v>
      </c>
      <c r="L346" s="31">
        <v>14.649999999999999</v>
      </c>
      <c r="M346" s="31">
        <v>40.027777777777779</v>
      </c>
      <c r="N346" s="33">
        <v>0.25324690492875496</v>
      </c>
      <c r="O346" s="33">
        <v>0.33190044258819956</v>
      </c>
      <c r="P346" s="33">
        <v>0.39196449427703806</v>
      </c>
      <c r="Q346" s="33">
        <v>0.72386493686523767</v>
      </c>
      <c r="R346" s="31">
        <v>0</v>
      </c>
      <c r="S346" s="31" t="str">
        <f>VLOOKUP(A346,Rankings!B:D,3,FALSE)</f>
        <v>AL</v>
      </c>
    </row>
    <row r="347" spans="1:19" ht="18.600000000000001" customHeight="1">
      <c r="A347" s="26" t="s">
        <v>504</v>
      </c>
      <c r="B347" s="27" t="s">
        <v>176</v>
      </c>
      <c r="C347" s="123" t="s">
        <v>23</v>
      </c>
      <c r="D347" s="31">
        <v>121.91666666666667</v>
      </c>
      <c r="E347" s="31">
        <v>17.448333333333334</v>
      </c>
      <c r="F347" s="31">
        <v>4.9000000000000012</v>
      </c>
      <c r="G347" s="31">
        <v>16.628333333333334</v>
      </c>
      <c r="H347" s="31">
        <v>2.2316666666666669</v>
      </c>
      <c r="I347" s="31">
        <v>30.430000000000003</v>
      </c>
      <c r="J347" s="31">
        <v>7.5116666666666658</v>
      </c>
      <c r="K347" s="31">
        <v>0.66111111111111109</v>
      </c>
      <c r="L347" s="31">
        <v>13.983333333333334</v>
      </c>
      <c r="M347" s="31">
        <v>30.070000000000004</v>
      </c>
      <c r="N347" s="33">
        <v>0.24959671907040329</v>
      </c>
      <c r="O347" s="33">
        <v>0.33568504716689213</v>
      </c>
      <c r="P347" s="33">
        <v>0.44262930052403737</v>
      </c>
      <c r="Q347" s="33">
        <v>0.77831434769092955</v>
      </c>
      <c r="R347" s="31">
        <v>0</v>
      </c>
      <c r="S347" s="31" t="str">
        <f>VLOOKUP(A347,Rankings!B:D,3,FALSE)</f>
        <v>NL</v>
      </c>
    </row>
    <row r="348" spans="1:19" ht="20.100000000000001" customHeight="1">
      <c r="A348" s="26" t="s">
        <v>692</v>
      </c>
      <c r="B348" s="27" t="s">
        <v>176</v>
      </c>
      <c r="C348" s="123" t="s">
        <v>23</v>
      </c>
      <c r="D348" s="31">
        <v>180.31666666666669</v>
      </c>
      <c r="E348" s="31">
        <v>22.84</v>
      </c>
      <c r="F348" s="31">
        <v>6.9316666666666675</v>
      </c>
      <c r="G348" s="31">
        <v>23.838333333333335</v>
      </c>
      <c r="H348" s="31">
        <v>2.1416666666666666</v>
      </c>
      <c r="I348" s="31">
        <v>41.634999999999998</v>
      </c>
      <c r="J348" s="31">
        <v>9.0750000000000011</v>
      </c>
      <c r="K348" s="31">
        <v>0.9966666666666667</v>
      </c>
      <c r="L348" s="31">
        <v>16.758333333333333</v>
      </c>
      <c r="M348" s="31">
        <v>58.108888888888885</v>
      </c>
      <c r="N348" s="33">
        <v>0.23089934374711152</v>
      </c>
      <c r="O348" s="33">
        <v>0.30655236568192529</v>
      </c>
      <c r="P348" s="33">
        <v>0.40760698770681203</v>
      </c>
      <c r="Q348" s="33">
        <v>0.71415935338873737</v>
      </c>
      <c r="R348" s="31">
        <v>0</v>
      </c>
      <c r="S348" s="31" t="str">
        <f>VLOOKUP(A348,Rankings!B:D,3,FALSE)</f>
        <v>NL</v>
      </c>
    </row>
    <row r="349" spans="1:19" ht="18.600000000000001" customHeight="1">
      <c r="A349" s="26" t="s">
        <v>683</v>
      </c>
      <c r="B349" s="27" t="s">
        <v>103</v>
      </c>
      <c r="C349" s="123" t="s">
        <v>23</v>
      </c>
      <c r="D349" s="31">
        <v>143.47777777777779</v>
      </c>
      <c r="E349" s="31">
        <v>19.419999999999998</v>
      </c>
      <c r="F349" s="31">
        <v>3.0266666666666668</v>
      </c>
      <c r="G349" s="31">
        <v>15.433333333333332</v>
      </c>
      <c r="H349" s="31">
        <v>5.775555555555556</v>
      </c>
      <c r="I349" s="31">
        <v>34.658888888888889</v>
      </c>
      <c r="J349" s="31">
        <v>7.4655555555555564</v>
      </c>
      <c r="K349" s="31">
        <v>2.0133333333333332</v>
      </c>
      <c r="L349" s="31">
        <v>10.424444444444445</v>
      </c>
      <c r="M349" s="31">
        <v>42.611111111111114</v>
      </c>
      <c r="N349" s="33">
        <v>0.24156276620459999</v>
      </c>
      <c r="O349" s="33">
        <v>0.30350876524403447</v>
      </c>
      <c r="P349" s="33">
        <v>0.38494540385657861</v>
      </c>
      <c r="Q349" s="33">
        <v>0.68845416910061308</v>
      </c>
      <c r="R349" s="31">
        <v>0</v>
      </c>
      <c r="S349" s="31" t="str">
        <f>VLOOKUP(A349,Rankings!B:D,3,FALSE)</f>
        <v>AL</v>
      </c>
    </row>
    <row r="350" spans="1:19" ht="18.600000000000001" customHeight="1">
      <c r="A350" s="26" t="s">
        <v>666</v>
      </c>
      <c r="B350" s="27" t="s">
        <v>223</v>
      </c>
      <c r="C350" s="123" t="s">
        <v>23</v>
      </c>
      <c r="D350" s="31">
        <v>120.45</v>
      </c>
      <c r="E350" s="31">
        <v>16.068333333333332</v>
      </c>
      <c r="F350" s="31">
        <v>3.6655555555555552</v>
      </c>
      <c r="G350" s="31">
        <v>14.01</v>
      </c>
      <c r="H350" s="31">
        <v>2.3283333333333331</v>
      </c>
      <c r="I350" s="31">
        <v>30.534999999999997</v>
      </c>
      <c r="J350" s="31">
        <v>5.97</v>
      </c>
      <c r="K350" s="31">
        <v>0.35666666666666663</v>
      </c>
      <c r="L350" s="31">
        <v>10.103333333333333</v>
      </c>
      <c r="M350" s="31">
        <v>26.446666666666669</v>
      </c>
      <c r="N350" s="33">
        <v>0.25350767953507675</v>
      </c>
      <c r="O350" s="33">
        <v>0.32101517267753599</v>
      </c>
      <c r="P350" s="33">
        <v>0.40029057700290571</v>
      </c>
      <c r="Q350" s="33">
        <v>0.7213057496804417</v>
      </c>
      <c r="R350" s="31">
        <v>0</v>
      </c>
      <c r="S350" s="31" t="str">
        <f>VLOOKUP(A350,Rankings!B:D,3,FALSE)</f>
        <v>NL</v>
      </c>
    </row>
    <row r="351" spans="1:19" ht="18.600000000000001" customHeight="1">
      <c r="A351" s="26" t="s">
        <v>699</v>
      </c>
      <c r="B351" s="27" t="s">
        <v>73</v>
      </c>
      <c r="C351" s="123" t="s">
        <v>23</v>
      </c>
      <c r="D351" s="31">
        <v>176.39999999999998</v>
      </c>
      <c r="E351" s="31">
        <v>25.525000000000002</v>
      </c>
      <c r="F351" s="31">
        <v>8.6577777777777776</v>
      </c>
      <c r="G351" s="31">
        <v>25.553333333333331</v>
      </c>
      <c r="H351" s="31">
        <v>2.9922222222222223</v>
      </c>
      <c r="I351" s="31">
        <v>38.416666666666664</v>
      </c>
      <c r="J351" s="31">
        <v>8.1166666666666671</v>
      </c>
      <c r="K351" s="31">
        <v>0.97000000000000008</v>
      </c>
      <c r="L351" s="31">
        <v>21.831666666666667</v>
      </c>
      <c r="M351" s="31">
        <v>51.873333333333335</v>
      </c>
      <c r="N351" s="33">
        <v>0.21778155706727137</v>
      </c>
      <c r="O351" s="33">
        <v>0.31361710177216501</v>
      </c>
      <c r="P351" s="33">
        <v>0.42203325774754347</v>
      </c>
      <c r="Q351" s="33">
        <v>0.73565035951970847</v>
      </c>
      <c r="R351" s="31">
        <v>0</v>
      </c>
      <c r="S351" s="31" t="str">
        <f>VLOOKUP(A351,Rankings!B:D,3,FALSE)</f>
        <v>NL</v>
      </c>
    </row>
    <row r="352" spans="1:19" ht="18.600000000000001" customHeight="1">
      <c r="A352" s="26" t="s">
        <v>669</v>
      </c>
      <c r="B352" s="27" t="s">
        <v>71</v>
      </c>
      <c r="C352" s="123" t="s">
        <v>23</v>
      </c>
      <c r="D352" s="31">
        <v>163.23333333333332</v>
      </c>
      <c r="E352" s="31">
        <v>21.41</v>
      </c>
      <c r="F352" s="31">
        <v>3.3816666666666664</v>
      </c>
      <c r="G352" s="31">
        <v>16.793333333333333</v>
      </c>
      <c r="H352" s="31">
        <v>9.4322222222222223</v>
      </c>
      <c r="I352" s="31">
        <v>36.895000000000003</v>
      </c>
      <c r="J352" s="31">
        <v>8.1083333333333325</v>
      </c>
      <c r="K352" s="31">
        <v>0.99444444444444446</v>
      </c>
      <c r="L352" s="31">
        <v>14.75</v>
      </c>
      <c r="M352" s="31">
        <v>47.784444444444439</v>
      </c>
      <c r="N352" s="33">
        <v>0.22602613845211358</v>
      </c>
      <c r="O352" s="33">
        <v>0.30068625766992546</v>
      </c>
      <c r="P352" s="33">
        <v>0.35003403444285619</v>
      </c>
      <c r="Q352" s="33">
        <v>0.65072029211278171</v>
      </c>
      <c r="R352" s="31">
        <v>0</v>
      </c>
      <c r="S352" s="31" t="str">
        <f>VLOOKUP(A352,Rankings!B:D,3,FALSE)</f>
        <v>AL</v>
      </c>
    </row>
    <row r="353" spans="1:19" ht="18.600000000000001" customHeight="1">
      <c r="A353" s="26" t="s">
        <v>675</v>
      </c>
      <c r="B353" s="27" t="s">
        <v>120</v>
      </c>
      <c r="C353" s="123" t="s">
        <v>23</v>
      </c>
      <c r="D353" s="31">
        <v>136.24444444444444</v>
      </c>
      <c r="E353" s="31">
        <v>16.933333333333334</v>
      </c>
      <c r="F353" s="31">
        <v>4.1144444444444446</v>
      </c>
      <c r="G353" s="31">
        <v>16.912222222222223</v>
      </c>
      <c r="H353" s="31">
        <v>0.39333333333333331</v>
      </c>
      <c r="I353" s="31">
        <v>34.164444444444449</v>
      </c>
      <c r="J353" s="31">
        <v>6.1988888888888889</v>
      </c>
      <c r="K353" s="31">
        <v>0.99222222222222223</v>
      </c>
      <c r="L353" s="31">
        <v>13.092222222222221</v>
      </c>
      <c r="M353" s="31">
        <v>28.502222222222219</v>
      </c>
      <c r="N353" s="33">
        <v>0.25075844071114017</v>
      </c>
      <c r="O353" s="33">
        <v>0.32587340418765171</v>
      </c>
      <c r="P353" s="33">
        <v>0.40141901810471381</v>
      </c>
      <c r="Q353" s="33">
        <v>0.72729242229236557</v>
      </c>
      <c r="R353" s="31">
        <v>0</v>
      </c>
      <c r="S353" s="31" t="str">
        <f>VLOOKUP(A353,Rankings!B:D,3,FALSE)</f>
        <v>NL</v>
      </c>
    </row>
    <row r="354" spans="1:19" ht="18.600000000000001" customHeight="1">
      <c r="A354" s="26" t="s">
        <v>715</v>
      </c>
      <c r="B354" s="27" t="s">
        <v>140</v>
      </c>
      <c r="C354" s="123" t="s">
        <v>23</v>
      </c>
      <c r="D354" s="31">
        <v>239.81111111111113</v>
      </c>
      <c r="E354" s="31">
        <v>24.318888888888889</v>
      </c>
      <c r="F354" s="31">
        <v>4.7877777777777775</v>
      </c>
      <c r="G354" s="31">
        <v>23.317777777777778</v>
      </c>
      <c r="H354" s="31">
        <v>3.6622222222222223</v>
      </c>
      <c r="I354" s="31">
        <v>52.418888888888887</v>
      </c>
      <c r="J354" s="31">
        <v>10.627777777777778</v>
      </c>
      <c r="K354" s="31">
        <v>1.0066666666666666</v>
      </c>
      <c r="L354" s="31">
        <v>16.187777777777779</v>
      </c>
      <c r="M354" s="31">
        <v>66.918333333333337</v>
      </c>
      <c r="N354" s="33">
        <v>0.21858407079646014</v>
      </c>
      <c r="O354" s="33">
        <v>0.27962755613176965</v>
      </c>
      <c r="P354" s="33">
        <v>0.33119121530834444</v>
      </c>
      <c r="Q354" s="33">
        <v>0.61081877144011409</v>
      </c>
      <c r="R354" s="31">
        <v>0</v>
      </c>
      <c r="S354" s="31" t="str">
        <f>VLOOKUP(A354,Rankings!B:D,3,FALSE)</f>
        <v>AL</v>
      </c>
    </row>
    <row r="355" spans="1:19" ht="18.600000000000001" customHeight="1">
      <c r="A355" s="26" t="s">
        <v>657</v>
      </c>
      <c r="B355" s="27" t="s">
        <v>63</v>
      </c>
      <c r="C355" s="123" t="s">
        <v>23</v>
      </c>
      <c r="D355" s="31">
        <v>127.72222222222221</v>
      </c>
      <c r="E355" s="31">
        <v>14.947777777777778</v>
      </c>
      <c r="F355" s="31">
        <v>1.9844444444444445</v>
      </c>
      <c r="G355" s="31">
        <v>12.425555555555556</v>
      </c>
      <c r="H355" s="31">
        <v>4.3988888888888891</v>
      </c>
      <c r="I355" s="31">
        <v>30.968888888888888</v>
      </c>
      <c r="J355" s="31">
        <v>5.4577777777777783</v>
      </c>
      <c r="K355" s="31">
        <v>1.0549999999999999</v>
      </c>
      <c r="L355" s="31">
        <v>7.4755555555555553</v>
      </c>
      <c r="M355" s="31">
        <v>31.685555555555556</v>
      </c>
      <c r="N355" s="33">
        <v>0.24247063940843847</v>
      </c>
      <c r="O355" s="33">
        <v>0.29541606967243</v>
      </c>
      <c r="P355" s="33">
        <v>0.34833405828621139</v>
      </c>
      <c r="Q355" s="33">
        <v>0.64375012795864139</v>
      </c>
      <c r="R355" s="31">
        <v>0</v>
      </c>
      <c r="S355" s="31" t="str">
        <f>VLOOKUP(A355,Rankings!B:D,3,FALSE)</f>
        <v>NL</v>
      </c>
    </row>
    <row r="356" spans="1:19" ht="18.600000000000001" customHeight="1">
      <c r="A356" s="26" t="s">
        <v>662</v>
      </c>
      <c r="B356" s="27" t="s">
        <v>158</v>
      </c>
      <c r="C356" s="123" t="s">
        <v>23</v>
      </c>
      <c r="D356" s="31">
        <v>143.41666666666669</v>
      </c>
      <c r="E356" s="31">
        <v>17.516666666666669</v>
      </c>
      <c r="F356" s="31">
        <v>5.2966666666666669</v>
      </c>
      <c r="G356" s="31">
        <v>17.781666666666666</v>
      </c>
      <c r="H356" s="31">
        <v>4.0916666666666668</v>
      </c>
      <c r="I356" s="31">
        <v>31.386666666666667</v>
      </c>
      <c r="J356" s="31">
        <v>6.2749999999999995</v>
      </c>
      <c r="K356" s="31">
        <v>1.0583333333333333</v>
      </c>
      <c r="L356" s="31">
        <v>12.093333333333334</v>
      </c>
      <c r="M356" s="31">
        <v>51.376666666666665</v>
      </c>
      <c r="N356" s="33">
        <v>0.21884950610110399</v>
      </c>
      <c r="O356" s="33">
        <v>0.29059228788334834</v>
      </c>
      <c r="P356" s="33">
        <v>0.38815804764671696</v>
      </c>
      <c r="Q356" s="33">
        <v>0.67875033553006525</v>
      </c>
      <c r="R356" s="31">
        <v>0</v>
      </c>
      <c r="S356" s="31" t="str">
        <f>VLOOKUP(A356,Rankings!B:D,3,FALSE)</f>
        <v>NL</v>
      </c>
    </row>
    <row r="357" spans="1:19" ht="18.600000000000001" customHeight="1">
      <c r="A357" s="26" t="s">
        <v>719</v>
      </c>
      <c r="B357" s="27" t="s">
        <v>137</v>
      </c>
      <c r="C357" s="123" t="s">
        <v>23</v>
      </c>
      <c r="D357" s="31">
        <v>114.51111111111111</v>
      </c>
      <c r="E357" s="31">
        <v>13.878888888888889</v>
      </c>
      <c r="F357" s="31">
        <v>1.7049999999999998</v>
      </c>
      <c r="G357" s="31">
        <v>10.893333333333333</v>
      </c>
      <c r="H357" s="31">
        <v>2.4955555555555553</v>
      </c>
      <c r="I357" s="31">
        <v>27.261111111111109</v>
      </c>
      <c r="J357" s="31">
        <v>5.0955555555555554</v>
      </c>
      <c r="K357" s="31">
        <v>0.99444444444444446</v>
      </c>
      <c r="L357" s="31">
        <v>11.231111111111112</v>
      </c>
      <c r="M357" s="31">
        <v>23.47111111111111</v>
      </c>
      <c r="N357" s="33">
        <v>0.23806520473510576</v>
      </c>
      <c r="O357" s="33">
        <v>0.31593972108310558</v>
      </c>
      <c r="P357" s="33">
        <v>0.344600232874054</v>
      </c>
      <c r="Q357" s="33">
        <v>0.66053995395715959</v>
      </c>
      <c r="R357" s="31">
        <v>0</v>
      </c>
      <c r="S357" s="31" t="str">
        <f>VLOOKUP(A357,Rankings!B:D,3,FALSE)</f>
        <v>NL</v>
      </c>
    </row>
    <row r="358" spans="1:19" ht="18.600000000000001" customHeight="1">
      <c r="A358" s="26" t="s">
        <v>90</v>
      </c>
      <c r="B358" s="27" t="s">
        <v>91</v>
      </c>
      <c r="C358" s="124" t="s">
        <v>27</v>
      </c>
      <c r="D358" s="31">
        <v>610.4</v>
      </c>
      <c r="E358" s="31">
        <v>98.84333333333332</v>
      </c>
      <c r="F358" s="31">
        <v>21.461111111111109</v>
      </c>
      <c r="G358" s="31">
        <v>79.13666666666667</v>
      </c>
      <c r="H358" s="31">
        <v>31.122222222222224</v>
      </c>
      <c r="I358" s="31">
        <v>177.74</v>
      </c>
      <c r="J358" s="31">
        <v>34.085000000000001</v>
      </c>
      <c r="K358" s="31">
        <v>4.0049999999999999</v>
      </c>
      <c r="L358" s="31">
        <v>45.526666666666664</v>
      </c>
      <c r="M358" s="31">
        <v>118.16000000000001</v>
      </c>
      <c r="N358" s="33">
        <v>0.29118610747051116</v>
      </c>
      <c r="O358" s="33">
        <v>0.34903208687610482</v>
      </c>
      <c r="P358" s="33">
        <v>0.46562636522498907</v>
      </c>
      <c r="Q358" s="33">
        <v>0.81465845210109389</v>
      </c>
      <c r="R358" s="31">
        <v>0</v>
      </c>
      <c r="S358" s="31" t="str">
        <f>VLOOKUP(A358,Rankings!B:D,3,FALSE)</f>
        <v>NL</v>
      </c>
    </row>
    <row r="359" spans="1:19" ht="18.600000000000001" customHeight="1">
      <c r="A359" s="26" t="s">
        <v>126</v>
      </c>
      <c r="B359" s="27" t="s">
        <v>63</v>
      </c>
      <c r="C359" s="124" t="s">
        <v>27</v>
      </c>
      <c r="D359" s="31">
        <v>451.13333333333327</v>
      </c>
      <c r="E359" s="31">
        <v>85.521666666666661</v>
      </c>
      <c r="F359" s="31">
        <v>32.136666666666663</v>
      </c>
      <c r="G359" s="31">
        <v>83.983333333333334</v>
      </c>
      <c r="H359" s="31">
        <v>22.466666666666669</v>
      </c>
      <c r="I359" s="31">
        <v>124.98666666666666</v>
      </c>
      <c r="J359" s="31">
        <v>25.178333333333331</v>
      </c>
      <c r="K359" s="31">
        <v>1.9944444444444445</v>
      </c>
      <c r="L359" s="31">
        <v>53.515000000000008</v>
      </c>
      <c r="M359" s="31">
        <v>127.50888888888888</v>
      </c>
      <c r="N359" s="33">
        <v>0.27705039160632483</v>
      </c>
      <c r="O359" s="33">
        <v>0.36152060389320118</v>
      </c>
      <c r="P359" s="33">
        <v>0.555409832027979</v>
      </c>
      <c r="Q359" s="33">
        <v>0.91693043592118018</v>
      </c>
      <c r="R359" s="31">
        <v>0</v>
      </c>
      <c r="S359" s="31" t="str">
        <f>VLOOKUP(A359,Rankings!B:D,3,FALSE)</f>
        <v>NL</v>
      </c>
    </row>
    <row r="360" spans="1:19" ht="18.600000000000001" customHeight="1">
      <c r="A360" s="26" t="s">
        <v>124</v>
      </c>
      <c r="B360" s="27" t="s">
        <v>94</v>
      </c>
      <c r="C360" s="124" t="s">
        <v>27</v>
      </c>
      <c r="D360" s="31">
        <v>607.34444444444443</v>
      </c>
      <c r="E360" s="31">
        <v>93.84666666666665</v>
      </c>
      <c r="F360" s="31">
        <v>24.814444444444444</v>
      </c>
      <c r="G360" s="31">
        <v>88.738888888888894</v>
      </c>
      <c r="H360" s="31">
        <v>18.404444444444444</v>
      </c>
      <c r="I360" s="31">
        <v>172.43888888888887</v>
      </c>
      <c r="J360" s="31">
        <v>37.006666666666668</v>
      </c>
      <c r="K360" s="31">
        <v>1.981111111111111</v>
      </c>
      <c r="L360" s="31">
        <v>40.928888888888885</v>
      </c>
      <c r="M360" s="31">
        <v>134.52444444444444</v>
      </c>
      <c r="N360" s="33">
        <v>0.28392272369696858</v>
      </c>
      <c r="O360" s="33">
        <v>0.33829202501893574</v>
      </c>
      <c r="P360" s="33">
        <v>0.47395034851173595</v>
      </c>
      <c r="Q360" s="33">
        <v>0.81224237353067164</v>
      </c>
      <c r="R360" s="31">
        <v>0</v>
      </c>
      <c r="S360" s="31" t="str">
        <f>VLOOKUP(A360,Rankings!B:D,3,FALSE)</f>
        <v>AL</v>
      </c>
    </row>
    <row r="361" spans="1:19" ht="18.600000000000001" customHeight="1">
      <c r="A361" s="26" t="s">
        <v>116</v>
      </c>
      <c r="B361" s="27" t="s">
        <v>117</v>
      </c>
      <c r="C361" s="124" t="s">
        <v>27</v>
      </c>
      <c r="D361" s="31">
        <v>590.12222222222215</v>
      </c>
      <c r="E361" s="31">
        <v>87.396666666666661</v>
      </c>
      <c r="F361" s="31">
        <v>22.877777777777776</v>
      </c>
      <c r="G361" s="31">
        <v>78.223333333333343</v>
      </c>
      <c r="H361" s="31">
        <v>30.914444444444445</v>
      </c>
      <c r="I361" s="31">
        <v>154.85444444444445</v>
      </c>
      <c r="J361" s="31">
        <v>32.976666666666667</v>
      </c>
      <c r="K361" s="31">
        <v>5.0083333333333337</v>
      </c>
      <c r="L361" s="31">
        <v>37.211666666666666</v>
      </c>
      <c r="M361" s="31">
        <v>134.77555555555554</v>
      </c>
      <c r="N361" s="33">
        <v>0.26241080002259426</v>
      </c>
      <c r="O361" s="33">
        <v>0.31629075219908503</v>
      </c>
      <c r="P361" s="33">
        <v>0.45156935474760407</v>
      </c>
      <c r="Q361" s="33">
        <v>0.76786010694668905</v>
      </c>
      <c r="R361" s="31">
        <v>0</v>
      </c>
      <c r="S361" s="31" t="str">
        <f>VLOOKUP(A361,Rankings!B:D,3,FALSE)</f>
        <v>AL</v>
      </c>
    </row>
    <row r="362" spans="1:19" ht="18.600000000000001" customHeight="1">
      <c r="A362" s="26" t="s">
        <v>202</v>
      </c>
      <c r="B362" s="27" t="s">
        <v>95</v>
      </c>
      <c r="C362" s="124" t="s">
        <v>27</v>
      </c>
      <c r="D362" s="31">
        <v>582.93333333333328</v>
      </c>
      <c r="E362" s="31">
        <v>85.171111111111102</v>
      </c>
      <c r="F362" s="31">
        <v>23.570000000000004</v>
      </c>
      <c r="G362" s="31">
        <v>85.992222222222225</v>
      </c>
      <c r="H362" s="31">
        <v>15.153333333333334</v>
      </c>
      <c r="I362" s="31">
        <v>147.39666666666668</v>
      </c>
      <c r="J362" s="31">
        <v>26.599999999999998</v>
      </c>
      <c r="K362" s="31">
        <v>3.0116666666666667</v>
      </c>
      <c r="L362" s="31">
        <v>57.351666666666659</v>
      </c>
      <c r="M362" s="31">
        <v>119.89333333333333</v>
      </c>
      <c r="N362" s="33">
        <v>0.25285338517840811</v>
      </c>
      <c r="O362" s="33">
        <v>0.32905637315577341</v>
      </c>
      <c r="P362" s="33">
        <v>0.4301177950594694</v>
      </c>
      <c r="Q362" s="33">
        <v>0.75917416821524286</v>
      </c>
      <c r="R362" s="31">
        <v>0</v>
      </c>
      <c r="S362" s="31" t="str">
        <f>VLOOKUP(A362,Rankings!B:D,3,FALSE)</f>
        <v>NL</v>
      </c>
    </row>
    <row r="363" spans="1:19" ht="18.600000000000001" customHeight="1">
      <c r="A363" s="26" t="s">
        <v>211</v>
      </c>
      <c r="B363" s="27" t="s">
        <v>86</v>
      </c>
      <c r="C363" s="124" t="s">
        <v>27</v>
      </c>
      <c r="D363" s="31">
        <v>550.6</v>
      </c>
      <c r="E363" s="31">
        <v>84.943333333333328</v>
      </c>
      <c r="F363" s="31">
        <v>26.622222222222224</v>
      </c>
      <c r="G363" s="31">
        <v>83.271111111111111</v>
      </c>
      <c r="H363" s="31">
        <v>2.6644444444444444</v>
      </c>
      <c r="I363" s="31">
        <v>153.16222222222223</v>
      </c>
      <c r="J363" s="31">
        <v>31.293333333333333</v>
      </c>
      <c r="K363" s="31">
        <v>2</v>
      </c>
      <c r="L363" s="31">
        <v>58.221666666666664</v>
      </c>
      <c r="M363" s="31">
        <v>99.427777777777763</v>
      </c>
      <c r="N363" s="33">
        <v>0.27817330588852562</v>
      </c>
      <c r="O363" s="33">
        <v>0.35534937292937624</v>
      </c>
      <c r="P363" s="33">
        <v>0.48732695645154783</v>
      </c>
      <c r="Q363" s="33">
        <v>0.84267632938092407</v>
      </c>
      <c r="R363" s="31">
        <v>0</v>
      </c>
      <c r="S363" s="31" t="str">
        <f>VLOOKUP(A363,Rankings!B:D,3,FALSE)</f>
        <v>AL</v>
      </c>
    </row>
    <row r="364" spans="1:19" ht="18.600000000000001" customHeight="1">
      <c r="A364" s="26" t="s">
        <v>183</v>
      </c>
      <c r="B364" s="27" t="s">
        <v>114</v>
      </c>
      <c r="C364" s="124" t="s">
        <v>27</v>
      </c>
      <c r="D364" s="31">
        <v>565.65555555555557</v>
      </c>
      <c r="E364" s="31">
        <v>82.72</v>
      </c>
      <c r="F364" s="31">
        <v>14.093333333333334</v>
      </c>
      <c r="G364" s="31">
        <v>59.306666666666672</v>
      </c>
      <c r="H364" s="31">
        <v>20.126666666666669</v>
      </c>
      <c r="I364" s="31">
        <v>163.85</v>
      </c>
      <c r="J364" s="31">
        <v>29.487777777777779</v>
      </c>
      <c r="K364" s="31">
        <v>1.5033333333333332</v>
      </c>
      <c r="L364" s="31">
        <v>25.536666666666665</v>
      </c>
      <c r="M364" s="31">
        <v>113.33166666666665</v>
      </c>
      <c r="N364" s="33">
        <v>0.28966391011412518</v>
      </c>
      <c r="O364" s="33">
        <v>0.33005617028514705</v>
      </c>
      <c r="P364" s="33">
        <v>0.4218546818833605</v>
      </c>
      <c r="Q364" s="33">
        <v>0.75191085216850762</v>
      </c>
      <c r="R364" s="31">
        <v>0</v>
      </c>
      <c r="S364" s="31" t="str">
        <f>VLOOKUP(A364,Rankings!B:D,3,FALSE)</f>
        <v>AL</v>
      </c>
    </row>
    <row r="365" spans="1:19" ht="18.600000000000001" customHeight="1">
      <c r="A365" s="26" t="s">
        <v>209</v>
      </c>
      <c r="B365" s="27" t="s">
        <v>158</v>
      </c>
      <c r="C365" s="124" t="s">
        <v>27</v>
      </c>
      <c r="D365" s="31">
        <v>587.5</v>
      </c>
      <c r="E365" s="31">
        <v>82.417777777777772</v>
      </c>
      <c r="F365" s="31">
        <v>22.231666666666666</v>
      </c>
      <c r="G365" s="31">
        <v>78.001111111111115</v>
      </c>
      <c r="H365" s="31">
        <v>15.215555555555556</v>
      </c>
      <c r="I365" s="31">
        <v>148.92777777777778</v>
      </c>
      <c r="J365" s="31">
        <v>29.985555555555553</v>
      </c>
      <c r="K365" s="31">
        <v>1.9833333333333334</v>
      </c>
      <c r="L365" s="31">
        <v>50.085000000000001</v>
      </c>
      <c r="M365" s="31">
        <v>162.56888888888889</v>
      </c>
      <c r="N365" s="33">
        <v>0.25349408983451538</v>
      </c>
      <c r="O365" s="33">
        <v>0.32182686245989822</v>
      </c>
      <c r="P365" s="33">
        <v>0.42480851063829783</v>
      </c>
      <c r="Q365" s="33">
        <v>0.74663537309819605</v>
      </c>
      <c r="R365" s="31">
        <v>0</v>
      </c>
      <c r="S365" s="31" t="str">
        <f>VLOOKUP(A365,Rankings!B:D,3,FALSE)</f>
        <v>NL</v>
      </c>
    </row>
    <row r="366" spans="1:19" ht="18.600000000000001" customHeight="1">
      <c r="A366" s="26" t="s">
        <v>226</v>
      </c>
      <c r="B366" s="27" t="s">
        <v>63</v>
      </c>
      <c r="C366" s="124" t="s">
        <v>27</v>
      </c>
      <c r="D366" s="31">
        <v>563.41111111111115</v>
      </c>
      <c r="E366" s="31">
        <v>83.698888888888888</v>
      </c>
      <c r="F366" s="31">
        <v>18.989999999999998</v>
      </c>
      <c r="G366" s="31">
        <v>78.195000000000007</v>
      </c>
      <c r="H366" s="31">
        <v>7.7411111111111106</v>
      </c>
      <c r="I366" s="31">
        <v>154.4722222222222</v>
      </c>
      <c r="J366" s="31">
        <v>31.961111111111112</v>
      </c>
      <c r="K366" s="31">
        <v>0.98444444444444434</v>
      </c>
      <c r="L366" s="31">
        <v>61.276666666666671</v>
      </c>
      <c r="M366" s="31">
        <v>119.62666666666667</v>
      </c>
      <c r="N366" s="33">
        <v>0.27417319107815485</v>
      </c>
      <c r="O366" s="33">
        <v>0.3535685725256934</v>
      </c>
      <c r="P366" s="33">
        <v>0.43551186226753696</v>
      </c>
      <c r="Q366" s="33">
        <v>0.78908043479323031</v>
      </c>
      <c r="R366" s="31">
        <v>0</v>
      </c>
      <c r="S366" s="31" t="str">
        <f>VLOOKUP(A366,Rankings!B:D,3,FALSE)</f>
        <v>NL</v>
      </c>
    </row>
    <row r="367" spans="1:19" ht="18.600000000000001" customHeight="1">
      <c r="A367" s="26" t="s">
        <v>243</v>
      </c>
      <c r="B367" s="27" t="s">
        <v>97</v>
      </c>
      <c r="C367" s="124" t="s">
        <v>27</v>
      </c>
      <c r="D367" s="31">
        <v>562.94999999999993</v>
      </c>
      <c r="E367" s="31">
        <v>83.570000000000007</v>
      </c>
      <c r="F367" s="31">
        <v>27.972222222222225</v>
      </c>
      <c r="G367" s="31">
        <v>82.878888888888881</v>
      </c>
      <c r="H367" s="31">
        <v>8.4877777777777776</v>
      </c>
      <c r="I367" s="31">
        <v>138.74222222222224</v>
      </c>
      <c r="J367" s="31">
        <v>29.404444444444447</v>
      </c>
      <c r="K367" s="31">
        <v>0.99777777777777776</v>
      </c>
      <c r="L367" s="31">
        <v>56.274999999999999</v>
      </c>
      <c r="M367" s="31">
        <v>167.76666666666668</v>
      </c>
      <c r="N367" s="33">
        <v>0.24645567496619994</v>
      </c>
      <c r="O367" s="33">
        <v>0.32439447391986559</v>
      </c>
      <c r="P367" s="33">
        <v>0.45129920754754232</v>
      </c>
      <c r="Q367" s="33">
        <v>0.77569368146740791</v>
      </c>
      <c r="R367" s="31">
        <v>0</v>
      </c>
      <c r="S367" s="31" t="str">
        <f>VLOOKUP(A367,Rankings!B:D,3,FALSE)</f>
        <v>NL</v>
      </c>
    </row>
    <row r="368" spans="1:19" ht="18.600000000000001" customHeight="1">
      <c r="A368" s="26" t="s">
        <v>272</v>
      </c>
      <c r="B368" s="27" t="s">
        <v>101</v>
      </c>
      <c r="C368" s="124" t="s">
        <v>27</v>
      </c>
      <c r="D368" s="31">
        <v>551.74444444444441</v>
      </c>
      <c r="E368" s="31">
        <v>80.595555555555549</v>
      </c>
      <c r="F368" s="31">
        <v>13.733333333333334</v>
      </c>
      <c r="G368" s="31">
        <v>70.465555555555554</v>
      </c>
      <c r="H368" s="31">
        <v>13.399999999999999</v>
      </c>
      <c r="I368" s="31">
        <v>156.47333333333333</v>
      </c>
      <c r="J368" s="31">
        <v>33.869999999999997</v>
      </c>
      <c r="K368" s="31">
        <v>5.9222222222222216</v>
      </c>
      <c r="L368" s="31">
        <v>47.85</v>
      </c>
      <c r="M368" s="31">
        <v>64.365555555555559</v>
      </c>
      <c r="N368" s="33">
        <v>0.28359747870390883</v>
      </c>
      <c r="O368" s="33">
        <v>0.34930962480647693</v>
      </c>
      <c r="P368" s="33">
        <v>0.44112411140423308</v>
      </c>
      <c r="Q368" s="33">
        <v>0.79043373621071</v>
      </c>
      <c r="R368" s="31">
        <v>0</v>
      </c>
      <c r="S368" s="31" t="str">
        <f>VLOOKUP(A368,Rankings!B:D,3,FALSE)</f>
        <v>AL</v>
      </c>
    </row>
    <row r="369" spans="1:19" ht="18.600000000000001" customHeight="1">
      <c r="A369" s="26" t="s">
        <v>206</v>
      </c>
      <c r="B369" s="27" t="s">
        <v>137</v>
      </c>
      <c r="C369" s="124" t="s">
        <v>27</v>
      </c>
      <c r="D369" s="31">
        <v>516.4666666666667</v>
      </c>
      <c r="E369" s="31">
        <v>78.776666666666657</v>
      </c>
      <c r="F369" s="31">
        <v>22.945833333333336</v>
      </c>
      <c r="G369" s="31">
        <v>69.606666666666669</v>
      </c>
      <c r="H369" s="31">
        <v>19.243333333333336</v>
      </c>
      <c r="I369" s="31">
        <v>128.02166666666668</v>
      </c>
      <c r="J369" s="31">
        <v>24.541666666666668</v>
      </c>
      <c r="K369" s="31">
        <v>5.0125000000000002</v>
      </c>
      <c r="L369" s="31">
        <v>46.955833333333338</v>
      </c>
      <c r="M369" s="31">
        <v>160.93333333333334</v>
      </c>
      <c r="N369" s="33">
        <v>0.2478798244481735</v>
      </c>
      <c r="O369" s="33">
        <v>0.32026735371582976</v>
      </c>
      <c r="P369" s="33">
        <v>0.44809442364786367</v>
      </c>
      <c r="Q369" s="33">
        <v>0.76836177736369349</v>
      </c>
      <c r="R369" s="31">
        <v>0</v>
      </c>
      <c r="S369" s="31" t="str">
        <f>VLOOKUP(A369,Rankings!B:D,3,FALSE)</f>
        <v>NL</v>
      </c>
    </row>
    <row r="370" spans="1:19" ht="18.600000000000001" customHeight="1">
      <c r="A370" s="26" t="s">
        <v>246</v>
      </c>
      <c r="B370" s="27" t="s">
        <v>76</v>
      </c>
      <c r="C370" s="124" t="s">
        <v>27</v>
      </c>
      <c r="D370" s="31">
        <v>589.18888888888887</v>
      </c>
      <c r="E370" s="31">
        <v>77.904444444444451</v>
      </c>
      <c r="F370" s="31">
        <v>11.598888888888888</v>
      </c>
      <c r="G370" s="31">
        <v>66.376666666666665</v>
      </c>
      <c r="H370" s="31">
        <v>16.351111111111113</v>
      </c>
      <c r="I370" s="31">
        <v>163.4411111111111</v>
      </c>
      <c r="J370" s="31">
        <v>27.668888888888887</v>
      </c>
      <c r="K370" s="31">
        <v>6.0266666666666664</v>
      </c>
      <c r="L370" s="31">
        <v>28.961111111111109</v>
      </c>
      <c r="M370" s="31">
        <v>110.09777777777778</v>
      </c>
      <c r="N370" s="33">
        <v>0.27740019235483809</v>
      </c>
      <c r="O370" s="33">
        <v>0.32130242280576521</v>
      </c>
      <c r="P370" s="33">
        <v>0.40387727006996427</v>
      </c>
      <c r="Q370" s="33">
        <v>0.72517969287572948</v>
      </c>
      <c r="R370" s="31">
        <v>0</v>
      </c>
      <c r="S370" s="31" t="str">
        <f>VLOOKUP(A370,Rankings!B:D,3,FALSE)</f>
        <v>AL</v>
      </c>
    </row>
    <row r="371" spans="1:19" ht="18.600000000000001" customHeight="1">
      <c r="A371" s="26" t="s">
        <v>290</v>
      </c>
      <c r="B371" s="27" t="s">
        <v>156</v>
      </c>
      <c r="C371" s="124" t="s">
        <v>27</v>
      </c>
      <c r="D371" s="31">
        <v>545.05555555555554</v>
      </c>
      <c r="E371" s="31">
        <v>81.337777777777774</v>
      </c>
      <c r="F371" s="31">
        <v>22.959999999999997</v>
      </c>
      <c r="G371" s="31">
        <v>76.743333333333325</v>
      </c>
      <c r="H371" s="31">
        <v>0.99222222222222223</v>
      </c>
      <c r="I371" s="31">
        <v>148.78111111111113</v>
      </c>
      <c r="J371" s="31">
        <v>29.599999999999998</v>
      </c>
      <c r="K371" s="31">
        <v>1.0049999999999999</v>
      </c>
      <c r="L371" s="31">
        <v>63.648888888888884</v>
      </c>
      <c r="M371" s="31">
        <v>121.14833333333333</v>
      </c>
      <c r="N371" s="33">
        <v>0.27296503924166754</v>
      </c>
      <c r="O371" s="33">
        <v>0.3569882897920062</v>
      </c>
      <c r="P371" s="33">
        <v>0.45733156660890839</v>
      </c>
      <c r="Q371" s="33">
        <v>0.81431985640091464</v>
      </c>
      <c r="R371" s="31">
        <v>0</v>
      </c>
      <c r="S371" s="31" t="str">
        <f>VLOOKUP(A371,Rankings!B:D,3,FALSE)</f>
        <v>AL</v>
      </c>
    </row>
    <row r="372" spans="1:19" ht="18.600000000000001" customHeight="1">
      <c r="A372" s="26" t="s">
        <v>320</v>
      </c>
      <c r="B372" s="27" t="s">
        <v>158</v>
      </c>
      <c r="C372" s="124" t="s">
        <v>27</v>
      </c>
      <c r="D372" s="31">
        <v>524.61111111111109</v>
      </c>
      <c r="E372" s="31">
        <v>70.143333333333331</v>
      </c>
      <c r="F372" s="31">
        <v>9.6277777777777782</v>
      </c>
      <c r="G372" s="31">
        <v>56.443333333333328</v>
      </c>
      <c r="H372" s="31">
        <v>20.823333333333334</v>
      </c>
      <c r="I372" s="31">
        <v>146.22666666666666</v>
      </c>
      <c r="J372" s="31">
        <v>26.253333333333334</v>
      </c>
      <c r="K372" s="31">
        <v>3.99</v>
      </c>
      <c r="L372" s="31">
        <v>35.817777777777778</v>
      </c>
      <c r="M372" s="31">
        <v>71.298333333333332</v>
      </c>
      <c r="N372" s="33">
        <v>0.27873345335168909</v>
      </c>
      <c r="O372" s="33">
        <v>0.33415678532207127</v>
      </c>
      <c r="P372" s="33">
        <v>0.39904479508630736</v>
      </c>
      <c r="Q372" s="33">
        <v>0.73320158040837868</v>
      </c>
      <c r="R372" s="31">
        <v>0</v>
      </c>
      <c r="S372" s="31" t="str">
        <f>VLOOKUP(A372,Rankings!B:D,3,FALSE)</f>
        <v>NL</v>
      </c>
    </row>
    <row r="373" spans="1:19" ht="18.600000000000001" customHeight="1">
      <c r="A373" s="26" t="s">
        <v>300</v>
      </c>
      <c r="B373" s="27" t="s">
        <v>78</v>
      </c>
      <c r="C373" s="124" t="s">
        <v>27</v>
      </c>
      <c r="D373" s="31">
        <v>550.02222222222224</v>
      </c>
      <c r="E373" s="31">
        <v>73.757777777777775</v>
      </c>
      <c r="F373" s="31">
        <v>20.922222222222221</v>
      </c>
      <c r="G373" s="31">
        <v>69.848888888888894</v>
      </c>
      <c r="H373" s="31">
        <v>13.132222222222223</v>
      </c>
      <c r="I373" s="31">
        <v>138.03333333333333</v>
      </c>
      <c r="J373" s="31">
        <v>23.318888888888889</v>
      </c>
      <c r="K373" s="31">
        <v>2.9822222222222226</v>
      </c>
      <c r="L373" s="31">
        <v>30.512222222222221</v>
      </c>
      <c r="M373" s="31">
        <v>140.17666666666665</v>
      </c>
      <c r="N373" s="33">
        <v>0.2509595571896085</v>
      </c>
      <c r="O373" s="33">
        <v>0.30117378962983299</v>
      </c>
      <c r="P373" s="33">
        <v>0.41831643165932686</v>
      </c>
      <c r="Q373" s="33">
        <v>0.71949022128915985</v>
      </c>
      <c r="R373" s="31">
        <v>0</v>
      </c>
      <c r="S373" s="31" t="str">
        <f>VLOOKUP(A373,Rankings!B:D,3,FALSE)</f>
        <v>AL</v>
      </c>
    </row>
    <row r="374" spans="1:19" ht="18.600000000000001" customHeight="1">
      <c r="A374" s="26" t="s">
        <v>332</v>
      </c>
      <c r="B374" s="27" t="s">
        <v>258</v>
      </c>
      <c r="C374" s="124" t="s">
        <v>27</v>
      </c>
      <c r="D374" s="31">
        <v>560.9</v>
      </c>
      <c r="E374" s="31">
        <v>72.335555555555558</v>
      </c>
      <c r="F374" s="31">
        <v>21.52</v>
      </c>
      <c r="G374" s="31">
        <v>73.24666666666667</v>
      </c>
      <c r="H374" s="31">
        <v>13.327777777777778</v>
      </c>
      <c r="I374" s="31">
        <v>138.17111111111112</v>
      </c>
      <c r="J374" s="31">
        <v>26.927777777777777</v>
      </c>
      <c r="K374" s="31">
        <v>3.0050000000000003</v>
      </c>
      <c r="L374" s="31">
        <v>29.040000000000003</v>
      </c>
      <c r="M374" s="31">
        <v>161.56222222222223</v>
      </c>
      <c r="N374" s="33">
        <v>0.24633822626334662</v>
      </c>
      <c r="O374" s="33">
        <v>0.29460233396720337</v>
      </c>
      <c r="P374" s="33">
        <v>0.4201620411640023</v>
      </c>
      <c r="Q374" s="33">
        <v>0.71476437513120561</v>
      </c>
      <c r="R374" s="31">
        <v>0</v>
      </c>
      <c r="S374" s="31" t="str">
        <f>VLOOKUP(A374,Rankings!B:D,3,FALSE)</f>
        <v>AL</v>
      </c>
    </row>
    <row r="375" spans="1:19" ht="18.600000000000001" customHeight="1">
      <c r="A375" s="26" t="s">
        <v>354</v>
      </c>
      <c r="B375" s="27" t="s">
        <v>176</v>
      </c>
      <c r="C375" s="125" t="s">
        <v>27</v>
      </c>
      <c r="D375" s="31">
        <v>466.01111111111112</v>
      </c>
      <c r="E375" s="31">
        <v>61.785555555555554</v>
      </c>
      <c r="F375" s="31">
        <v>13.746666666666668</v>
      </c>
      <c r="G375" s="31">
        <v>58.169999999999995</v>
      </c>
      <c r="H375" s="31">
        <v>13.364444444444445</v>
      </c>
      <c r="I375" s="31">
        <v>126.93222222222222</v>
      </c>
      <c r="J375" s="31">
        <v>25.146666666666665</v>
      </c>
      <c r="K375" s="31">
        <v>2.9855555555555555</v>
      </c>
      <c r="L375" s="31">
        <v>26.734444444444446</v>
      </c>
      <c r="M375" s="31">
        <v>94.305555555555557</v>
      </c>
      <c r="N375" s="33">
        <v>0.27238024844424308</v>
      </c>
      <c r="O375" s="33">
        <v>0.32180606904657338</v>
      </c>
      <c r="P375" s="33">
        <v>0.42765074747860093</v>
      </c>
      <c r="Q375" s="33">
        <v>0.74945681652517426</v>
      </c>
      <c r="R375" s="31">
        <v>0</v>
      </c>
      <c r="S375" s="31" t="str">
        <f>VLOOKUP(A375,Rankings!B:D,3,FALSE)</f>
        <v>NL</v>
      </c>
    </row>
    <row r="376" spans="1:19" ht="18.600000000000001" customHeight="1">
      <c r="A376" s="26" t="s">
        <v>473</v>
      </c>
      <c r="B376" s="27" t="s">
        <v>306</v>
      </c>
      <c r="C376" s="126" t="s">
        <v>27</v>
      </c>
      <c r="D376" s="31">
        <v>498.28888888888895</v>
      </c>
      <c r="E376" s="31">
        <v>59.885555555555555</v>
      </c>
      <c r="F376" s="31">
        <v>8.4266666666666659</v>
      </c>
      <c r="G376" s="31">
        <v>49.26</v>
      </c>
      <c r="H376" s="31">
        <v>18.066666666666666</v>
      </c>
      <c r="I376" s="31">
        <v>127.53333333333335</v>
      </c>
      <c r="J376" s="31">
        <v>26.504444444444445</v>
      </c>
      <c r="K376" s="31">
        <v>2.9988888888888887</v>
      </c>
      <c r="L376" s="31">
        <v>19.991111111111113</v>
      </c>
      <c r="M376" s="31">
        <v>95.602222222222224</v>
      </c>
      <c r="N376" s="33">
        <v>0.25594255897961915</v>
      </c>
      <c r="O376" s="33">
        <v>0.29587715745366061</v>
      </c>
      <c r="P376" s="33">
        <v>0.37190384872675381</v>
      </c>
      <c r="Q376" s="33">
        <v>0.66778100618041436</v>
      </c>
      <c r="R376" s="31">
        <v>0</v>
      </c>
      <c r="S376" s="31" t="str">
        <f>VLOOKUP(A376,Rankings!B:D,3,FALSE)</f>
        <v>NL</v>
      </c>
    </row>
    <row r="377" spans="1:19" ht="18.600000000000001" customHeight="1">
      <c r="A377" s="26" t="s">
        <v>326</v>
      </c>
      <c r="B377" s="27" t="s">
        <v>103</v>
      </c>
      <c r="C377" s="124" t="s">
        <v>27</v>
      </c>
      <c r="D377" s="31">
        <v>360.57083333333338</v>
      </c>
      <c r="E377" s="31">
        <v>47.127222222222223</v>
      </c>
      <c r="F377" s="31">
        <v>10.459166666666667</v>
      </c>
      <c r="G377" s="31">
        <v>39.372500000000002</v>
      </c>
      <c r="H377" s="31">
        <v>30.777222222222221</v>
      </c>
      <c r="I377" s="31">
        <v>81.51166666666667</v>
      </c>
      <c r="J377" s="31">
        <v>16.555</v>
      </c>
      <c r="K377" s="31">
        <v>3.1750000000000003</v>
      </c>
      <c r="L377" s="31">
        <v>20.510833333333334</v>
      </c>
      <c r="M377" s="31">
        <v>115.83222222222223</v>
      </c>
      <c r="N377" s="33">
        <v>0.22606284017241177</v>
      </c>
      <c r="O377" s="33">
        <v>0.27947323317542838</v>
      </c>
      <c r="P377" s="33">
        <v>0.37660884939390088</v>
      </c>
      <c r="Q377" s="33">
        <v>0.65608208256932921</v>
      </c>
      <c r="R377" s="31">
        <v>0</v>
      </c>
      <c r="S377" s="31" t="str">
        <f>VLOOKUP(A377,Rankings!B:D,3,FALSE)</f>
        <v>AL</v>
      </c>
    </row>
    <row r="378" spans="1:19" ht="18.600000000000001" customHeight="1">
      <c r="A378" s="26" t="s">
        <v>551</v>
      </c>
      <c r="B378" s="27" t="s">
        <v>114</v>
      </c>
      <c r="C378" s="124" t="s">
        <v>27</v>
      </c>
      <c r="D378" s="31">
        <v>435.92222222222222</v>
      </c>
      <c r="E378" s="31">
        <v>53.234444444444442</v>
      </c>
      <c r="F378" s="31">
        <v>9.9866666666666664</v>
      </c>
      <c r="G378" s="31">
        <v>46.728888888888889</v>
      </c>
      <c r="H378" s="31">
        <v>14.535555555555556</v>
      </c>
      <c r="I378" s="31">
        <v>108.54333333333334</v>
      </c>
      <c r="J378" s="31">
        <v>22.626666666666665</v>
      </c>
      <c r="K378" s="31">
        <v>0.99555555555555564</v>
      </c>
      <c r="L378" s="31">
        <v>28.997777777777781</v>
      </c>
      <c r="M378" s="31">
        <v>74.852222222222224</v>
      </c>
      <c r="N378" s="33">
        <v>0.24899701781663397</v>
      </c>
      <c r="O378" s="33">
        <v>0.30635290977391105</v>
      </c>
      <c r="P378" s="33">
        <v>0.37419774169704073</v>
      </c>
      <c r="Q378" s="33">
        <v>0.68055065147095184</v>
      </c>
      <c r="R378" s="31">
        <v>0</v>
      </c>
      <c r="S378" s="31" t="str">
        <f>VLOOKUP(A378,Rankings!B:D,3,FALSE)</f>
        <v>AL</v>
      </c>
    </row>
    <row r="379" spans="1:19" ht="18.600000000000001" customHeight="1">
      <c r="A379" s="26" t="s">
        <v>651</v>
      </c>
      <c r="B379" s="27" t="s">
        <v>68</v>
      </c>
      <c r="C379" s="124" t="s">
        <v>27</v>
      </c>
      <c r="D379" s="31">
        <v>385.1583333333333</v>
      </c>
      <c r="E379" s="31">
        <v>49.352499999999999</v>
      </c>
      <c r="F379" s="31">
        <v>11.759166666666667</v>
      </c>
      <c r="G379" s="31">
        <v>43.691666666666663</v>
      </c>
      <c r="H379" s="31">
        <v>16.48416666666667</v>
      </c>
      <c r="I379" s="31">
        <v>94.759999999999991</v>
      </c>
      <c r="J379" s="31">
        <v>16.849166666666665</v>
      </c>
      <c r="K379" s="31">
        <v>1.3699999999999999</v>
      </c>
      <c r="L379" s="31">
        <v>26.652499999999993</v>
      </c>
      <c r="M379" s="31">
        <v>86.848333333333315</v>
      </c>
      <c r="N379" s="33">
        <v>0.24602868949998918</v>
      </c>
      <c r="O379" s="33">
        <v>0.30535618909432954</v>
      </c>
      <c r="P379" s="33">
        <v>0.38848092775698306</v>
      </c>
      <c r="Q379" s="33">
        <v>0.69383711685131266</v>
      </c>
      <c r="R379" s="31">
        <v>0</v>
      </c>
      <c r="S379" s="31" t="str">
        <f>VLOOKUP(A379,Rankings!B:D,3,FALSE)</f>
        <v>AL</v>
      </c>
    </row>
    <row r="380" spans="1:19" ht="18.600000000000001" customHeight="1">
      <c r="A380" s="26" t="s">
        <v>508</v>
      </c>
      <c r="B380" s="27" t="s">
        <v>217</v>
      </c>
      <c r="C380" s="124" t="s">
        <v>27</v>
      </c>
      <c r="D380" s="31">
        <v>435.5333333333333</v>
      </c>
      <c r="E380" s="31">
        <v>54.975555555555559</v>
      </c>
      <c r="F380" s="31">
        <v>13.045000000000002</v>
      </c>
      <c r="G380" s="31">
        <v>56.303333333333335</v>
      </c>
      <c r="H380" s="31">
        <v>4.34</v>
      </c>
      <c r="I380" s="31">
        <v>107.89222222222223</v>
      </c>
      <c r="J380" s="31">
        <v>21.093333333333334</v>
      </c>
      <c r="K380" s="31">
        <v>2</v>
      </c>
      <c r="L380" s="31">
        <v>42.386666666666663</v>
      </c>
      <c r="M380" s="31">
        <v>102.97500000000001</v>
      </c>
      <c r="N380" s="33">
        <v>0.24772437369253536</v>
      </c>
      <c r="O380" s="33">
        <v>0.32394184387374603</v>
      </c>
      <c r="P380" s="33">
        <v>0.39519490790346451</v>
      </c>
      <c r="Q380" s="33">
        <v>0.71913675177721048</v>
      </c>
      <c r="R380" s="31">
        <v>0</v>
      </c>
      <c r="S380" s="31" t="str">
        <f>VLOOKUP(A380,Rankings!B:D,3,FALSE)</f>
        <v>NL</v>
      </c>
    </row>
    <row r="381" spans="1:19" ht="18.600000000000001" customHeight="1">
      <c r="A381" s="26" t="s">
        <v>528</v>
      </c>
      <c r="B381" s="27" t="s">
        <v>84</v>
      </c>
      <c r="C381" s="124" t="s">
        <v>27</v>
      </c>
      <c r="D381" s="31">
        <v>403.68333333333334</v>
      </c>
      <c r="E381" s="31">
        <v>49.743333333333332</v>
      </c>
      <c r="F381" s="31">
        <v>12.541666666666666</v>
      </c>
      <c r="G381" s="31">
        <v>46.173333333333339</v>
      </c>
      <c r="H381" s="31">
        <v>7.8144444444444447</v>
      </c>
      <c r="I381" s="31">
        <v>102.825</v>
      </c>
      <c r="J381" s="31">
        <v>18.344999999999999</v>
      </c>
      <c r="K381" s="31">
        <v>2.7288888888888891</v>
      </c>
      <c r="L381" s="31">
        <v>24.834999999999997</v>
      </c>
      <c r="M381" s="31">
        <v>74.605555555555554</v>
      </c>
      <c r="N381" s="33">
        <v>0.25471698113207547</v>
      </c>
      <c r="O381" s="33">
        <v>0.3083881617302609</v>
      </c>
      <c r="P381" s="33">
        <v>0.40688520980416437</v>
      </c>
      <c r="Q381" s="33">
        <v>0.71527337153442527</v>
      </c>
      <c r="R381" s="31">
        <v>0</v>
      </c>
      <c r="S381" s="31" t="str">
        <f>VLOOKUP(A381,Rankings!B:D,3,FALSE)</f>
        <v>AL</v>
      </c>
    </row>
    <row r="382" spans="1:19" ht="18.600000000000001" customHeight="1">
      <c r="A382" s="26" t="s">
        <v>589</v>
      </c>
      <c r="B382" s="27" t="s">
        <v>71</v>
      </c>
      <c r="C382" s="124" t="s">
        <v>27</v>
      </c>
      <c r="D382" s="31">
        <v>517.06666666666672</v>
      </c>
      <c r="E382" s="31">
        <v>63.166666666666664</v>
      </c>
      <c r="F382" s="31">
        <v>7.0066666666666668</v>
      </c>
      <c r="G382" s="31">
        <v>49.164444444444449</v>
      </c>
      <c r="H382" s="31">
        <v>5.6722222222222216</v>
      </c>
      <c r="I382" s="31">
        <v>130.66666666666666</v>
      </c>
      <c r="J382" s="31">
        <v>26.46777777777778</v>
      </c>
      <c r="K382" s="31">
        <v>2.0150000000000001</v>
      </c>
      <c r="L382" s="31">
        <v>57.586666666666673</v>
      </c>
      <c r="M382" s="31">
        <v>86.967777777777769</v>
      </c>
      <c r="N382" s="33">
        <v>0.25270758122743681</v>
      </c>
      <c r="O382" s="33">
        <v>0.33646566660943134</v>
      </c>
      <c r="P382" s="33">
        <v>0.35234227264913182</v>
      </c>
      <c r="Q382" s="33">
        <v>0.6888079392585631</v>
      </c>
      <c r="R382" s="31">
        <v>0</v>
      </c>
      <c r="S382" s="31" t="str">
        <f>VLOOKUP(A382,Rankings!B:D,3,FALSE)</f>
        <v>AL</v>
      </c>
    </row>
    <row r="383" spans="1:19" ht="18.600000000000001" customHeight="1">
      <c r="A383" s="26" t="s">
        <v>650</v>
      </c>
      <c r="B383" s="27" t="s">
        <v>81</v>
      </c>
      <c r="C383" s="124" t="s">
        <v>27</v>
      </c>
      <c r="D383" s="31">
        <v>403.48888888888888</v>
      </c>
      <c r="E383" s="31">
        <v>48.065555555555555</v>
      </c>
      <c r="F383" s="31">
        <v>7.3033333333333337</v>
      </c>
      <c r="G383" s="31">
        <v>44.215555555555561</v>
      </c>
      <c r="H383" s="31">
        <v>9.2311111111111117</v>
      </c>
      <c r="I383" s="31">
        <v>104.89</v>
      </c>
      <c r="J383" s="31">
        <v>20.612222222222222</v>
      </c>
      <c r="K383" s="31">
        <v>1.7566666666666666</v>
      </c>
      <c r="L383" s="31">
        <v>26.017777777777781</v>
      </c>
      <c r="M383" s="31">
        <v>56.274999999999999</v>
      </c>
      <c r="N383" s="33">
        <v>0.25995759211323455</v>
      </c>
      <c r="O383" s="33">
        <v>0.31495743456210801</v>
      </c>
      <c r="P383" s="33">
        <v>0.37405133006553942</v>
      </c>
      <c r="Q383" s="33">
        <v>0.68900876462764749</v>
      </c>
      <c r="R383" s="31">
        <v>0</v>
      </c>
      <c r="S383" s="31" t="str">
        <f>VLOOKUP(A383,Rankings!B:D,3,FALSE)</f>
        <v>NL</v>
      </c>
    </row>
    <row r="384" spans="1:19" ht="18.600000000000001" customHeight="1">
      <c r="A384" s="26" t="s">
        <v>702</v>
      </c>
      <c r="B384" s="27" t="s">
        <v>78</v>
      </c>
      <c r="C384" s="124" t="s">
        <v>27</v>
      </c>
      <c r="D384" s="31">
        <v>402.06666666666661</v>
      </c>
      <c r="E384" s="31">
        <v>48.82</v>
      </c>
      <c r="F384" s="31">
        <v>10.200000000000001</v>
      </c>
      <c r="G384" s="31">
        <v>45.986666666666657</v>
      </c>
      <c r="H384" s="31">
        <v>7.419999999999999</v>
      </c>
      <c r="I384" s="31">
        <v>99.883333333333326</v>
      </c>
      <c r="J384" s="31">
        <v>17.63</v>
      </c>
      <c r="K384" s="31">
        <v>1.4566666666666668</v>
      </c>
      <c r="L384" s="31">
        <v>25.73</v>
      </c>
      <c r="M384" s="31">
        <v>62.413333333333334</v>
      </c>
      <c r="N384" s="33">
        <v>0.24842480517327145</v>
      </c>
      <c r="O384" s="33">
        <v>0.30425688268173967</v>
      </c>
      <c r="P384" s="33">
        <v>0.37562593268114747</v>
      </c>
      <c r="Q384" s="33">
        <v>0.67988281536288708</v>
      </c>
      <c r="R384" s="31">
        <v>0</v>
      </c>
      <c r="S384" s="31" t="str">
        <f>VLOOKUP(A384,Rankings!B:D,3,FALSE)</f>
        <v>AL</v>
      </c>
    </row>
    <row r="385" spans="1:19" ht="18.600000000000001" customHeight="1">
      <c r="A385" s="26" t="s">
        <v>680</v>
      </c>
      <c r="B385" s="27" t="s">
        <v>99</v>
      </c>
      <c r="C385" s="124" t="s">
        <v>27</v>
      </c>
      <c r="D385" s="31">
        <v>336.03333333333336</v>
      </c>
      <c r="E385" s="31">
        <v>42.114444444444445</v>
      </c>
      <c r="F385" s="31">
        <v>8.0888888888888886</v>
      </c>
      <c r="G385" s="31">
        <v>34.784444444444439</v>
      </c>
      <c r="H385" s="31">
        <v>22.611111111111111</v>
      </c>
      <c r="I385" s="31">
        <v>76.540000000000006</v>
      </c>
      <c r="J385" s="31">
        <v>16.466666666666665</v>
      </c>
      <c r="K385" s="31">
        <v>3.4266666666666663</v>
      </c>
      <c r="L385" s="31">
        <v>18.044444444444444</v>
      </c>
      <c r="M385" s="31">
        <v>95.37833333333333</v>
      </c>
      <c r="N385" s="33">
        <v>0.22777502231921437</v>
      </c>
      <c r="O385" s="33">
        <v>0.2789422514519786</v>
      </c>
      <c r="P385" s="33">
        <v>0.36938795754389442</v>
      </c>
      <c r="Q385" s="33">
        <v>0.64833020899587301</v>
      </c>
      <c r="R385" s="31">
        <v>0</v>
      </c>
      <c r="S385" s="31" t="str">
        <f>VLOOKUP(A385,Rankings!B:D,3,FALSE)</f>
        <v>AL</v>
      </c>
    </row>
    <row r="386" spans="1:19" ht="18.600000000000001" customHeight="1">
      <c r="A386" s="26" t="s">
        <v>660</v>
      </c>
      <c r="B386" s="27" t="s">
        <v>223</v>
      </c>
      <c r="C386" s="124" t="s">
        <v>27</v>
      </c>
      <c r="D386" s="31">
        <v>391.23333333333335</v>
      </c>
      <c r="E386" s="31">
        <v>42.721666666666664</v>
      </c>
      <c r="F386" s="31">
        <v>5.335</v>
      </c>
      <c r="G386" s="31">
        <v>37.856666666666669</v>
      </c>
      <c r="H386" s="31">
        <v>7.4911111111111106</v>
      </c>
      <c r="I386" s="31">
        <v>102.88833333333334</v>
      </c>
      <c r="J386" s="31">
        <v>20.611111111111111</v>
      </c>
      <c r="K386" s="31">
        <v>1.9888888888888889</v>
      </c>
      <c r="L386" s="31">
        <v>22.34</v>
      </c>
      <c r="M386" s="31">
        <v>53.474444444444451</v>
      </c>
      <c r="N386" s="33">
        <v>0.26298457868279801</v>
      </c>
      <c r="O386" s="33">
        <v>0.31311640606971664</v>
      </c>
      <c r="P386" s="33">
        <v>0.36674334724943908</v>
      </c>
      <c r="Q386" s="33">
        <v>0.67985975331915571</v>
      </c>
      <c r="R386" s="31">
        <v>0</v>
      </c>
      <c r="S386" s="31" t="str">
        <f>VLOOKUP(A386,Rankings!B:D,3,FALSE)</f>
        <v>NL</v>
      </c>
    </row>
    <row r="387" spans="1:19" ht="18.600000000000001" customHeight="1">
      <c r="A387" s="26" t="s">
        <v>689</v>
      </c>
      <c r="B387" s="27" t="s">
        <v>68</v>
      </c>
      <c r="C387" s="124" t="s">
        <v>27</v>
      </c>
      <c r="D387" s="31">
        <v>326.97500000000002</v>
      </c>
      <c r="E387" s="31">
        <v>43.510416666666664</v>
      </c>
      <c r="F387" s="31">
        <v>9.8958333333333339</v>
      </c>
      <c r="G387" s="31">
        <v>39.210416666666667</v>
      </c>
      <c r="H387" s="31">
        <v>13.643749999999999</v>
      </c>
      <c r="I387" s="31">
        <v>75.570833333333326</v>
      </c>
      <c r="J387" s="31">
        <v>18.008333333333336</v>
      </c>
      <c r="K387" s="31">
        <v>1.9291666666666665</v>
      </c>
      <c r="L387" s="31">
        <v>30.245833333333337</v>
      </c>
      <c r="M387" s="31">
        <v>79.100000000000009</v>
      </c>
      <c r="N387" s="33">
        <v>0.23112113566276724</v>
      </c>
      <c r="O387" s="33">
        <v>0.30648132350290425</v>
      </c>
      <c r="P387" s="33">
        <v>0.38879119198715495</v>
      </c>
      <c r="Q387" s="33">
        <v>0.6952725154900592</v>
      </c>
      <c r="R387" s="31">
        <v>0</v>
      </c>
      <c r="S387" s="31" t="str">
        <f>VLOOKUP(A387,Rankings!B:D,3,FALSE)</f>
        <v>AL</v>
      </c>
    </row>
    <row r="388" spans="1:19" ht="18.600000000000001" customHeight="1">
      <c r="A388" s="26" t="s">
        <v>632</v>
      </c>
      <c r="B388" s="27" t="s">
        <v>97</v>
      </c>
      <c r="C388" s="124" t="s">
        <v>27</v>
      </c>
      <c r="D388" s="31">
        <v>338.53333333333336</v>
      </c>
      <c r="E388" s="31">
        <v>41.05</v>
      </c>
      <c r="F388" s="31">
        <v>6.080000000000001</v>
      </c>
      <c r="G388" s="31">
        <v>34.366666666666667</v>
      </c>
      <c r="H388" s="31">
        <v>11.290000000000001</v>
      </c>
      <c r="I388" s="31">
        <v>81.561666666666667</v>
      </c>
      <c r="J388" s="31">
        <v>15.921666666666667</v>
      </c>
      <c r="K388" s="31">
        <v>1.0325</v>
      </c>
      <c r="L388" s="31">
        <v>32.744999999999997</v>
      </c>
      <c r="M388" s="31">
        <v>81.073333333333338</v>
      </c>
      <c r="N388" s="33">
        <v>0.24092654588420637</v>
      </c>
      <c r="O388" s="33">
        <v>0.31763540102644422</v>
      </c>
      <c r="P388" s="33">
        <v>0.34793717999212287</v>
      </c>
      <c r="Q388" s="33">
        <v>0.66557258101856709</v>
      </c>
      <c r="R388" s="31">
        <v>0</v>
      </c>
      <c r="S388" s="31" t="str">
        <f>VLOOKUP(A388,Rankings!B:D,3,FALSE)</f>
        <v>NL</v>
      </c>
    </row>
    <row r="389" spans="1:19" ht="18.600000000000001" customHeight="1">
      <c r="A389" s="26" t="s">
        <v>637</v>
      </c>
      <c r="B389" s="27"/>
      <c r="C389" s="124" t="s">
        <v>27</v>
      </c>
      <c r="D389" s="31">
        <v>300.33333333333337</v>
      </c>
      <c r="E389" s="31">
        <v>33.106666666666662</v>
      </c>
      <c r="F389" s="31">
        <v>3.5522222222222219</v>
      </c>
      <c r="G389" s="31">
        <v>31.341666666666665</v>
      </c>
      <c r="H389" s="31">
        <v>2.4766666666666666</v>
      </c>
      <c r="I389" s="31">
        <v>82.296666666666667</v>
      </c>
      <c r="J389" s="31">
        <v>17.489999999999998</v>
      </c>
      <c r="K389" s="31">
        <v>0.99333333333333329</v>
      </c>
      <c r="L389" s="31">
        <v>12.520000000000001</v>
      </c>
      <c r="M389" s="31">
        <v>41.845555555555556</v>
      </c>
      <c r="N389" s="33">
        <v>0.27401775804661482</v>
      </c>
      <c r="O389" s="33">
        <v>0.31352612845404731</v>
      </c>
      <c r="P389" s="33">
        <v>0.37435072142064368</v>
      </c>
      <c r="Q389" s="33">
        <v>0.687876849874691</v>
      </c>
      <c r="R389" s="31">
        <v>0</v>
      </c>
      <c r="S389" s="31" t="str">
        <f>VLOOKUP(A389,Rankings!B:D,3,FALSE)</f>
        <v>AL</v>
      </c>
    </row>
    <row r="390" spans="1:19" ht="18.600000000000001" customHeight="1">
      <c r="A390" s="26" t="s">
        <v>577</v>
      </c>
      <c r="B390" s="27" t="s">
        <v>68</v>
      </c>
      <c r="C390" s="124" t="s">
        <v>27</v>
      </c>
      <c r="D390" s="31">
        <v>259.5</v>
      </c>
      <c r="E390" s="31">
        <v>31.001666666666665</v>
      </c>
      <c r="F390" s="31">
        <v>2.7133333333333334</v>
      </c>
      <c r="G390" s="31">
        <v>23.570000000000004</v>
      </c>
      <c r="H390" s="31">
        <v>10.48</v>
      </c>
      <c r="I390" s="31">
        <v>68.211666666666659</v>
      </c>
      <c r="J390" s="31">
        <v>11.196666666666667</v>
      </c>
      <c r="K390" s="31">
        <v>1.01</v>
      </c>
      <c r="L390" s="31">
        <v>15.985000000000001</v>
      </c>
      <c r="M390" s="31">
        <v>38.323333333333331</v>
      </c>
      <c r="N390" s="33">
        <v>0.26285806037251119</v>
      </c>
      <c r="O390" s="33">
        <v>0.31579390298756504</v>
      </c>
      <c r="P390" s="33">
        <v>0.34515735388567764</v>
      </c>
      <c r="Q390" s="33">
        <v>0.66095125687324274</v>
      </c>
      <c r="R390" s="31">
        <v>0</v>
      </c>
      <c r="S390" s="31" t="str">
        <f>VLOOKUP(A390,Rankings!B:D,3,FALSE)</f>
        <v>AL</v>
      </c>
    </row>
    <row r="391" spans="1:19" ht="18.600000000000001" customHeight="1">
      <c r="A391" s="26" t="s">
        <v>425</v>
      </c>
      <c r="B391" s="27" t="s">
        <v>223</v>
      </c>
      <c r="C391" s="124" t="s">
        <v>27</v>
      </c>
      <c r="D391" s="31">
        <v>233.76666666666668</v>
      </c>
      <c r="E391" s="31">
        <v>28.973333333333333</v>
      </c>
      <c r="F391" s="31">
        <v>8.0500000000000007</v>
      </c>
      <c r="G391" s="31">
        <v>29.656666666666666</v>
      </c>
      <c r="H391" s="31">
        <v>9.1566666666666663</v>
      </c>
      <c r="I391" s="31">
        <v>57.903333333333329</v>
      </c>
      <c r="J391" s="31">
        <v>12.293333333333331</v>
      </c>
      <c r="K391" s="31">
        <v>2.16</v>
      </c>
      <c r="L391" s="31">
        <v>13.573333333333336</v>
      </c>
      <c r="M391" s="31">
        <v>74.786666666666676</v>
      </c>
      <c r="N391" s="33">
        <v>0.24769713389419645</v>
      </c>
      <c r="O391" s="33">
        <v>0.29985644637228148</v>
      </c>
      <c r="P391" s="33">
        <v>0.42207329245686581</v>
      </c>
      <c r="Q391" s="33">
        <v>0.72192973882914724</v>
      </c>
      <c r="R391" s="31">
        <v>0</v>
      </c>
      <c r="S391" s="31" t="str">
        <f>VLOOKUP(A391,Rankings!B:D,3,FALSE)</f>
        <v>NL</v>
      </c>
    </row>
    <row r="392" spans="1:19" ht="18.600000000000001" customHeight="1">
      <c r="A392" s="26" t="s">
        <v>676</v>
      </c>
      <c r="B392" s="27" t="s">
        <v>156</v>
      </c>
      <c r="C392" s="124" t="s">
        <v>27</v>
      </c>
      <c r="D392" s="31">
        <v>206.50833333333333</v>
      </c>
      <c r="E392" s="31">
        <v>28.433333333333334</v>
      </c>
      <c r="F392" s="31">
        <v>6.5425000000000004</v>
      </c>
      <c r="G392" s="31">
        <v>25.322500000000002</v>
      </c>
      <c r="H392" s="31">
        <v>6.8649999999999993</v>
      </c>
      <c r="I392" s="31">
        <v>53.141666666666673</v>
      </c>
      <c r="J392" s="31">
        <v>12.895000000000001</v>
      </c>
      <c r="K392" s="31">
        <v>0.9966666666666667</v>
      </c>
      <c r="L392" s="31">
        <v>15.57</v>
      </c>
      <c r="M392" s="31">
        <v>47.01</v>
      </c>
      <c r="N392" s="33">
        <v>0.25733424801259031</v>
      </c>
      <c r="O392" s="33">
        <v>0.31928940308584203</v>
      </c>
      <c r="P392" s="33">
        <v>0.42447439570638795</v>
      </c>
      <c r="Q392" s="33">
        <v>0.74376379879222998</v>
      </c>
      <c r="R392" s="31">
        <v>0</v>
      </c>
      <c r="S392" s="31" t="str">
        <f>VLOOKUP(A392,Rankings!B:D,3,FALSE)</f>
        <v>AL</v>
      </c>
    </row>
    <row r="393" spans="1:19" ht="18.600000000000001" customHeight="1">
      <c r="A393" s="26" t="s">
        <v>678</v>
      </c>
      <c r="B393" s="27" t="s">
        <v>120</v>
      </c>
      <c r="C393" s="124" t="s">
        <v>27</v>
      </c>
      <c r="D393" s="31">
        <v>338.96666666666664</v>
      </c>
      <c r="E393" s="31">
        <v>38.836666666666666</v>
      </c>
      <c r="F393" s="31">
        <v>7.2100000000000009</v>
      </c>
      <c r="G393" s="31">
        <v>36.244999999999997</v>
      </c>
      <c r="H393" s="31">
        <v>6.0283333333333333</v>
      </c>
      <c r="I393" s="31">
        <v>79.218333333333348</v>
      </c>
      <c r="J393" s="31">
        <v>18.703333333333333</v>
      </c>
      <c r="K393" s="31">
        <v>2.0066666666666668</v>
      </c>
      <c r="L393" s="31">
        <v>25.058333333333334</v>
      </c>
      <c r="M393" s="31">
        <v>80.77</v>
      </c>
      <c r="N393" s="33">
        <v>0.2337053790933229</v>
      </c>
      <c r="O393" s="33">
        <v>0.29727715473809707</v>
      </c>
      <c r="P393" s="33">
        <v>0.36453436916117621</v>
      </c>
      <c r="Q393" s="33">
        <v>0.66181152389927322</v>
      </c>
      <c r="R393" s="31">
        <v>0</v>
      </c>
      <c r="S393" s="31" t="str">
        <f>VLOOKUP(A393,Rankings!B:D,3,FALSE)</f>
        <v>NL</v>
      </c>
    </row>
    <row r="394" spans="1:19" ht="18.600000000000001" customHeight="1">
      <c r="A394" s="26" t="s">
        <v>714</v>
      </c>
      <c r="B394" s="27" t="s">
        <v>140</v>
      </c>
      <c r="C394" s="124" t="s">
        <v>27</v>
      </c>
      <c r="D394" s="31">
        <v>396.98333333333335</v>
      </c>
      <c r="E394" s="31">
        <v>41.361111111111114</v>
      </c>
      <c r="F394" s="31">
        <v>5.0333333333333332</v>
      </c>
      <c r="G394" s="31">
        <v>31.075000000000003</v>
      </c>
      <c r="H394" s="31">
        <v>8.2822222222222219</v>
      </c>
      <c r="I394" s="31">
        <v>90.578333333333333</v>
      </c>
      <c r="J394" s="31">
        <v>19.011666666666667</v>
      </c>
      <c r="K394" s="31">
        <v>0.98666666666666669</v>
      </c>
      <c r="L394" s="31">
        <v>29.616666666666664</v>
      </c>
      <c r="M394" s="31">
        <v>85.65666666666668</v>
      </c>
      <c r="N394" s="33">
        <v>0.22816658969730047</v>
      </c>
      <c r="O394" s="33">
        <v>0.29275601656001204</v>
      </c>
      <c r="P394" s="33">
        <v>0.31906461228431082</v>
      </c>
      <c r="Q394" s="33">
        <v>0.61182062884432287</v>
      </c>
      <c r="R394" s="31">
        <v>0</v>
      </c>
      <c r="S394" s="31" t="str">
        <f>VLOOKUP(A394,Rankings!B:D,3,FALSE)</f>
        <v>AL</v>
      </c>
    </row>
    <row r="395" spans="1:19" ht="18.600000000000001" customHeight="1">
      <c r="A395" s="26" t="s">
        <v>667</v>
      </c>
      <c r="B395" s="27" t="s">
        <v>156</v>
      </c>
      <c r="C395" s="124" t="s">
        <v>27</v>
      </c>
      <c r="D395" s="31">
        <v>254.6888888888889</v>
      </c>
      <c r="E395" s="31">
        <v>29.402222222222221</v>
      </c>
      <c r="F395" s="31">
        <v>6.2911111111111113</v>
      </c>
      <c r="G395" s="31">
        <v>30.146666666666665</v>
      </c>
      <c r="H395" s="31">
        <v>2.0366666666666666</v>
      </c>
      <c r="I395" s="31">
        <v>63.75333333333333</v>
      </c>
      <c r="J395" s="31">
        <v>12.478888888888889</v>
      </c>
      <c r="K395" s="31">
        <v>0.99777777777777776</v>
      </c>
      <c r="L395" s="31">
        <v>14.952222222222224</v>
      </c>
      <c r="M395" s="31">
        <v>49.538888888888891</v>
      </c>
      <c r="N395" s="33">
        <v>0.25031847133757962</v>
      </c>
      <c r="O395" s="33">
        <v>0.30264012405140239</v>
      </c>
      <c r="P395" s="33">
        <v>0.38125381729342989</v>
      </c>
      <c r="Q395" s="33">
        <v>0.68389394134483228</v>
      </c>
      <c r="R395" s="31">
        <v>0</v>
      </c>
      <c r="S395" s="31" t="str">
        <f>VLOOKUP(A395,Rankings!B:D,3,FALSE)</f>
        <v>AL</v>
      </c>
    </row>
    <row r="396" spans="1:19" ht="18.600000000000001" customHeight="1">
      <c r="A396" s="26" t="s">
        <v>729</v>
      </c>
      <c r="B396" s="27" t="s">
        <v>176</v>
      </c>
      <c r="C396" s="124" t="s">
        <v>27</v>
      </c>
      <c r="D396" s="31">
        <v>196.26666666666665</v>
      </c>
      <c r="E396" s="31">
        <v>23.628888888888891</v>
      </c>
      <c r="F396" s="31">
        <v>6.2922222222222217</v>
      </c>
      <c r="G396" s="31">
        <v>24.843333333333334</v>
      </c>
      <c r="H396" s="31">
        <v>1.7822222222222222</v>
      </c>
      <c r="I396" s="31">
        <v>49.06444444444444</v>
      </c>
      <c r="J396" s="31">
        <v>11.24111111111111</v>
      </c>
      <c r="K396" s="31">
        <v>0.98333333333333339</v>
      </c>
      <c r="L396" s="31">
        <v>9.0244444444444447</v>
      </c>
      <c r="M396" s="31">
        <v>46.548333333333339</v>
      </c>
      <c r="N396" s="33">
        <v>0.24998867753623188</v>
      </c>
      <c r="O396" s="33">
        <v>0.294202504478213</v>
      </c>
      <c r="P396" s="33">
        <v>0.41346240942028983</v>
      </c>
      <c r="Q396" s="33">
        <v>0.70766491389850283</v>
      </c>
      <c r="R396" s="31">
        <v>0</v>
      </c>
      <c r="S396" s="31" t="str">
        <f>VLOOKUP(A396,Rankings!B:D,3,FALSE)</f>
        <v>NL</v>
      </c>
    </row>
    <row r="397" spans="1:19" ht="18.600000000000001" customHeight="1">
      <c r="A397" s="26" t="s">
        <v>731</v>
      </c>
      <c r="B397" s="27" t="s">
        <v>101</v>
      </c>
      <c r="C397" s="124" t="s">
        <v>27</v>
      </c>
      <c r="D397" s="31">
        <v>225.68888888888887</v>
      </c>
      <c r="E397" s="31">
        <v>28.177777777777777</v>
      </c>
      <c r="F397" s="31">
        <v>4.6622222222222218</v>
      </c>
      <c r="G397" s="31">
        <v>23.071111111111112</v>
      </c>
      <c r="H397" s="31">
        <v>6.9911111111111106</v>
      </c>
      <c r="I397" s="31">
        <v>47.074444444444445</v>
      </c>
      <c r="J397" s="31">
        <v>11.325555555555555</v>
      </c>
      <c r="K397" s="31">
        <v>0.99888888888888883</v>
      </c>
      <c r="L397" s="31">
        <v>27.946666666666669</v>
      </c>
      <c r="M397" s="31">
        <v>64.602222222222224</v>
      </c>
      <c r="N397" s="33">
        <v>0.20858113430484446</v>
      </c>
      <c r="O397" s="33">
        <v>0.3057843650963471</v>
      </c>
      <c r="P397" s="33">
        <v>0.3295884206380465</v>
      </c>
      <c r="Q397" s="33">
        <v>0.6353727857343936</v>
      </c>
      <c r="R397" s="31">
        <v>0</v>
      </c>
      <c r="S397" s="31" t="str">
        <f>VLOOKUP(A397,Rankings!B:D,3,FALSE)</f>
        <v>AL</v>
      </c>
    </row>
    <row r="398" spans="1:19" ht="18.600000000000001" customHeight="1">
      <c r="A398" s="26" t="s">
        <v>732</v>
      </c>
      <c r="B398" s="27" t="s">
        <v>120</v>
      </c>
      <c r="C398" s="124" t="s">
        <v>27</v>
      </c>
      <c r="D398" s="31">
        <v>192.45555555555555</v>
      </c>
      <c r="E398" s="31">
        <v>24.2</v>
      </c>
      <c r="F398" s="31">
        <v>2.9955555555555553</v>
      </c>
      <c r="G398" s="31">
        <v>18.134444444444444</v>
      </c>
      <c r="H398" s="31">
        <v>4.681111111111111</v>
      </c>
      <c r="I398" s="31">
        <v>43.214444444444439</v>
      </c>
      <c r="J398" s="31">
        <v>6.916666666666667</v>
      </c>
      <c r="K398" s="31">
        <v>1.0216666666666667</v>
      </c>
      <c r="L398" s="31">
        <v>21.895555555555557</v>
      </c>
      <c r="M398" s="31">
        <v>46.093333333333334</v>
      </c>
      <c r="N398" s="33">
        <v>0.2245424629062987</v>
      </c>
      <c r="O398" s="33">
        <v>0.31353250416209022</v>
      </c>
      <c r="P398" s="33">
        <v>0.31779342994053461</v>
      </c>
      <c r="Q398" s="33">
        <v>0.63132593410262483</v>
      </c>
      <c r="R398" s="31">
        <v>0</v>
      </c>
      <c r="S398" s="31" t="str">
        <f>VLOOKUP(A398,Rankings!B:D,3,FALSE)</f>
        <v>NL</v>
      </c>
    </row>
    <row r="399" spans="1:19" ht="18.600000000000001" customHeight="1">
      <c r="A399" s="26" t="s">
        <v>730</v>
      </c>
      <c r="B399" s="27" t="s">
        <v>123</v>
      </c>
      <c r="C399" s="124" t="s">
        <v>27</v>
      </c>
      <c r="D399" s="31">
        <v>185.05555555555554</v>
      </c>
      <c r="E399" s="31">
        <v>23.408888888888885</v>
      </c>
      <c r="F399" s="31">
        <v>7.6255555555555548</v>
      </c>
      <c r="G399" s="31">
        <v>24.531111111111112</v>
      </c>
      <c r="H399" s="31">
        <v>2.0300000000000002</v>
      </c>
      <c r="I399" s="31">
        <v>38.722222222222221</v>
      </c>
      <c r="J399" s="31">
        <v>7.9633333333333338</v>
      </c>
      <c r="K399" s="31">
        <v>4.9999999999999992E-3</v>
      </c>
      <c r="L399" s="31">
        <v>16.876666666666669</v>
      </c>
      <c r="M399" s="31">
        <v>57.18</v>
      </c>
      <c r="N399" s="33">
        <v>0.20924647253077155</v>
      </c>
      <c r="O399" s="33">
        <v>0.28643278484942569</v>
      </c>
      <c r="P399" s="33">
        <v>0.37595316721705196</v>
      </c>
      <c r="Q399" s="33">
        <v>0.66238595206647766</v>
      </c>
      <c r="R399" s="31">
        <v>0</v>
      </c>
      <c r="S399" s="31" t="str">
        <f>VLOOKUP(A399,Rankings!B:D,3,FALSE)</f>
        <v>NL</v>
      </c>
    </row>
    <row r="400" spans="1:19" ht="18.600000000000001" customHeight="1">
      <c r="A400" s="26" t="s">
        <v>733</v>
      </c>
      <c r="B400" s="27" t="s">
        <v>258</v>
      </c>
      <c r="C400" s="124" t="s">
        <v>27</v>
      </c>
      <c r="D400" s="31">
        <v>164.56666666666666</v>
      </c>
      <c r="E400" s="31">
        <v>19.225555555555555</v>
      </c>
      <c r="F400" s="31">
        <v>4.128333333333333</v>
      </c>
      <c r="G400" s="31">
        <v>16.931111111111111</v>
      </c>
      <c r="H400" s="31">
        <v>4.0883333333333329</v>
      </c>
      <c r="I400" s="31">
        <v>36.006666666666668</v>
      </c>
      <c r="J400" s="31">
        <v>7.4077777777777776</v>
      </c>
      <c r="K400" s="31">
        <v>0.98222222222222222</v>
      </c>
      <c r="L400" s="31">
        <v>14.851111111111111</v>
      </c>
      <c r="M400" s="31">
        <v>51.251111111111108</v>
      </c>
      <c r="N400" s="33">
        <v>0.21879684018634799</v>
      </c>
      <c r="O400" s="33">
        <v>0.29424569089207592</v>
      </c>
      <c r="P400" s="33">
        <v>0.3510060090473297</v>
      </c>
      <c r="Q400" s="33">
        <v>0.64525169993940557</v>
      </c>
      <c r="R400" s="31">
        <v>0</v>
      </c>
      <c r="S400" s="31" t="str">
        <f>VLOOKUP(A400,Rankings!B:D,3,FALSE)</f>
        <v>AL</v>
      </c>
    </row>
    <row r="401" spans="1:19" ht="18.600000000000001" customHeight="1">
      <c r="A401" s="131" t="s">
        <v>734</v>
      </c>
      <c r="B401" s="132" t="s">
        <v>223</v>
      </c>
      <c r="C401" s="125" t="s">
        <v>27</v>
      </c>
      <c r="D401" s="133">
        <v>158</v>
      </c>
      <c r="E401" s="133">
        <v>17.478888888888889</v>
      </c>
      <c r="F401" s="133">
        <v>4.358888888888889</v>
      </c>
      <c r="G401" s="133">
        <v>16.676666666666666</v>
      </c>
      <c r="H401" s="133">
        <v>4.17</v>
      </c>
      <c r="I401" s="133">
        <v>33.581111111111113</v>
      </c>
      <c r="J401" s="133">
        <v>6.9322222222222223</v>
      </c>
      <c r="K401" s="133">
        <v>2.5000000000000005E-2</v>
      </c>
      <c r="L401" s="133">
        <v>9.3711111111111105</v>
      </c>
      <c r="M401" s="133">
        <v>55.958888888888886</v>
      </c>
      <c r="N401" s="134">
        <v>0.21253867791842476</v>
      </c>
      <c r="O401" s="134">
        <v>0.26880974062776619</v>
      </c>
      <c r="P401" s="134">
        <v>0.33949367088607596</v>
      </c>
      <c r="Q401" s="134">
        <v>0.60830341151384215</v>
      </c>
      <c r="R401" s="31">
        <v>0</v>
      </c>
      <c r="S401" s="31" t="str">
        <f>VLOOKUP(A401,Rankings!B:D,3,FALSE)</f>
        <v>NL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1"/>
  <sheetViews>
    <sheetView showGridLines="0" topLeftCell="A27" workbookViewId="0">
      <selection activeCell="A42" sqref="A42"/>
    </sheetView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20.100000000000001" customHeight="1">
      <c r="A2" s="26" t="s">
        <v>93</v>
      </c>
      <c r="B2" s="27" t="s">
        <v>94</v>
      </c>
      <c r="C2" s="117" t="s">
        <v>7</v>
      </c>
      <c r="D2" s="138">
        <f t="shared" ref="D2:D33" ca="1" si="0">RANK(E2,E$2:E$63)</f>
        <v>1</v>
      </c>
      <c r="E2" s="31">
        <f ca="1">VLOOKUP(A2,Rankings!$B$1:$H$651,6,FALSE)+(RAND()*0.00001)</f>
        <v>539.89722649761393</v>
      </c>
      <c r="F2" s="31">
        <f ca="1">E2-VLOOKUP(Settings!$K$2,D$2:E$500,2,FALSE)</f>
        <v>209.34722141888341</v>
      </c>
      <c r="G2" s="138">
        <f ca="1">RANK(H2,H$2:H$500)</f>
        <v>1</v>
      </c>
      <c r="H2" s="31">
        <f ca="1">VLOOKUP(A2,Rankings!$B$1:$H$651,7,FALSE)+(RAND()*0.00001)</f>
        <v>9.6358289771103056</v>
      </c>
      <c r="I2" s="31">
        <f ca="1">H2-VLOOKUP(Settings!$K$2,G$2:H$45,2,FALSE)</f>
        <v>7.8436993756672324</v>
      </c>
      <c r="J2" s="31" t="str">
        <f>VLOOKUP(A2,Rankings!B:D,3,FALSE)</f>
        <v>AL</v>
      </c>
    </row>
    <row r="3" spans="1:10" ht="18.600000000000001" customHeight="1">
      <c r="A3" s="26" t="s">
        <v>105</v>
      </c>
      <c r="B3" s="27" t="s">
        <v>81</v>
      </c>
      <c r="C3" s="117" t="s">
        <v>7</v>
      </c>
      <c r="D3" s="138">
        <f t="shared" ca="1" si="0"/>
        <v>2</v>
      </c>
      <c r="E3" s="31">
        <f ca="1">VLOOKUP(A3,Rankings!$B$1:$H$651,6,FALSE)+(RAND()*0.00001)</f>
        <v>531.39556161031544</v>
      </c>
      <c r="F3" s="31">
        <f ca="1">E3-VLOOKUP(Settings!$K$2,D$2:E$500,2,FALSE)</f>
        <v>200.84555653158492</v>
      </c>
      <c r="G3" s="138">
        <f t="shared" ref="G3:G34" ca="1" si="1">RANK(H3,H$2:H$63)</f>
        <v>3</v>
      </c>
      <c r="H3" s="31">
        <f ca="1">VLOOKUP(A3,Rankings!$B$1:$H$651,7,FALSE)+(RAND()*0.00001)</f>
        <v>8.8648094417685801</v>
      </c>
      <c r="I3" s="31">
        <f ca="1">H3-VLOOKUP(Settings!$K$2,G$2:H$45,2,FALSE)</f>
        <v>7.0726798403255069</v>
      </c>
      <c r="J3" s="31" t="str">
        <f>VLOOKUP(A3,Rankings!B:D,3,FALSE)</f>
        <v>NL</v>
      </c>
    </row>
    <row r="4" spans="1:10" ht="18.600000000000001" customHeight="1">
      <c r="A4" s="26" t="s">
        <v>83</v>
      </c>
      <c r="B4" s="27" t="s">
        <v>84</v>
      </c>
      <c r="C4" s="122" t="s">
        <v>112</v>
      </c>
      <c r="D4" s="138">
        <f t="shared" ca="1" si="0"/>
        <v>3</v>
      </c>
      <c r="E4" s="31">
        <f ca="1">VLOOKUP(A4,Rankings!$B$1:$H$651,6,FALSE)+(RAND()*0.00001)</f>
        <v>502.54556273573854</v>
      </c>
      <c r="F4" s="31">
        <f ca="1">E4-VLOOKUP(Settings!$K$2,D$2:E$500,2,FALSE)</f>
        <v>171.99555765700802</v>
      </c>
      <c r="G4" s="138">
        <f t="shared" ca="1" si="1"/>
        <v>2</v>
      </c>
      <c r="H4" s="31">
        <f ca="1">VLOOKUP(A4,Rankings!$B$1:$H$651,7,FALSE)+(RAND()*0.00001)</f>
        <v>9.2581088845542183</v>
      </c>
      <c r="I4" s="31">
        <f ca="1">H4-VLOOKUP(Settings!$K$2,G$2:H$45,2,FALSE)</f>
        <v>7.4659792831111451</v>
      </c>
      <c r="J4" s="31" t="str">
        <f>VLOOKUP(A4,Rankings!B:D,3,FALSE)</f>
        <v>AL</v>
      </c>
    </row>
    <row r="5" spans="1:10" ht="18.600000000000001" customHeight="1">
      <c r="A5" s="26" t="s">
        <v>127</v>
      </c>
      <c r="B5" s="27" t="s">
        <v>95</v>
      </c>
      <c r="C5" s="117" t="s">
        <v>7</v>
      </c>
      <c r="D5" s="138">
        <f t="shared" ca="1" si="0"/>
        <v>4</v>
      </c>
      <c r="E5" s="31">
        <f ca="1">VLOOKUP(A5,Rankings!$B$1:$H$651,6,FALSE)+(RAND()*0.00001)</f>
        <v>493.17111244967782</v>
      </c>
      <c r="F5" s="31">
        <f ca="1">E5-VLOOKUP(Settings!$K$2,D$2:E$500,2,FALSE)</f>
        <v>162.6211073709473</v>
      </c>
      <c r="G5" s="138">
        <f t="shared" ca="1" si="1"/>
        <v>4</v>
      </c>
      <c r="H5" s="31">
        <f ca="1">VLOOKUP(A5,Rankings!$B$1:$H$651,7,FALSE)+(RAND()*0.00001)</f>
        <v>7.579453366052296</v>
      </c>
      <c r="I5" s="31">
        <f ca="1">H5-VLOOKUP(Settings!$K$2,G$2:H$45,2,FALSE)</f>
        <v>5.7873237646092228</v>
      </c>
      <c r="J5" s="31" t="str">
        <f>VLOOKUP(A5,Rankings!B:D,3,FALSE)</f>
        <v>NL</v>
      </c>
    </row>
    <row r="6" spans="1:10" ht="18.600000000000001" customHeight="1">
      <c r="A6" s="26" t="s">
        <v>132</v>
      </c>
      <c r="B6" s="27" t="s">
        <v>123</v>
      </c>
      <c r="C6" s="117" t="s">
        <v>7</v>
      </c>
      <c r="D6" s="138">
        <f t="shared" ca="1" si="0"/>
        <v>5</v>
      </c>
      <c r="E6" s="31">
        <f ca="1">VLOOKUP(A6,Rankings!$B$1:$H$651,6,FALSE)+(RAND()*0.00001)</f>
        <v>484.06222889387459</v>
      </c>
      <c r="F6" s="31">
        <f ca="1">E6-VLOOKUP(Settings!$K$2,D$2:E$500,2,FALSE)</f>
        <v>153.51222381514407</v>
      </c>
      <c r="G6" s="138">
        <f t="shared" ca="1" si="1"/>
        <v>5</v>
      </c>
      <c r="H6" s="31">
        <f ca="1">VLOOKUP(A6,Rankings!$B$1:$H$651,7,FALSE)+(RAND()*0.00001)</f>
        <v>7.4552513408512935</v>
      </c>
      <c r="I6" s="31">
        <f ca="1">H6-VLOOKUP(Settings!$K$2,G$2:H$45,2,FALSE)</f>
        <v>5.6631217394082203</v>
      </c>
      <c r="J6" s="31" t="str">
        <f>VLOOKUP(A6,Rankings!B:D,3,FALSE)</f>
        <v>NL</v>
      </c>
    </row>
    <row r="7" spans="1:10" ht="18.600000000000001" customHeight="1">
      <c r="A7" s="26" t="s">
        <v>180</v>
      </c>
      <c r="B7" s="27" t="s">
        <v>73</v>
      </c>
      <c r="C7" s="117" t="s">
        <v>7</v>
      </c>
      <c r="D7" s="138">
        <f t="shared" ca="1" si="0"/>
        <v>6</v>
      </c>
      <c r="E7" s="31">
        <f ca="1">VLOOKUP(A7,Rankings!$B$1:$H$651,6,FALSE)+(RAND()*0.00001)</f>
        <v>479.17278557193333</v>
      </c>
      <c r="F7" s="31">
        <f ca="1">E7-VLOOKUP(Settings!$K$2,D$2:E$500,2,FALSE)</f>
        <v>148.62278049320281</v>
      </c>
      <c r="G7" s="138">
        <f t="shared" ca="1" si="1"/>
        <v>6</v>
      </c>
      <c r="H7" s="31">
        <f ca="1">VLOOKUP(A7,Rankings!$B$1:$H$651,7,FALSE)+(RAND()*0.00001)</f>
        <v>6.3292544090783798</v>
      </c>
      <c r="I7" s="31">
        <f ca="1">H7-VLOOKUP(Settings!$K$2,G$2:H$45,2,FALSE)</f>
        <v>4.5371248076353066</v>
      </c>
      <c r="J7" s="31" t="str">
        <f>VLOOKUP(A7,Rankings!B:D,3,FALSE)</f>
        <v>NL</v>
      </c>
    </row>
    <row r="8" spans="1:10" ht="18.600000000000001" customHeight="1">
      <c r="A8" s="26" t="s">
        <v>263</v>
      </c>
      <c r="B8" s="27" t="s">
        <v>120</v>
      </c>
      <c r="C8" s="117" t="s">
        <v>7</v>
      </c>
      <c r="D8" s="138">
        <f t="shared" ca="1" si="0"/>
        <v>7</v>
      </c>
      <c r="E8" s="31">
        <f ca="1">VLOOKUP(A8,Rankings!$B$1:$H$651,6,FALSE)+(RAND()*0.00001)</f>
        <v>412.57833613152587</v>
      </c>
      <c r="F8" s="31">
        <f ca="1">E8-VLOOKUP(Settings!$K$2,D$2:E$500,2,FALSE)</f>
        <v>82.028331052795352</v>
      </c>
      <c r="G8" s="138">
        <f t="shared" ca="1" si="1"/>
        <v>9</v>
      </c>
      <c r="H8" s="31">
        <f ca="1">VLOOKUP(A8,Rankings!$B$1:$H$651,7,FALSE)+(RAND()*0.00001)</f>
        <v>3.9817655020061418</v>
      </c>
      <c r="I8" s="31">
        <f ca="1">H8-VLOOKUP(Settings!$K$2,G$2:H$45,2,FALSE)</f>
        <v>2.1896359005630686</v>
      </c>
      <c r="J8" s="31" t="str">
        <f>VLOOKUP(A8,Rankings!B:D,3,FALSE)</f>
        <v>NL</v>
      </c>
    </row>
    <row r="9" spans="1:10" ht="18.600000000000001" customHeight="1">
      <c r="A9" s="26" t="s">
        <v>260</v>
      </c>
      <c r="B9" s="27" t="s">
        <v>117</v>
      </c>
      <c r="C9" s="117" t="s">
        <v>7</v>
      </c>
      <c r="D9" s="138">
        <f t="shared" ca="1" si="0"/>
        <v>8</v>
      </c>
      <c r="E9" s="31">
        <f ca="1">VLOOKUP(A9,Rankings!$B$1:$H$651,6,FALSE)+(RAND()*0.00001)</f>
        <v>402.85944807871488</v>
      </c>
      <c r="F9" s="31">
        <f ca="1">E9-VLOOKUP(Settings!$K$2,D$2:E$500,2,FALSE)</f>
        <v>72.309442999984356</v>
      </c>
      <c r="G9" s="138">
        <f t="shared" ca="1" si="1"/>
        <v>12</v>
      </c>
      <c r="H9" s="31">
        <f ca="1">VLOOKUP(A9,Rankings!$B$1:$H$651,7,FALSE)+(RAND()*0.00001)</f>
        <v>3.6296458973055263</v>
      </c>
      <c r="I9" s="31">
        <f ca="1">H9-VLOOKUP(Settings!$K$2,G$2:H$45,2,FALSE)</f>
        <v>1.8375162958624529</v>
      </c>
      <c r="J9" s="31" t="str">
        <f>VLOOKUP(A9,Rankings!B:D,3,FALSE)</f>
        <v>AL</v>
      </c>
    </row>
    <row r="10" spans="1:10" ht="18.600000000000001" customHeight="1">
      <c r="A10" s="26" t="s">
        <v>233</v>
      </c>
      <c r="B10" s="27" t="s">
        <v>86</v>
      </c>
      <c r="C10" s="117" t="s">
        <v>7</v>
      </c>
      <c r="D10" s="138">
        <f t="shared" ca="1" si="0"/>
        <v>9</v>
      </c>
      <c r="E10" s="31">
        <f ca="1">VLOOKUP(A10,Rankings!$B$1:$H$651,6,FALSE)+(RAND()*0.00001)</f>
        <v>402.81278634403202</v>
      </c>
      <c r="F10" s="31">
        <f ca="1">E10-VLOOKUP(Settings!$K$2,D$2:E$500,2,FALSE)</f>
        <v>72.262781265301498</v>
      </c>
      <c r="G10" s="138">
        <f t="shared" ca="1" si="1"/>
        <v>7</v>
      </c>
      <c r="H10" s="31">
        <f ca="1">VLOOKUP(A10,Rankings!$B$1:$H$651,7,FALSE)+(RAND()*0.00001)</f>
        <v>4.5802676388950587</v>
      </c>
      <c r="I10" s="31">
        <f ca="1">H10-VLOOKUP(Settings!$K$2,G$2:H$45,2,FALSE)</f>
        <v>2.7881380374519855</v>
      </c>
      <c r="J10" s="31" t="str">
        <f>VLOOKUP(A10,Rankings!B:D,3,FALSE)</f>
        <v>AL</v>
      </c>
    </row>
    <row r="11" spans="1:10" ht="18.600000000000001" customHeight="1">
      <c r="A11" s="26" t="s">
        <v>221</v>
      </c>
      <c r="B11" s="27" t="s">
        <v>78</v>
      </c>
      <c r="C11" s="117" t="s">
        <v>7</v>
      </c>
      <c r="D11" s="138">
        <f t="shared" ca="1" si="0"/>
        <v>10</v>
      </c>
      <c r="E11" s="31">
        <f ca="1">VLOOKUP(A11,Rankings!$B$1:$H$651,6,FALSE)+(RAND()*0.00001)</f>
        <v>400.55555960986209</v>
      </c>
      <c r="F11" s="31">
        <f ca="1">E11-VLOOKUP(Settings!$K$2,D$2:E$500,2,FALSE)</f>
        <v>70.005554531131565</v>
      </c>
      <c r="G11" s="138">
        <f t="shared" ca="1" si="1"/>
        <v>10</v>
      </c>
      <c r="H11" s="31">
        <f ca="1">VLOOKUP(A11,Rankings!$B$1:$H$651,7,FALSE)+(RAND()*0.00001)</f>
        <v>3.9581399819551049</v>
      </c>
      <c r="I11" s="31">
        <f ca="1">H11-VLOOKUP(Settings!$K$2,G$2:H$45,2,FALSE)</f>
        <v>2.1660103805120317</v>
      </c>
      <c r="J11" s="31" t="str">
        <f>VLOOKUP(A11,Rankings!B:D,3,FALSE)</f>
        <v>AL</v>
      </c>
    </row>
    <row r="12" spans="1:10" ht="18.600000000000001" customHeight="1">
      <c r="A12" s="26" t="s">
        <v>318</v>
      </c>
      <c r="B12" s="27" t="s">
        <v>76</v>
      </c>
      <c r="C12" s="117" t="s">
        <v>7</v>
      </c>
      <c r="D12" s="138">
        <f t="shared" ca="1" si="0"/>
        <v>11</v>
      </c>
      <c r="E12" s="31">
        <f ca="1">VLOOKUP(A12,Rankings!$B$1:$H$651,6,FALSE)+(RAND()*0.00001)</f>
        <v>392.23889724902591</v>
      </c>
      <c r="F12" s="31">
        <f ca="1">E12-VLOOKUP(Settings!$K$2,D$2:E$500,2,FALSE)</f>
        <v>61.688892170295389</v>
      </c>
      <c r="G12" s="138">
        <f t="shared" ca="1" si="1"/>
        <v>18</v>
      </c>
      <c r="H12" s="31">
        <f ca="1">VLOOKUP(A12,Rankings!$B$1:$H$651,7,FALSE)+(RAND()*0.00001)</f>
        <v>2.8508606888070722</v>
      </c>
      <c r="I12" s="31">
        <f ca="1">H12-VLOOKUP(Settings!$K$2,G$2:H$45,2,FALSE)</f>
        <v>1.0587310873639988</v>
      </c>
      <c r="J12" s="31" t="str">
        <f>VLOOKUP(A12,Rankings!B:D,3,FALSE)</f>
        <v>AL</v>
      </c>
    </row>
    <row r="13" spans="1:10" ht="18.600000000000001" customHeight="1">
      <c r="A13" s="26" t="s">
        <v>283</v>
      </c>
      <c r="B13" s="27" t="s">
        <v>68</v>
      </c>
      <c r="C13" s="117" t="s">
        <v>7</v>
      </c>
      <c r="D13" s="138">
        <f t="shared" ca="1" si="0"/>
        <v>12</v>
      </c>
      <c r="E13" s="31">
        <f ca="1">VLOOKUP(A13,Rankings!$B$1:$H$651,6,FALSE)+(RAND()*0.00001)</f>
        <v>388.79111511294235</v>
      </c>
      <c r="F13" s="31">
        <f ca="1">E13-VLOOKUP(Settings!$K$2,D$2:E$500,2,FALSE)</f>
        <v>58.241110034211829</v>
      </c>
      <c r="G13" s="138">
        <f t="shared" ca="1" si="1"/>
        <v>13</v>
      </c>
      <c r="H13" s="31">
        <f ca="1">VLOOKUP(A13,Rankings!$B$1:$H$651,7,FALSE)+(RAND()*0.00001)</f>
        <v>3.477282086031217</v>
      </c>
      <c r="I13" s="31">
        <f ca="1">H13-VLOOKUP(Settings!$K$2,G$2:H$45,2,FALSE)</f>
        <v>1.6851524845881436</v>
      </c>
      <c r="J13" s="31" t="str">
        <f>VLOOKUP(A13,Rankings!B:D,3,FALSE)</f>
        <v>AL</v>
      </c>
    </row>
    <row r="14" spans="1:10" ht="18.600000000000001" customHeight="1">
      <c r="A14" s="26" t="s">
        <v>366</v>
      </c>
      <c r="B14" s="27" t="s">
        <v>81</v>
      </c>
      <c r="C14" s="117" t="s">
        <v>7</v>
      </c>
      <c r="D14" s="138">
        <f t="shared" ca="1" si="0"/>
        <v>13</v>
      </c>
      <c r="E14" s="31">
        <f ca="1">VLOOKUP(A14,Rankings!$B$1:$H$651,6,FALSE)+(RAND()*0.00001)</f>
        <v>388.28611847086796</v>
      </c>
      <c r="F14" s="31">
        <f ca="1">E14-VLOOKUP(Settings!$K$2,D$2:E$500,2,FALSE)</f>
        <v>57.73611339213744</v>
      </c>
      <c r="G14" s="138">
        <f t="shared" ca="1" si="1"/>
        <v>20</v>
      </c>
      <c r="H14" s="31">
        <f ca="1">VLOOKUP(A14,Rankings!$B$1:$H$651,7,FALSE)+(RAND()*0.00001)</f>
        <v>2.4772657255865735</v>
      </c>
      <c r="I14" s="31">
        <f ca="1">H14-VLOOKUP(Settings!$K$2,G$2:H$45,2,FALSE)</f>
        <v>0.68513612414350011</v>
      </c>
      <c r="J14" s="31" t="str">
        <f>VLOOKUP(A14,Rankings!B:D,3,FALSE)</f>
        <v>NL</v>
      </c>
    </row>
    <row r="15" spans="1:10" ht="18.600000000000001" customHeight="1">
      <c r="A15" s="26" t="s">
        <v>227</v>
      </c>
      <c r="B15" s="27" t="s">
        <v>176</v>
      </c>
      <c r="C15" s="117" t="s">
        <v>7</v>
      </c>
      <c r="D15" s="138">
        <f t="shared" ca="1" si="0"/>
        <v>14</v>
      </c>
      <c r="E15" s="31">
        <f ca="1">VLOOKUP(A15,Rankings!$B$1:$H$651,6,FALSE)+(RAND()*0.00001)</f>
        <v>384.16778159492395</v>
      </c>
      <c r="F15" s="31">
        <f ca="1">E15-VLOOKUP(Settings!$K$2,D$2:E$500,2,FALSE)</f>
        <v>53.61777651619343</v>
      </c>
      <c r="G15" s="138">
        <f t="shared" ca="1" si="1"/>
        <v>11</v>
      </c>
      <c r="H15" s="31">
        <f ca="1">VLOOKUP(A15,Rankings!$B$1:$H$651,7,FALSE)+(RAND()*0.00001)</f>
        <v>3.9528280959955597</v>
      </c>
      <c r="I15" s="31">
        <f ca="1">H15-VLOOKUP(Settings!$K$2,G$2:H$45,2,FALSE)</f>
        <v>2.1606984945524861</v>
      </c>
      <c r="J15" s="31" t="str">
        <f>VLOOKUP(A15,Rankings!B:D,3,FALSE)</f>
        <v>NL</v>
      </c>
    </row>
    <row r="16" spans="1:10" ht="20.100000000000001" customHeight="1">
      <c r="A16" s="26" t="s">
        <v>340</v>
      </c>
      <c r="B16" s="27" t="s">
        <v>97</v>
      </c>
      <c r="C16" s="117" t="s">
        <v>7</v>
      </c>
      <c r="D16" s="138">
        <f t="shared" ca="1" si="0"/>
        <v>15</v>
      </c>
      <c r="E16" s="31">
        <f ca="1">VLOOKUP(A16,Rankings!$B$1:$H$651,6,FALSE)+(RAND()*0.00001)</f>
        <v>382.38278317812666</v>
      </c>
      <c r="F16" s="31">
        <f ca="1">E16-VLOOKUP(Settings!$K$2,D$2:E$500,2,FALSE)</f>
        <v>51.832778099396137</v>
      </c>
      <c r="G16" s="138">
        <f t="shared" ca="1" si="1"/>
        <v>14</v>
      </c>
      <c r="H16" s="31">
        <f ca="1">VLOOKUP(A16,Rankings!$B$1:$H$651,7,FALSE)+(RAND()*0.00001)</f>
        <v>3.3445402004136566</v>
      </c>
      <c r="I16" s="31">
        <f ca="1">H16-VLOOKUP(Settings!$K$2,G$2:H$45,2,FALSE)</f>
        <v>1.5524105989705832</v>
      </c>
      <c r="J16" s="31" t="str">
        <f>VLOOKUP(A16,Rankings!B:D,3,FALSE)</f>
        <v>NL</v>
      </c>
    </row>
    <row r="17" spans="1:10" ht="18.600000000000001" customHeight="1">
      <c r="A17" s="26" t="s">
        <v>328</v>
      </c>
      <c r="B17" s="27" t="s">
        <v>114</v>
      </c>
      <c r="C17" s="117" t="s">
        <v>7</v>
      </c>
      <c r="D17" s="138">
        <f t="shared" ca="1" si="0"/>
        <v>16</v>
      </c>
      <c r="E17" s="31">
        <f ca="1">VLOOKUP(A17,Rankings!$B$1:$H$651,6,FALSE)+(RAND()*0.00001)</f>
        <v>376.58166724184883</v>
      </c>
      <c r="F17" s="31">
        <f ca="1">E17-VLOOKUP(Settings!$K$2,D$2:E$500,2,FALSE)</f>
        <v>46.031662163118312</v>
      </c>
      <c r="G17" s="138">
        <f t="shared" ca="1" si="1"/>
        <v>15</v>
      </c>
      <c r="H17" s="31">
        <f ca="1">VLOOKUP(A17,Rankings!$B$1:$H$651,7,FALSE)+(RAND()*0.00001)</f>
        <v>3.0608263059319989</v>
      </c>
      <c r="I17" s="31">
        <f ca="1">H17-VLOOKUP(Settings!$K$2,G$2:H$45,2,FALSE)</f>
        <v>1.2686967044889255</v>
      </c>
      <c r="J17" s="31" t="str">
        <f>VLOOKUP(A17,Rankings!B:D,3,FALSE)</f>
        <v>AL</v>
      </c>
    </row>
    <row r="18" spans="1:10" ht="18.600000000000001" customHeight="1">
      <c r="A18" s="26" t="s">
        <v>271</v>
      </c>
      <c r="B18" s="27" t="s">
        <v>99</v>
      </c>
      <c r="C18" s="117" t="s">
        <v>7</v>
      </c>
      <c r="D18" s="138">
        <f t="shared" ca="1" si="0"/>
        <v>17</v>
      </c>
      <c r="E18" s="31">
        <f ca="1">VLOOKUP(A18,Rankings!$B$1:$H$651,6,FALSE)+(RAND()*0.00001)</f>
        <v>375.93222762658928</v>
      </c>
      <c r="F18" s="31">
        <f ca="1">E18-VLOOKUP(Settings!$K$2,D$2:E$500,2,FALSE)</f>
        <v>45.38222254785876</v>
      </c>
      <c r="G18" s="138">
        <f t="shared" ca="1" si="1"/>
        <v>8</v>
      </c>
      <c r="H18" s="31">
        <f ca="1">VLOOKUP(A18,Rankings!$B$1:$H$651,7,FALSE)+(RAND()*0.00001)</f>
        <v>4.0678571611456347</v>
      </c>
      <c r="I18" s="31">
        <f ca="1">H18-VLOOKUP(Settings!$K$2,G$2:H$45,2,FALSE)</f>
        <v>2.2757275597025615</v>
      </c>
      <c r="J18" s="31" t="str">
        <f>VLOOKUP(A18,Rankings!B:D,3,FALSE)</f>
        <v>AL</v>
      </c>
    </row>
    <row r="19" spans="1:10" ht="18.600000000000001" customHeight="1">
      <c r="A19" s="26" t="s">
        <v>284</v>
      </c>
      <c r="B19" s="27" t="s">
        <v>71</v>
      </c>
      <c r="C19" s="117" t="s">
        <v>7</v>
      </c>
      <c r="D19" s="138">
        <f t="shared" ca="1" si="0"/>
        <v>18</v>
      </c>
      <c r="E19" s="31">
        <f ca="1">VLOOKUP(A19,Rankings!$B$1:$H$651,6,FALSE)+(RAND()*0.00001)</f>
        <v>374.00223085197769</v>
      </c>
      <c r="F19" s="31">
        <f ca="1">E19-VLOOKUP(Settings!$K$2,D$2:E$500,2,FALSE)</f>
        <v>43.452225773247164</v>
      </c>
      <c r="G19" s="138">
        <f t="shared" ca="1" si="1"/>
        <v>16</v>
      </c>
      <c r="H19" s="31">
        <f ca="1">VLOOKUP(A19,Rankings!$B$1:$H$651,7,FALSE)+(RAND()*0.00001)</f>
        <v>3.0069440025032361</v>
      </c>
      <c r="I19" s="31">
        <f ca="1">H19-VLOOKUP(Settings!$K$2,G$2:H$45,2,FALSE)</f>
        <v>1.2148144010601627</v>
      </c>
      <c r="J19" s="31" t="str">
        <f>VLOOKUP(A19,Rankings!B:D,3,FALSE)</f>
        <v>AL</v>
      </c>
    </row>
    <row r="20" spans="1:10" ht="18.600000000000001" customHeight="1">
      <c r="A20" s="26" t="s">
        <v>339</v>
      </c>
      <c r="B20" s="27" t="s">
        <v>76</v>
      </c>
      <c r="C20" s="117" t="s">
        <v>7</v>
      </c>
      <c r="D20" s="138">
        <f t="shared" ca="1" si="0"/>
        <v>19</v>
      </c>
      <c r="E20" s="31">
        <f ca="1">VLOOKUP(A20,Rankings!$B$1:$H$651,6,FALSE)+(RAND()*0.00001)</f>
        <v>359.57056078409113</v>
      </c>
      <c r="F20" s="31">
        <f ca="1">E20-VLOOKUP(Settings!$K$2,D$2:E$500,2,FALSE)</f>
        <v>29.020555705360607</v>
      </c>
      <c r="G20" s="138">
        <f t="shared" ca="1" si="1"/>
        <v>17</v>
      </c>
      <c r="H20" s="31">
        <f ca="1">VLOOKUP(A20,Rankings!$B$1:$H$651,7,FALSE)+(RAND()*0.00001)</f>
        <v>2.921564915450356</v>
      </c>
      <c r="I20" s="31">
        <f ca="1">H20-VLOOKUP(Settings!$K$2,G$2:H$45,2,FALSE)</f>
        <v>1.1294353140072826</v>
      </c>
      <c r="J20" s="31" t="str">
        <f>VLOOKUP(A20,Rankings!B:D,3,FALSE)</f>
        <v>AL</v>
      </c>
    </row>
    <row r="21" spans="1:10" ht="20.100000000000001" customHeight="1">
      <c r="A21" s="26" t="s">
        <v>312</v>
      </c>
      <c r="B21" s="27" t="s">
        <v>81</v>
      </c>
      <c r="C21" s="122" t="s">
        <v>112</v>
      </c>
      <c r="D21" s="138">
        <f t="shared" ca="1" si="0"/>
        <v>20</v>
      </c>
      <c r="E21" s="31">
        <f ca="1">VLOOKUP(A21,Rankings!$B$1:$H$651,6,FALSE)+(RAND()*0.00001)</f>
        <v>355.13389195121943</v>
      </c>
      <c r="F21" s="31">
        <f ca="1">E21-VLOOKUP(Settings!$K$2,D$2:E$500,2,FALSE)</f>
        <v>24.583886872488904</v>
      </c>
      <c r="G21" s="138">
        <f t="shared" ca="1" si="1"/>
        <v>19</v>
      </c>
      <c r="H21" s="31">
        <f ca="1">VLOOKUP(A21,Rankings!$B$1:$H$651,7,FALSE)+(RAND()*0.00001)</f>
        <v>2.6349635633642801</v>
      </c>
      <c r="I21" s="31">
        <f ca="1">H21-VLOOKUP(Settings!$K$2,G$2:H$45,2,FALSE)</f>
        <v>0.84283396192120663</v>
      </c>
      <c r="J21" s="31" t="str">
        <f>VLOOKUP(A21,Rankings!B:D,3,FALSE)</f>
        <v>NL</v>
      </c>
    </row>
    <row r="22" spans="1:10" ht="20.100000000000001" customHeight="1">
      <c r="A22" s="26" t="s">
        <v>474</v>
      </c>
      <c r="B22" s="27" t="s">
        <v>103</v>
      </c>
      <c r="C22" s="117" t="s">
        <v>7</v>
      </c>
      <c r="D22" s="138">
        <f t="shared" ca="1" si="0"/>
        <v>21</v>
      </c>
      <c r="E22" s="31">
        <f ca="1">VLOOKUP(A22,Rankings!$B$1:$H$651,6,FALSE)+(RAND()*0.00001)</f>
        <v>346.5716711342148</v>
      </c>
      <c r="F22" s="31">
        <f ca="1">E22-VLOOKUP(Settings!$K$2,D$2:E$500,2,FALSE)</f>
        <v>16.021666055484275</v>
      </c>
      <c r="G22" s="138">
        <f t="shared" ca="1" si="1"/>
        <v>26</v>
      </c>
      <c r="H22" s="31">
        <f ca="1">VLOOKUP(A22,Rankings!$B$1:$H$651,7,FALSE)+(RAND()*0.00001)</f>
        <v>1.3412173268643859</v>
      </c>
      <c r="I22" s="31">
        <f ca="1">H22-VLOOKUP(Settings!$K$2,G$2:H$45,2,FALSE)</f>
        <v>-0.45091227457868754</v>
      </c>
      <c r="J22" s="31" t="str">
        <f>VLOOKUP(A22,Rankings!B:D,3,FALSE)</f>
        <v>AL</v>
      </c>
    </row>
    <row r="23" spans="1:10" ht="18.600000000000001" customHeight="1">
      <c r="A23" s="26" t="s">
        <v>365</v>
      </c>
      <c r="B23" s="27" t="s">
        <v>156</v>
      </c>
      <c r="C23" s="117" t="s">
        <v>7</v>
      </c>
      <c r="D23" s="138">
        <f t="shared" ca="1" si="0"/>
        <v>22</v>
      </c>
      <c r="E23" s="31">
        <f ca="1">VLOOKUP(A23,Rankings!$B$1:$H$651,6,FALSE)+(RAND()*0.00001)</f>
        <v>344.37111198084568</v>
      </c>
      <c r="F23" s="31">
        <f ca="1">E23-VLOOKUP(Settings!$K$2,D$2:E$500,2,FALSE)</f>
        <v>13.821106902115162</v>
      </c>
      <c r="G23" s="138">
        <f t="shared" ca="1" si="1"/>
        <v>22</v>
      </c>
      <c r="H23" s="31">
        <f ca="1">VLOOKUP(A23,Rankings!$B$1:$H$651,7,FALSE)+(RAND()*0.00001)</f>
        <v>2.1700911438310579</v>
      </c>
      <c r="I23" s="31">
        <f ca="1">H23-VLOOKUP(Settings!$K$2,G$2:H$45,2,FALSE)</f>
        <v>0.37796154238798452</v>
      </c>
      <c r="J23" s="31" t="str">
        <f>VLOOKUP(A23,Rankings!B:D,3,FALSE)</f>
        <v>AL</v>
      </c>
    </row>
    <row r="24" spans="1:10" ht="18.600000000000001" customHeight="1">
      <c r="A24" s="26" t="s">
        <v>371</v>
      </c>
      <c r="B24" s="27" t="s">
        <v>81</v>
      </c>
      <c r="C24" s="117" t="s">
        <v>7</v>
      </c>
      <c r="D24" s="138">
        <f t="shared" ca="1" si="0"/>
        <v>23</v>
      </c>
      <c r="E24" s="31">
        <f ca="1">VLOOKUP(A24,Rankings!$B$1:$H$651,6,FALSE)+(RAND()*0.00001)</f>
        <v>331.39600189387204</v>
      </c>
      <c r="F24" s="31">
        <f ca="1">E24-VLOOKUP(Settings!$K$2,D$2:E$500,2,FALSE)</f>
        <v>0.84599681514151825</v>
      </c>
      <c r="G24" s="138">
        <f t="shared" ca="1" si="1"/>
        <v>21</v>
      </c>
      <c r="H24" s="31">
        <f ca="1">VLOOKUP(A24,Rankings!$B$1:$H$651,7,FALSE)+(RAND()*0.00001)</f>
        <v>2.2252118315848248</v>
      </c>
      <c r="I24" s="31">
        <f ca="1">H24-VLOOKUP(Settings!$K$2,G$2:H$45,2,FALSE)</f>
        <v>0.4330822301417514</v>
      </c>
      <c r="J24" s="31" t="str">
        <f>VLOOKUP(A24,Rankings!B:D,3,FALSE)</f>
        <v>NL</v>
      </c>
    </row>
    <row r="25" spans="1:10" ht="18.600000000000001" customHeight="1">
      <c r="A25" s="26" t="s">
        <v>399</v>
      </c>
      <c r="B25" s="27" t="s">
        <v>306</v>
      </c>
      <c r="C25" s="117" t="s">
        <v>7</v>
      </c>
      <c r="D25" s="138">
        <f t="shared" ca="1" si="0"/>
        <v>25</v>
      </c>
      <c r="E25" s="31">
        <f ca="1">VLOOKUP(A25,Rankings!$B$1:$H$651,6,FALSE)+(RAND()*0.00001)</f>
        <v>327.95666684716144</v>
      </c>
      <c r="F25" s="31">
        <f ca="1">E25-VLOOKUP(Settings!$K$2,D$2:E$500,2,FALSE)</f>
        <v>-2.5933382315690778</v>
      </c>
      <c r="G25" s="138">
        <f t="shared" ca="1" si="1"/>
        <v>23</v>
      </c>
      <c r="H25" s="31">
        <f ca="1">VLOOKUP(A25,Rankings!$B$1:$H$651,7,FALSE)+(RAND()*0.00001)</f>
        <v>2.0056112112267721</v>
      </c>
      <c r="I25" s="31">
        <f ca="1">H25-VLOOKUP(Settings!$K$2,G$2:H$45,2,FALSE)</f>
        <v>0.21348160978369868</v>
      </c>
      <c r="J25" s="31" t="str">
        <f>VLOOKUP(A25,Rankings!B:D,3,FALSE)</f>
        <v>NL</v>
      </c>
    </row>
    <row r="26" spans="1:10" ht="18.600000000000001" customHeight="1">
      <c r="A26" s="26" t="s">
        <v>587</v>
      </c>
      <c r="B26" s="27" t="s">
        <v>137</v>
      </c>
      <c r="C26" s="117" t="s">
        <v>7</v>
      </c>
      <c r="D26" s="138">
        <f t="shared" ca="1" si="0"/>
        <v>26</v>
      </c>
      <c r="E26" s="31">
        <f ca="1">VLOOKUP(A26,Rankings!$B$1:$H$651,6,FALSE)+(RAND()*0.00001)</f>
        <v>307.70611197826639</v>
      </c>
      <c r="F26" s="31">
        <f ca="1">E26-VLOOKUP(Settings!$K$2,D$2:E$500,2,FALSE)</f>
        <v>-22.843893100464129</v>
      </c>
      <c r="G26" s="138">
        <f t="shared" ca="1" si="1"/>
        <v>38</v>
      </c>
      <c r="H26" s="31">
        <f ca="1">VLOOKUP(A26,Rankings!$B$1:$H$651,7,FALSE)+(RAND()*0.00001)</f>
        <v>-1.0137686256125817</v>
      </c>
      <c r="I26" s="31">
        <f ca="1">H26-VLOOKUP(Settings!$K$2,G$2:H$45,2,FALSE)</f>
        <v>-2.8058982270556552</v>
      </c>
      <c r="J26" s="31" t="str">
        <f>VLOOKUP(A26,Rankings!B:D,3,FALSE)</f>
        <v>NL</v>
      </c>
    </row>
    <row r="27" spans="1:10" ht="18.600000000000001" customHeight="1">
      <c r="A27" s="26" t="s">
        <v>469</v>
      </c>
      <c r="B27" s="27" t="s">
        <v>140</v>
      </c>
      <c r="C27" s="117" t="s">
        <v>7</v>
      </c>
      <c r="D27" s="138">
        <f t="shared" ca="1" si="0"/>
        <v>27</v>
      </c>
      <c r="E27" s="31">
        <f ca="1">VLOOKUP(A27,Rankings!$B$1:$H$651,6,FALSE)+(RAND()*0.00001)</f>
        <v>307.66667368118766</v>
      </c>
      <c r="F27" s="31">
        <f ca="1">E27-VLOOKUP(Settings!$K$2,D$2:E$500,2,FALSE)</f>
        <v>-22.883331397542861</v>
      </c>
      <c r="G27" s="138">
        <f t="shared" ca="1" si="1"/>
        <v>28</v>
      </c>
      <c r="H27" s="31">
        <f ca="1">VLOOKUP(A27,Rankings!$B$1:$H$651,7,FALSE)+(RAND()*0.00001)</f>
        <v>1.2035130251254753</v>
      </c>
      <c r="I27" s="31">
        <f ca="1">H27-VLOOKUP(Settings!$K$2,G$2:H$45,2,FALSE)</f>
        <v>-0.58861657631759812</v>
      </c>
      <c r="J27" s="31" t="str">
        <f>VLOOKUP(A27,Rankings!B:D,3,FALSE)</f>
        <v>AL</v>
      </c>
    </row>
    <row r="28" spans="1:10" ht="18.600000000000001" customHeight="1">
      <c r="A28" s="26" t="s">
        <v>376</v>
      </c>
      <c r="B28" s="27" t="s">
        <v>223</v>
      </c>
      <c r="C28" s="117" t="s">
        <v>7</v>
      </c>
      <c r="D28" s="138">
        <f t="shared" ca="1" si="0"/>
        <v>28</v>
      </c>
      <c r="E28" s="31">
        <f ca="1">VLOOKUP(A28,Rankings!$B$1:$H$651,6,FALSE)+(RAND()*0.00001)</f>
        <v>302.91778643339273</v>
      </c>
      <c r="F28" s="31">
        <f ca="1">E28-VLOOKUP(Settings!$K$2,D$2:E$500,2,FALSE)</f>
        <v>-27.632218645337787</v>
      </c>
      <c r="G28" s="138">
        <f t="shared" ca="1" si="1"/>
        <v>25</v>
      </c>
      <c r="H28" s="31">
        <f ca="1">VLOOKUP(A28,Rankings!$B$1:$H$651,7,FALSE)+(RAND()*0.00001)</f>
        <v>1.442424644407891</v>
      </c>
      <c r="I28" s="31">
        <f ca="1">H28-VLOOKUP(Settings!$K$2,G$2:H$45,2,FALSE)</f>
        <v>-0.34970495703518245</v>
      </c>
      <c r="J28" s="31" t="str">
        <f>VLOOKUP(A28,Rankings!B:D,3,FALSE)</f>
        <v>NL</v>
      </c>
    </row>
    <row r="29" spans="1:10" ht="20.100000000000001" customHeight="1">
      <c r="A29" s="26" t="s">
        <v>612</v>
      </c>
      <c r="B29" s="27" t="s">
        <v>258</v>
      </c>
      <c r="C29" s="117" t="s">
        <v>7</v>
      </c>
      <c r="D29" s="138">
        <f t="shared" ca="1" si="0"/>
        <v>29</v>
      </c>
      <c r="E29" s="31">
        <f ca="1">VLOOKUP(A29,Rankings!$B$1:$H$651,6,FALSE)+(RAND()*0.00001)</f>
        <v>294.84802705795056</v>
      </c>
      <c r="F29" s="31">
        <f ca="1">E29-VLOOKUP(Settings!$K$2,D$2:E$500,2,FALSE)</f>
        <v>-35.701978020779961</v>
      </c>
      <c r="G29" s="138">
        <f t="shared" ca="1" si="1"/>
        <v>33</v>
      </c>
      <c r="H29" s="31">
        <f ca="1">VLOOKUP(A29,Rankings!$B$1:$H$651,7,FALSE)+(RAND()*0.00001)</f>
        <v>-0.41651144013582581</v>
      </c>
      <c r="I29" s="31">
        <f ca="1">H29-VLOOKUP(Settings!$K$2,G$2:H$45,2,FALSE)</f>
        <v>-2.2086410415788991</v>
      </c>
      <c r="J29" s="31" t="str">
        <f>VLOOKUP(A29,Rankings!B:D,3,FALSE)</f>
        <v>AL</v>
      </c>
    </row>
    <row r="30" spans="1:10" ht="18.600000000000001" customHeight="1">
      <c r="A30" s="26" t="s">
        <v>521</v>
      </c>
      <c r="B30" s="27" t="s">
        <v>101</v>
      </c>
      <c r="C30" s="117" t="s">
        <v>7</v>
      </c>
      <c r="D30" s="138">
        <f t="shared" ca="1" si="0"/>
        <v>30</v>
      </c>
      <c r="E30" s="31">
        <f ca="1">VLOOKUP(A30,Rankings!$B$1:$H$651,6,FALSE)+(RAND()*0.00001)</f>
        <v>291.94333399552283</v>
      </c>
      <c r="F30" s="31">
        <f ca="1">E30-VLOOKUP(Settings!$K$2,D$2:E$500,2,FALSE)</f>
        <v>-38.606671083207686</v>
      </c>
      <c r="G30" s="138">
        <f t="shared" ca="1" si="1"/>
        <v>34</v>
      </c>
      <c r="H30" s="31">
        <f ca="1">VLOOKUP(A30,Rankings!$B$1:$H$651,7,FALSE)+(RAND()*0.00001)</f>
        <v>-0.49066721522229578</v>
      </c>
      <c r="I30" s="31">
        <f ca="1">H30-VLOOKUP(Settings!$K$2,G$2:H$45,2,FALSE)</f>
        <v>-2.2827968166653694</v>
      </c>
      <c r="J30" s="31" t="str">
        <f>VLOOKUP(A30,Rankings!B:D,3,FALSE)</f>
        <v>AL</v>
      </c>
    </row>
    <row r="31" spans="1:10" ht="18.600000000000001" customHeight="1">
      <c r="A31" s="26" t="s">
        <v>486</v>
      </c>
      <c r="B31" s="27" t="s">
        <v>158</v>
      </c>
      <c r="C31" s="117" t="s">
        <v>7</v>
      </c>
      <c r="D31" s="138">
        <f t="shared" ca="1" si="0"/>
        <v>31</v>
      </c>
      <c r="E31" s="31">
        <f ca="1">VLOOKUP(A31,Rankings!$B$1:$H$651,6,FALSE)+(RAND()*0.00001)</f>
        <v>281.20723020725251</v>
      </c>
      <c r="F31" s="31">
        <f ca="1">E31-VLOOKUP(Settings!$K$2,D$2:E$500,2,FALSE)</f>
        <v>-49.342774871478014</v>
      </c>
      <c r="G31" s="138">
        <f t="shared" ca="1" si="1"/>
        <v>31</v>
      </c>
      <c r="H31" s="31">
        <f ca="1">VLOOKUP(A31,Rankings!$B$1:$H$651,7,FALSE)+(RAND()*0.00001)</f>
        <v>-0.16617176693196353</v>
      </c>
      <c r="I31" s="31">
        <f ca="1">H31-VLOOKUP(Settings!$K$2,G$2:H$45,2,FALSE)</f>
        <v>-1.958301368375037</v>
      </c>
      <c r="J31" s="31" t="str">
        <f>VLOOKUP(A31,Rankings!B:D,3,FALSE)</f>
        <v>NL</v>
      </c>
    </row>
    <row r="32" spans="1:10" ht="18.600000000000001" customHeight="1">
      <c r="A32" s="26" t="s">
        <v>603</v>
      </c>
      <c r="B32" s="27" t="s">
        <v>223</v>
      </c>
      <c r="C32" s="117" t="s">
        <v>7</v>
      </c>
      <c r="D32" s="138">
        <f t="shared" ca="1" si="0"/>
        <v>32</v>
      </c>
      <c r="E32" s="31">
        <f ca="1">VLOOKUP(A32,Rankings!$B$1:$H$651,6,FALSE)+(RAND()*0.00001)</f>
        <v>279.24333333884766</v>
      </c>
      <c r="F32" s="31">
        <f ca="1">E32-VLOOKUP(Settings!$K$2,D$2:E$500,2,FALSE)</f>
        <v>-51.306671739882859</v>
      </c>
      <c r="G32" s="138">
        <f t="shared" ca="1" si="1"/>
        <v>36</v>
      </c>
      <c r="H32" s="31">
        <f ca="1">VLOOKUP(A32,Rankings!$B$1:$H$651,7,FALSE)+(RAND()*0.00001)</f>
        <v>-0.75508487689247505</v>
      </c>
      <c r="I32" s="31">
        <f ca="1">H32-VLOOKUP(Settings!$K$2,G$2:H$45,2,FALSE)</f>
        <v>-2.5472144783355484</v>
      </c>
      <c r="J32" s="31" t="str">
        <f>VLOOKUP(A32,Rankings!B:D,3,FALSE)</f>
        <v>NL</v>
      </c>
    </row>
    <row r="33" spans="1:10" ht="18.600000000000001" customHeight="1">
      <c r="A33" s="26" t="s">
        <v>501</v>
      </c>
      <c r="B33" s="27" t="s">
        <v>134</v>
      </c>
      <c r="C33" s="117" t="s">
        <v>7</v>
      </c>
      <c r="D33" s="138">
        <f t="shared" ca="1" si="0"/>
        <v>33</v>
      </c>
      <c r="E33" s="31">
        <f ca="1">VLOOKUP(A33,Rankings!$B$1:$H$651,6,FALSE)+(RAND()*0.00001)</f>
        <v>277.04445243773358</v>
      </c>
      <c r="F33" s="31">
        <f ca="1">E33-VLOOKUP(Settings!$K$2,D$2:E$500,2,FALSE)</f>
        <v>-53.505552640996939</v>
      </c>
      <c r="G33" s="138">
        <f t="shared" ca="1" si="1"/>
        <v>29</v>
      </c>
      <c r="H33" s="31">
        <f ca="1">VLOOKUP(A33,Rankings!$B$1:$H$651,7,FALSE)+(RAND()*0.00001)</f>
        <v>0.13715801204684067</v>
      </c>
      <c r="I33" s="31">
        <f ca="1">H33-VLOOKUP(Settings!$K$2,G$2:H$45,2,FALSE)</f>
        <v>-1.6549715893962327</v>
      </c>
      <c r="J33" s="31" t="str">
        <f>VLOOKUP(A33,Rankings!B:D,3,FALSE)</f>
        <v>NL</v>
      </c>
    </row>
    <row r="34" spans="1:10" ht="20.100000000000001" customHeight="1">
      <c r="A34" s="26" t="s">
        <v>491</v>
      </c>
      <c r="B34" s="27" t="s">
        <v>217</v>
      </c>
      <c r="C34" s="117" t="s">
        <v>7</v>
      </c>
      <c r="D34" s="138">
        <f t="shared" ref="D34:D63" ca="1" si="2">RANK(E34,E$2:E$63)</f>
        <v>34</v>
      </c>
      <c r="E34" s="31">
        <f ca="1">VLOOKUP(A34,Rankings!$B$1:$H$651,6,FALSE)+(RAND()*0.00001)</f>
        <v>273.20000748770849</v>
      </c>
      <c r="F34" s="31">
        <f ca="1">E34-VLOOKUP(Settings!$K$2,D$2:E$500,2,FALSE)</f>
        <v>-57.349997591022031</v>
      </c>
      <c r="G34" s="138">
        <f t="shared" ca="1" si="1"/>
        <v>35</v>
      </c>
      <c r="H34" s="31">
        <f ca="1">VLOOKUP(A34,Rankings!$B$1:$H$651,7,FALSE)+(RAND()*0.00001)</f>
        <v>-0.53275671188655638</v>
      </c>
      <c r="I34" s="31">
        <f ca="1">H34-VLOOKUP(Settings!$K$2,G$2:H$45,2,FALSE)</f>
        <v>-2.32488631332963</v>
      </c>
      <c r="J34" s="31" t="str">
        <f>VLOOKUP(A34,Rankings!B:D,3,FALSE)</f>
        <v>NL</v>
      </c>
    </row>
    <row r="35" spans="1:10" ht="20.100000000000001" customHeight="1">
      <c r="A35" s="26" t="s">
        <v>367</v>
      </c>
      <c r="B35" s="27" t="s">
        <v>91</v>
      </c>
      <c r="C35" s="122" t="s">
        <v>112</v>
      </c>
      <c r="D35" s="138">
        <f t="shared" ca="1" si="2"/>
        <v>35</v>
      </c>
      <c r="E35" s="31">
        <f ca="1">VLOOKUP(A35,Rankings!$B$1:$H$651,6,FALSE)+(RAND()*0.00001)</f>
        <v>267.11222944379301</v>
      </c>
      <c r="F35" s="31">
        <f ca="1">E35-VLOOKUP(Settings!$K$2,D$2:E$500,2,FALSE)</f>
        <v>-63.437775634937509</v>
      </c>
      <c r="G35" s="138">
        <f t="shared" ref="G35:G63" ca="1" si="3">RANK(H35,H$2:H$63)</f>
        <v>24</v>
      </c>
      <c r="H35" s="31">
        <f ca="1">VLOOKUP(A35,Rankings!$B$1:$H$651,7,FALSE)+(RAND()*0.00001)</f>
        <v>1.7921296014430734</v>
      </c>
      <c r="I35" s="31">
        <f ca="1">H35-VLOOKUP(Settings!$K$2,G$2:H$45,2,FALSE)</f>
        <v>0</v>
      </c>
      <c r="J35" s="31" t="str">
        <f>VLOOKUP(A35,Rankings!B:D,3,FALSE)</f>
        <v>NL</v>
      </c>
    </row>
    <row r="36" spans="1:10" ht="18.600000000000001" customHeight="1">
      <c r="A36" s="26" t="s">
        <v>647</v>
      </c>
      <c r="B36" s="27" t="s">
        <v>137</v>
      </c>
      <c r="C36" s="117" t="s">
        <v>7</v>
      </c>
      <c r="D36" s="138">
        <f t="shared" ca="1" si="2"/>
        <v>36</v>
      </c>
      <c r="E36" s="31">
        <f ca="1">VLOOKUP(A36,Rankings!$B$1:$H$651,6,FALSE)+(RAND()*0.00001)</f>
        <v>265.80722591376087</v>
      </c>
      <c r="F36" s="31">
        <f ca="1">E36-VLOOKUP(Settings!$K$2,D$2:E$500,2,FALSE)</f>
        <v>-64.742779164969647</v>
      </c>
      <c r="G36" s="138">
        <f t="shared" ca="1" si="3"/>
        <v>39</v>
      </c>
      <c r="H36" s="31">
        <f ca="1">VLOOKUP(A36,Rankings!$B$1:$H$651,7,FALSE)+(RAND()*0.00001)</f>
        <v>-1.3462720650312481</v>
      </c>
      <c r="I36" s="31">
        <f ca="1">H36-VLOOKUP(Settings!$K$2,G$2:H$45,2,FALSE)</f>
        <v>-3.1384016664743215</v>
      </c>
      <c r="J36" s="31" t="str">
        <f>VLOOKUP(A36,Rankings!B:D,3,FALSE)</f>
        <v>NL</v>
      </c>
    </row>
    <row r="37" spans="1:10" ht="18.600000000000001" customHeight="1">
      <c r="A37" s="26" t="s">
        <v>436</v>
      </c>
      <c r="B37" s="27" t="s">
        <v>84</v>
      </c>
      <c r="C37" s="117" t="s">
        <v>7</v>
      </c>
      <c r="D37" s="138">
        <f t="shared" ca="1" si="2"/>
        <v>37</v>
      </c>
      <c r="E37" s="31">
        <f ca="1">VLOOKUP(A37,Rankings!$B$1:$H$651,6,FALSE)+(RAND()*0.00001)</f>
        <v>265.17389256059886</v>
      </c>
      <c r="F37" s="31">
        <f ca="1">E37-VLOOKUP(Settings!$K$2,D$2:E$500,2,FALSE)</f>
        <v>-65.376112518131663</v>
      </c>
      <c r="G37" s="138">
        <f t="shared" ca="1" si="3"/>
        <v>30</v>
      </c>
      <c r="H37" s="31">
        <f ca="1">VLOOKUP(A37,Rankings!$B$1:$H$651,7,FALSE)+(RAND()*0.00001)</f>
        <v>5.7094537144563112E-2</v>
      </c>
      <c r="I37" s="31">
        <f ca="1">H37-VLOOKUP(Settings!$K$2,G$2:H$45,2,FALSE)</f>
        <v>-1.7350350642985104</v>
      </c>
      <c r="J37" s="31" t="str">
        <f>VLOOKUP(A37,Rankings!B:D,3,FALSE)</f>
        <v>AL</v>
      </c>
    </row>
    <row r="38" spans="1:10" ht="18.600000000000001" customHeight="1">
      <c r="A38" s="26" t="s">
        <v>623</v>
      </c>
      <c r="B38" s="27" t="s">
        <v>306</v>
      </c>
      <c r="C38" s="117" t="s">
        <v>7</v>
      </c>
      <c r="D38" s="138">
        <f t="shared" ca="1" si="2"/>
        <v>38</v>
      </c>
      <c r="E38" s="31">
        <f ca="1">VLOOKUP(A38,Rankings!$B$1:$H$651,6,FALSE)+(RAND()*0.00001)</f>
        <v>253.55867375575366</v>
      </c>
      <c r="F38" s="31">
        <f ca="1">E38-VLOOKUP(Settings!$K$2,D$2:E$500,2,FALSE)</f>
        <v>-76.991331322976862</v>
      </c>
      <c r="G38" s="138">
        <f t="shared" ca="1" si="3"/>
        <v>37</v>
      </c>
      <c r="H38" s="31">
        <f ca="1">VLOOKUP(A38,Rankings!$B$1:$H$651,7,FALSE)+(RAND()*0.00001)</f>
        <v>-0.98742324455097696</v>
      </c>
      <c r="I38" s="31">
        <f ca="1">H38-VLOOKUP(Settings!$K$2,G$2:H$45,2,FALSE)</f>
        <v>-2.7795528459940506</v>
      </c>
      <c r="J38" s="31" t="str">
        <f>VLOOKUP(A38,Rankings!B:D,3,FALSE)</f>
        <v>NL</v>
      </c>
    </row>
    <row r="39" spans="1:10" ht="18.600000000000001" customHeight="1">
      <c r="A39" s="26" t="s">
        <v>509</v>
      </c>
      <c r="B39" s="27" t="s">
        <v>158</v>
      </c>
      <c r="C39" s="117" t="s">
        <v>7</v>
      </c>
      <c r="D39" s="138">
        <f t="shared" ca="1" si="2"/>
        <v>39</v>
      </c>
      <c r="E39" s="31">
        <f ca="1">VLOOKUP(A39,Rankings!$B$1:$H$651,6,FALSE)+(RAND()*0.00001)</f>
        <v>252.89056391625815</v>
      </c>
      <c r="F39" s="31">
        <f ca="1">E39-VLOOKUP(Settings!$K$2,D$2:E$500,2,FALSE)</f>
        <v>-77.659441162472376</v>
      </c>
      <c r="G39" s="138">
        <f t="shared" ca="1" si="3"/>
        <v>32</v>
      </c>
      <c r="H39" s="31">
        <f ca="1">VLOOKUP(A39,Rankings!$B$1:$H$651,7,FALSE)+(RAND()*0.00001)</f>
        <v>-0.24128581267194013</v>
      </c>
      <c r="I39" s="31">
        <f ca="1">H39-VLOOKUP(Settings!$K$2,G$2:H$45,2,FALSE)</f>
        <v>-2.0334154141150136</v>
      </c>
      <c r="J39" s="31" t="str">
        <f>VLOOKUP(A39,Rankings!B:D,3,FALSE)</f>
        <v>NL</v>
      </c>
    </row>
    <row r="40" spans="1:10" ht="18.600000000000001" customHeight="1">
      <c r="A40" s="26" t="s">
        <v>687</v>
      </c>
      <c r="B40" s="27" t="s">
        <v>217</v>
      </c>
      <c r="C40" s="117" t="s">
        <v>7</v>
      </c>
      <c r="D40" s="138">
        <f t="shared" ca="1" si="2"/>
        <v>40</v>
      </c>
      <c r="E40" s="31">
        <f ca="1">VLOOKUP(A40,Rankings!$B$1:$H$651,6,FALSE)+(RAND()*0.00001)</f>
        <v>250.17194669890031</v>
      </c>
      <c r="F40" s="31">
        <f ca="1">E40-VLOOKUP(Settings!$K$2,D$2:E$500,2,FALSE)</f>
        <v>-80.378058379830208</v>
      </c>
      <c r="G40" s="138">
        <f t="shared" ca="1" si="3"/>
        <v>42</v>
      </c>
      <c r="H40" s="31">
        <f ca="1">VLOOKUP(A40,Rankings!$B$1:$H$651,7,FALSE)+(RAND()*0.00001)</f>
        <v>-1.5531440168655637</v>
      </c>
      <c r="I40" s="31">
        <f ca="1">H40-VLOOKUP(Settings!$K$2,G$2:H$45,2,FALSE)</f>
        <v>-3.3452736183086369</v>
      </c>
      <c r="J40" s="31" t="str">
        <f>VLOOKUP(A40,Rankings!B:D,3,FALSE)</f>
        <v>NL</v>
      </c>
    </row>
    <row r="41" spans="1:10" ht="20.100000000000001" customHeight="1">
      <c r="A41" s="26" t="s">
        <v>581</v>
      </c>
      <c r="B41" s="27" t="s">
        <v>140</v>
      </c>
      <c r="C41" s="117" t="s">
        <v>7</v>
      </c>
      <c r="D41" s="138">
        <f t="shared" ca="1" si="2"/>
        <v>41</v>
      </c>
      <c r="E41" s="31">
        <f ca="1">VLOOKUP(A41,Rankings!$B$1:$H$651,6,FALSE)+(RAND()*0.00001)</f>
        <v>239.87389840798755</v>
      </c>
      <c r="F41" s="31">
        <f ca="1">E41-VLOOKUP(Settings!$K$2,D$2:E$500,2,FALSE)</f>
        <v>-90.676106670742968</v>
      </c>
      <c r="G41" s="138">
        <f t="shared" ca="1" si="3"/>
        <v>41</v>
      </c>
      <c r="H41" s="31">
        <f ca="1">VLOOKUP(A41,Rankings!$B$1:$H$651,7,FALSE)+(RAND()*0.00001)</f>
        <v>-1.5428713943349208</v>
      </c>
      <c r="I41" s="31">
        <f ca="1">H41-VLOOKUP(Settings!$K$2,G$2:H$45,2,FALSE)</f>
        <v>-3.3350009957779942</v>
      </c>
      <c r="J41" s="31" t="str">
        <f>VLOOKUP(A41,Rankings!B:D,3,FALSE)</f>
        <v>AL</v>
      </c>
    </row>
    <row r="42" spans="1:10" ht="18.600000000000001" customHeight="1">
      <c r="A42" s="166" t="s">
        <v>760</v>
      </c>
      <c r="B42" s="167" t="s">
        <v>176</v>
      </c>
      <c r="C42" s="117" t="s">
        <v>7</v>
      </c>
      <c r="D42" s="138">
        <f t="shared" ca="1" si="2"/>
        <v>42</v>
      </c>
      <c r="E42" s="31">
        <f ca="1">VLOOKUP(A42,Rankings!$B$1:$H$651,6,FALSE)+(RAND()*0.00001)</f>
        <v>231.00000790434984</v>
      </c>
      <c r="F42" s="31">
        <f ca="1">E42-VLOOKUP(Settings!$K$2,D$2:E$500,2,FALSE)</f>
        <v>-99.549997174380678</v>
      </c>
      <c r="G42" s="138">
        <f t="shared" ca="1" si="3"/>
        <v>44</v>
      </c>
      <c r="H42" s="31">
        <f ca="1">VLOOKUP(A42,Rankings!$B$1:$H$651,7,FALSE)+(RAND()*0.00001)</f>
        <v>-2.1413137421277986</v>
      </c>
      <c r="I42" s="31">
        <f ca="1">H42-VLOOKUP(Settings!$K$2,G$2:H$45,2,FALSE)</f>
        <v>-3.9334433435708718</v>
      </c>
      <c r="J42" s="31" t="str">
        <f>VLOOKUP(A42,Rankings!B:D,3,FALSE)</f>
        <v>NL</v>
      </c>
    </row>
    <row r="43" spans="1:10" ht="18.600000000000001" customHeight="1">
      <c r="A43" s="26" t="s">
        <v>615</v>
      </c>
      <c r="B43" s="27" t="s">
        <v>94</v>
      </c>
      <c r="C43" s="117" t="s">
        <v>7</v>
      </c>
      <c r="D43" s="138">
        <f t="shared" ca="1" si="2"/>
        <v>43</v>
      </c>
      <c r="E43" s="31">
        <f ca="1">VLOOKUP(A43,Rankings!$B$1:$H$651,6,FALSE)+(RAND()*0.00001)</f>
        <v>228.69500604559326</v>
      </c>
      <c r="F43" s="31">
        <f ca="1">E43-VLOOKUP(Settings!$K$2,D$2:E$500,2,FALSE)</f>
        <v>-101.85499903313726</v>
      </c>
      <c r="G43" s="138">
        <f t="shared" ca="1" si="3"/>
        <v>40</v>
      </c>
      <c r="H43" s="31">
        <f ca="1">VLOOKUP(A43,Rankings!$B$1:$H$651,7,FALSE)+(RAND()*0.00001)</f>
        <v>-1.5072107132451293</v>
      </c>
      <c r="I43" s="31">
        <f ca="1">H43-VLOOKUP(Settings!$K$2,G$2:H$45,2,FALSE)</f>
        <v>-3.2993403146882025</v>
      </c>
      <c r="J43" s="31" t="str">
        <f>VLOOKUP(A43,Rankings!B:D,3,FALSE)</f>
        <v>AL</v>
      </c>
    </row>
    <row r="44" spans="1:10" ht="18.600000000000001" customHeight="1">
      <c r="A44" s="26" t="s">
        <v>696</v>
      </c>
      <c r="B44" s="27" t="s">
        <v>63</v>
      </c>
      <c r="C44" s="122" t="s">
        <v>112</v>
      </c>
      <c r="D44" s="138">
        <f t="shared" ca="1" si="2"/>
        <v>44</v>
      </c>
      <c r="E44" s="31">
        <f ca="1">VLOOKUP(A44,Rankings!$B$1:$H$651,6,FALSE)+(RAND()*0.00001)</f>
        <v>220.96167449467248</v>
      </c>
      <c r="F44" s="31">
        <f ca="1">E44-VLOOKUP(Settings!$K$2,D$2:E$500,2,FALSE)</f>
        <v>-109.58833058405804</v>
      </c>
      <c r="G44" s="138">
        <f t="shared" ca="1" si="3"/>
        <v>46</v>
      </c>
      <c r="H44" s="31">
        <f ca="1">VLOOKUP(A44,Rankings!$B$1:$H$651,7,FALSE)+(RAND()*0.00001)</f>
        <v>-2.4594004475482238</v>
      </c>
      <c r="I44" s="31">
        <f ca="1">H44-VLOOKUP(Settings!$K$2,G$2:H$45,2,FALSE)</f>
        <v>-4.2515300489912971</v>
      </c>
      <c r="J44" s="31" t="str">
        <f>VLOOKUP(A44,Rankings!B:D,3,FALSE)</f>
        <v>NL</v>
      </c>
    </row>
    <row r="45" spans="1:10" ht="20.100000000000001" customHeight="1">
      <c r="A45" s="26" t="s">
        <v>698</v>
      </c>
      <c r="B45" s="27" t="s">
        <v>86</v>
      </c>
      <c r="C45" s="122" t="s">
        <v>112</v>
      </c>
      <c r="D45" s="138">
        <f t="shared" ca="1" si="2"/>
        <v>45</v>
      </c>
      <c r="E45" s="31">
        <f ca="1">VLOOKUP(A45,Rankings!$B$1:$H$651,6,FALSE)+(RAND()*0.00001)</f>
        <v>211.61333702155866</v>
      </c>
      <c r="F45" s="31">
        <f ca="1">E45-VLOOKUP(Settings!$K$2,D$2:E$500,2,FALSE)</f>
        <v>-118.93666805717186</v>
      </c>
      <c r="G45" s="138">
        <f t="shared" ca="1" si="3"/>
        <v>45</v>
      </c>
      <c r="H45" s="31">
        <f ca="1">VLOOKUP(A45,Rankings!$B$1:$H$651,7,FALSE)+(RAND()*0.00001)</f>
        <v>-2.365079906588099</v>
      </c>
      <c r="I45" s="31">
        <f ca="1">H45-VLOOKUP(Settings!$K$2,G$2:H$45,2,FALSE)</f>
        <v>-4.1572095080311726</v>
      </c>
      <c r="J45" s="31" t="str">
        <f>VLOOKUP(A45,Rankings!B:D,3,FALSE)</f>
        <v>AL</v>
      </c>
    </row>
    <row r="46" spans="1:10" ht="18.600000000000001" customHeight="1">
      <c r="A46" s="26" t="s">
        <v>576</v>
      </c>
      <c r="B46" s="27" t="s">
        <v>63</v>
      </c>
      <c r="C46" s="122" t="s">
        <v>112</v>
      </c>
      <c r="D46" s="138">
        <f t="shared" ca="1" si="2"/>
        <v>46</v>
      </c>
      <c r="E46" s="31">
        <f ca="1">VLOOKUP(A46,Rankings!$B$1:$H$651,6,FALSE)+(RAND()*0.00001)</f>
        <v>205.63444714752953</v>
      </c>
      <c r="F46" s="31">
        <f ca="1">E46-VLOOKUP(Settings!$K$2,D$2:E$500,2,FALSE)</f>
        <v>-124.91555793120099</v>
      </c>
      <c r="G46" s="138">
        <f t="shared" ca="1" si="3"/>
        <v>43</v>
      </c>
      <c r="H46" s="31">
        <f ca="1">VLOOKUP(A46,Rankings!$B$1:$H$651,7,FALSE)+(RAND()*0.00001)</f>
        <v>-1.9229183883363661</v>
      </c>
      <c r="I46" s="31">
        <f ca="1">H46-VLOOKUP(Settings!$K$2,G$2:H$45,2,FALSE)</f>
        <v>-3.7150479897794395</v>
      </c>
      <c r="J46" s="31" t="str">
        <f>VLOOKUP(A46,Rankings!B:D,3,FALSE)</f>
        <v>NL</v>
      </c>
    </row>
    <row r="47" spans="1:10" ht="20.100000000000001" customHeight="1">
      <c r="A47" s="26" t="s">
        <v>700</v>
      </c>
      <c r="B47" s="27" t="s">
        <v>95</v>
      </c>
      <c r="C47" s="122" t="s">
        <v>112</v>
      </c>
      <c r="D47" s="138">
        <f t="shared" ca="1" si="2"/>
        <v>47</v>
      </c>
      <c r="E47" s="31">
        <f ca="1">VLOOKUP(A47,Rankings!$B$1:$H$651,6,FALSE)+(RAND()*0.00001)</f>
        <v>202.55583625137103</v>
      </c>
      <c r="F47" s="31">
        <f ca="1">E47-VLOOKUP(Settings!$K$2,D$2:E$500,2,FALSE)</f>
        <v>-127.99416882735949</v>
      </c>
      <c r="G47" s="138">
        <f t="shared" ca="1" si="3"/>
        <v>48</v>
      </c>
      <c r="H47" s="31">
        <f ca="1">VLOOKUP(A47,Rankings!$B$1:$H$651,7,FALSE)+(RAND()*0.00001)</f>
        <v>-3.3352881706163613</v>
      </c>
      <c r="I47" s="31">
        <f ca="1">H47-VLOOKUP(Settings!$K$2,G$2:H$45,2,FALSE)</f>
        <v>-5.1274177720594345</v>
      </c>
      <c r="J47" s="31" t="str">
        <f>VLOOKUP(A47,Rankings!B:D,3,FALSE)</f>
        <v>NL</v>
      </c>
    </row>
    <row r="48" spans="1:10" ht="20.100000000000001" customHeight="1">
      <c r="A48" s="26" t="s">
        <v>688</v>
      </c>
      <c r="B48" s="27" t="s">
        <v>158</v>
      </c>
      <c r="C48" s="117" t="s">
        <v>7</v>
      </c>
      <c r="D48" s="138">
        <f t="shared" ca="1" si="2"/>
        <v>48</v>
      </c>
      <c r="E48" s="31">
        <f ca="1">VLOOKUP(A48,Rankings!$B$1:$H$651,6,FALSE)+(RAND()*0.00001)</f>
        <v>161.15138995621908</v>
      </c>
      <c r="F48" s="31">
        <f ca="1">E48-VLOOKUP(Settings!$K$2,D$2:E$500,2,FALSE)</f>
        <v>-169.39861512251144</v>
      </c>
      <c r="G48" s="138">
        <f t="shared" ca="1" si="3"/>
        <v>47</v>
      </c>
      <c r="H48" s="31">
        <f ca="1">VLOOKUP(A48,Rankings!$B$1:$H$651,7,FALSE)+(RAND()*0.00001)</f>
        <v>-3.147661694675961</v>
      </c>
      <c r="I48" s="31">
        <f ca="1">H48-VLOOKUP(Settings!$K$2,G$2:H$45,2,FALSE)</f>
        <v>-4.9397912961190347</v>
      </c>
      <c r="J48" s="31" t="str">
        <f>VLOOKUP(A48,Rankings!B:D,3,FALSE)</f>
        <v>NL</v>
      </c>
    </row>
    <row r="49" spans="1:10" ht="20.100000000000001" customHeight="1">
      <c r="A49" s="26" t="s">
        <v>686</v>
      </c>
      <c r="B49" s="27" t="s">
        <v>120</v>
      </c>
      <c r="C49" s="122" t="s">
        <v>112</v>
      </c>
      <c r="D49" s="138">
        <f t="shared" ca="1" si="2"/>
        <v>49</v>
      </c>
      <c r="E49" s="31">
        <f ca="1">VLOOKUP(A49,Rankings!$B$1:$H$651,6,FALSE)+(RAND()*0.00001)</f>
        <v>157.31500221417122</v>
      </c>
      <c r="F49" s="31">
        <f ca="1">E49-VLOOKUP(Settings!$K$2,D$2:E$500,2,FALSE)</f>
        <v>-173.23500286455931</v>
      </c>
      <c r="G49" s="138">
        <f t="shared" ca="1" si="3"/>
        <v>51</v>
      </c>
      <c r="H49" s="31">
        <f ca="1">VLOOKUP(A49,Rankings!$B$1:$H$651,7,FALSE)+(RAND()*0.00001)</f>
        <v>-3.5611014358582871</v>
      </c>
      <c r="I49" s="31">
        <f ca="1">H49-VLOOKUP(Settings!$K$2,G$2:H$45,2,FALSE)</f>
        <v>-5.3532310373013603</v>
      </c>
      <c r="J49" s="31" t="str">
        <f>VLOOKUP(A49,Rankings!B:D,3,FALSE)</f>
        <v>NL</v>
      </c>
    </row>
    <row r="50" spans="1:10" ht="20.100000000000001" customHeight="1">
      <c r="A50" s="26" t="s">
        <v>703</v>
      </c>
      <c r="B50" s="27" t="s">
        <v>258</v>
      </c>
      <c r="C50" s="122" t="s">
        <v>112</v>
      </c>
      <c r="D50" s="138">
        <f t="shared" ca="1" si="2"/>
        <v>50</v>
      </c>
      <c r="E50" s="31">
        <f ca="1">VLOOKUP(A50,Rankings!$B$1:$H$651,6,FALSE)+(RAND()*0.00001)</f>
        <v>149.40000632404926</v>
      </c>
      <c r="F50" s="31">
        <f ca="1">E50-VLOOKUP(Settings!$K$2,D$2:E$500,2,FALSE)</f>
        <v>-181.14999875468126</v>
      </c>
      <c r="G50" s="138">
        <f t="shared" ca="1" si="3"/>
        <v>53</v>
      </c>
      <c r="H50" s="31">
        <f ca="1">VLOOKUP(A50,Rankings!$B$1:$H$651,7,FALSE)+(RAND()*0.00001)</f>
        <v>-3.8874795038066545</v>
      </c>
      <c r="I50" s="31">
        <f ca="1">H50-VLOOKUP(Settings!$K$2,G$2:H$45,2,FALSE)</f>
        <v>-5.6796091052497282</v>
      </c>
      <c r="J50" s="31" t="str">
        <f>VLOOKUP(A50,Rankings!B:D,3,FALSE)</f>
        <v>AL</v>
      </c>
    </row>
    <row r="51" spans="1:10" ht="20.100000000000001" customHeight="1">
      <c r="A51" s="26" t="s">
        <v>713</v>
      </c>
      <c r="B51" s="27" t="s">
        <v>137</v>
      </c>
      <c r="C51" s="117" t="s">
        <v>7</v>
      </c>
      <c r="D51" s="138">
        <f t="shared" ca="1" si="2"/>
        <v>51</v>
      </c>
      <c r="E51" s="31">
        <f ca="1">VLOOKUP(A51,Rankings!$B$1:$H$651,6,FALSE)+(RAND()*0.00001)</f>
        <v>149.11944663413701</v>
      </c>
      <c r="F51" s="31">
        <f ca="1">E51-VLOOKUP(Settings!$K$2,D$2:E$500,2,FALSE)</f>
        <v>-181.43055844459352</v>
      </c>
      <c r="G51" s="138">
        <f t="shared" ca="1" si="3"/>
        <v>55</v>
      </c>
      <c r="H51" s="31">
        <f ca="1">VLOOKUP(A51,Rankings!$B$1:$H$651,7,FALSE)+(RAND()*0.00001)</f>
        <v>-4.1764552509911015</v>
      </c>
      <c r="I51" s="31">
        <f ca="1">H51-VLOOKUP(Settings!$K$2,G$2:H$45,2,FALSE)</f>
        <v>-5.9685848524341747</v>
      </c>
      <c r="J51" s="31" t="str">
        <f>VLOOKUP(A51,Rankings!B:D,3,FALSE)</f>
        <v>NL</v>
      </c>
    </row>
    <row r="52" spans="1:10" ht="20.100000000000001" customHeight="1">
      <c r="A52" s="26" t="s">
        <v>754</v>
      </c>
      <c r="B52" s="27" t="s">
        <v>223</v>
      </c>
      <c r="C52" s="117" t="s">
        <v>7</v>
      </c>
      <c r="D52" s="138">
        <f t="shared" ca="1" si="2"/>
        <v>52</v>
      </c>
      <c r="E52" s="31">
        <f ca="1">VLOOKUP(A52,Rankings!$B$1:$H$651,6,FALSE)+(RAND()*0.00001)</f>
        <v>146.05312503012865</v>
      </c>
      <c r="F52" s="31">
        <f ca="1">E52-VLOOKUP(Settings!$K$2,D$2:E$500,2,FALSE)</f>
        <v>-184.49688004860187</v>
      </c>
      <c r="G52" s="138">
        <f t="shared" ca="1" si="3"/>
        <v>50</v>
      </c>
      <c r="H52" s="31">
        <f ca="1">VLOOKUP(A52,Rankings!$B$1:$H$651,7,FALSE)+(RAND()*0.00001)</f>
        <v>-3.5588732860258165</v>
      </c>
      <c r="I52" s="31">
        <f ca="1">H52-VLOOKUP(Settings!$K$2,G$2:H$45,2,FALSE)</f>
        <v>-5.3510028874688897</v>
      </c>
      <c r="J52" s="31" t="str">
        <f>VLOOKUP(A52,Rankings!B:D,3,FALSE)</f>
        <v>NL</v>
      </c>
    </row>
    <row r="53" spans="1:10" ht="20.100000000000001" customHeight="1">
      <c r="A53" s="26" t="s">
        <v>705</v>
      </c>
      <c r="B53" s="27" t="s">
        <v>97</v>
      </c>
      <c r="C53" s="117" t="s">
        <v>7</v>
      </c>
      <c r="D53" s="138">
        <f t="shared" ca="1" si="2"/>
        <v>53</v>
      </c>
      <c r="E53" s="31">
        <f ca="1">VLOOKUP(A53,Rankings!$B$1:$H$651,6,FALSE)+(RAND()*0.00001)</f>
        <v>140.69333905842146</v>
      </c>
      <c r="F53" s="31">
        <f ca="1">E53-VLOOKUP(Settings!$K$2,D$2:E$500,2,FALSE)</f>
        <v>-189.85666602030906</v>
      </c>
      <c r="G53" s="138">
        <f t="shared" ca="1" si="3"/>
        <v>54</v>
      </c>
      <c r="H53" s="31">
        <f ca="1">VLOOKUP(A53,Rankings!$B$1:$H$651,7,FALSE)+(RAND()*0.00001)</f>
        <v>-4.0170855411120634</v>
      </c>
      <c r="I53" s="31">
        <f ca="1">H53-VLOOKUP(Settings!$K$2,G$2:H$45,2,FALSE)</f>
        <v>-5.8092151425551366</v>
      </c>
      <c r="J53" s="31" t="str">
        <f>VLOOKUP(A53,Rankings!B:D,3,FALSE)</f>
        <v>NL</v>
      </c>
    </row>
    <row r="54" spans="1:10" ht="20.100000000000001" customHeight="1">
      <c r="A54" s="26" t="s">
        <v>656</v>
      </c>
      <c r="B54" s="27" t="s">
        <v>158</v>
      </c>
      <c r="C54" s="122" t="s">
        <v>112</v>
      </c>
      <c r="D54" s="138">
        <f t="shared" ca="1" si="2"/>
        <v>54</v>
      </c>
      <c r="E54" s="31">
        <f ca="1">VLOOKUP(A54,Rankings!$B$1:$H$651,6,FALSE)+(RAND()*0.00001)</f>
        <v>137.27278119375441</v>
      </c>
      <c r="F54" s="31">
        <f ca="1">E54-VLOOKUP(Settings!$K$2,D$2:E$500,2,FALSE)</f>
        <v>-193.27722388497611</v>
      </c>
      <c r="G54" s="138">
        <f t="shared" ca="1" si="3"/>
        <v>52</v>
      </c>
      <c r="H54" s="31">
        <f ca="1">VLOOKUP(A54,Rankings!$B$1:$H$651,7,FALSE)+(RAND()*0.00001)</f>
        <v>-3.7010733012293859</v>
      </c>
      <c r="I54" s="31">
        <f ca="1">H54-VLOOKUP(Settings!$K$2,G$2:H$45,2,FALSE)</f>
        <v>-5.4932029026724596</v>
      </c>
      <c r="J54" s="31" t="str">
        <f>VLOOKUP(A54,Rankings!B:D,3,FALSE)</f>
        <v>NL</v>
      </c>
    </row>
    <row r="55" spans="1:10" ht="20.100000000000001" customHeight="1">
      <c r="A55" s="26" t="s">
        <v>718</v>
      </c>
      <c r="B55" s="27" t="s">
        <v>94</v>
      </c>
      <c r="C55" s="117" t="s">
        <v>7</v>
      </c>
      <c r="D55" s="138">
        <f t="shared" ca="1" si="2"/>
        <v>55</v>
      </c>
      <c r="E55" s="31">
        <f ca="1">VLOOKUP(A55,Rankings!$B$1:$H$651,6,FALSE)+(RAND()*0.00001)</f>
        <v>133.75444968589326</v>
      </c>
      <c r="F55" s="31">
        <f ca="1">E55-VLOOKUP(Settings!$K$2,D$2:E$500,2,FALSE)</f>
        <v>-196.79555539283726</v>
      </c>
      <c r="G55" s="138">
        <f t="shared" ca="1" si="3"/>
        <v>59</v>
      </c>
      <c r="H55" s="31">
        <f ca="1">VLOOKUP(A55,Rankings!$B$1:$H$651,7,FALSE)+(RAND()*0.00001)</f>
        <v>-5.1035173869663408</v>
      </c>
      <c r="I55" s="31">
        <f ca="1">H55-VLOOKUP(Settings!$K$2,G$2:H$45,2,FALSE)</f>
        <v>-6.895646988409414</v>
      </c>
      <c r="J55" s="31" t="str">
        <f>VLOOKUP(A55,Rankings!B:D,3,FALSE)</f>
        <v>AL</v>
      </c>
    </row>
    <row r="56" spans="1:10" ht="20.100000000000001" customHeight="1">
      <c r="A56" s="26" t="s">
        <v>727</v>
      </c>
      <c r="B56" s="27" t="s">
        <v>117</v>
      </c>
      <c r="C56" s="117" t="s">
        <v>7</v>
      </c>
      <c r="D56" s="138">
        <f t="shared" ca="1" si="2"/>
        <v>56</v>
      </c>
      <c r="E56" s="31">
        <f ca="1">VLOOKUP(A56,Rankings!$B$1:$H$651,6,FALSE)+(RAND()*0.00001)</f>
        <v>132.22611181147943</v>
      </c>
      <c r="F56" s="31">
        <f ca="1">E56-VLOOKUP(Settings!$K$2,D$2:E$500,2,FALSE)</f>
        <v>-198.32389326725109</v>
      </c>
      <c r="G56" s="138">
        <f t="shared" ca="1" si="3"/>
        <v>56</v>
      </c>
      <c r="H56" s="31">
        <f ca="1">VLOOKUP(A56,Rankings!$B$1:$H$651,7,FALSE)+(RAND()*0.00001)</f>
        <v>-4.963282771617421</v>
      </c>
      <c r="I56" s="31">
        <f ca="1">H56-VLOOKUP(Settings!$K$2,G$2:H$45,2,FALSE)</f>
        <v>-6.7554123730604942</v>
      </c>
      <c r="J56" s="31" t="str">
        <f>VLOOKUP(A56,Rankings!B:D,3,FALSE)</f>
        <v>AL</v>
      </c>
    </row>
    <row r="57" spans="1:10" ht="20.100000000000001" customHeight="1">
      <c r="A57" s="26" t="s">
        <v>704</v>
      </c>
      <c r="B57" s="27" t="s">
        <v>91</v>
      </c>
      <c r="C57" s="122" t="s">
        <v>112</v>
      </c>
      <c r="D57" s="138">
        <f t="shared" ca="1" si="2"/>
        <v>24</v>
      </c>
      <c r="E57" s="31">
        <f ca="1">VLOOKUP(A57,Rankings!$B$1:$H$651,6,FALSE)+(RAND()*0.00001)</f>
        <v>330.55000507873052</v>
      </c>
      <c r="F57" s="31">
        <f ca="1">E57-VLOOKUP(Settings!$K$2,D$2:E$500,2,FALSE)</f>
        <v>0</v>
      </c>
      <c r="G57" s="138">
        <f t="shared" ca="1" si="3"/>
        <v>27</v>
      </c>
      <c r="H57" s="31">
        <f ca="1">VLOOKUP(A57,Rankings!$B$1:$H$651,7,FALSE)+(RAND()*0.00001)</f>
        <v>1.3228987626378175</v>
      </c>
      <c r="I57" s="31">
        <f ca="1">H57-VLOOKUP(Settings!$K$2,G$2:H$45,2,FALSE)</f>
        <v>-0.46923083880525596</v>
      </c>
      <c r="J57" s="31" t="str">
        <f>VLOOKUP(A57,Rankings!B:D,3,FALSE)</f>
        <v>NL</v>
      </c>
    </row>
    <row r="58" spans="1:10" ht="20.100000000000001" customHeight="1">
      <c r="A58" s="26" t="s">
        <v>672</v>
      </c>
      <c r="B58" s="27"/>
      <c r="C58" s="117" t="s">
        <v>7</v>
      </c>
      <c r="D58" s="138">
        <f t="shared" ca="1" si="2"/>
        <v>57</v>
      </c>
      <c r="E58" s="31">
        <f ca="1">VLOOKUP(A58,Rankings!$B$1:$H$651,6,FALSE)+(RAND()*0.00001)</f>
        <v>127.82277999896044</v>
      </c>
      <c r="F58" s="31">
        <f ca="1">E58-VLOOKUP(Settings!$K$2,D$2:E$500,2,FALSE)</f>
        <v>-202.72722507977008</v>
      </c>
      <c r="G58" s="138">
        <f t="shared" ca="1" si="3"/>
        <v>49</v>
      </c>
      <c r="H58" s="31">
        <f ca="1">VLOOKUP(A58,Rankings!$B$1:$H$651,7,FALSE)+(RAND()*0.00001)</f>
        <v>-3.3431788805489568</v>
      </c>
      <c r="I58" s="31">
        <f ca="1">H58-VLOOKUP(Settings!$K$2,G$2:H$45,2,FALSE)</f>
        <v>-5.1353084819920305</v>
      </c>
      <c r="J58" s="31" t="str">
        <f>VLOOKUP(A58,Rankings!B:D,3,FALSE)</f>
        <v>AL</v>
      </c>
    </row>
    <row r="59" spans="1:10" ht="20.100000000000001" customHeight="1">
      <c r="A59" s="26" t="s">
        <v>725</v>
      </c>
      <c r="B59" s="27" t="s">
        <v>140</v>
      </c>
      <c r="C59" s="117" t="s">
        <v>7</v>
      </c>
      <c r="D59" s="138">
        <f t="shared" ca="1" si="2"/>
        <v>58</v>
      </c>
      <c r="E59" s="31">
        <f ca="1">VLOOKUP(A59,Rankings!$B$1:$H$651,6,FALSE)+(RAND()*0.00001)</f>
        <v>115.84333385850245</v>
      </c>
      <c r="F59" s="31">
        <f ca="1">E59-VLOOKUP(Settings!$K$2,D$2:E$500,2,FALSE)</f>
        <v>-214.70667122022809</v>
      </c>
      <c r="G59" s="138">
        <f t="shared" ca="1" si="3"/>
        <v>62</v>
      </c>
      <c r="H59" s="31">
        <f ca="1">VLOOKUP(A59,Rankings!$B$1:$H$651,7,FALSE)+(RAND()*0.00001)</f>
        <v>-5.9329998304440164</v>
      </c>
      <c r="I59" s="31">
        <f ca="1">H59-VLOOKUP(Settings!$K$2,G$2:H$45,2,FALSE)</f>
        <v>-7.7251294318870896</v>
      </c>
      <c r="J59" s="31" t="str">
        <f>VLOOKUP(A59,Rankings!B:D,3,FALSE)</f>
        <v>AL</v>
      </c>
    </row>
    <row r="60" spans="1:10" ht="20.100000000000001" customHeight="1">
      <c r="A60" s="26" t="s">
        <v>717</v>
      </c>
      <c r="B60" s="27" t="s">
        <v>103</v>
      </c>
      <c r="C60" s="117" t="s">
        <v>7</v>
      </c>
      <c r="D60" s="138">
        <f t="shared" ca="1" si="2"/>
        <v>59</v>
      </c>
      <c r="E60" s="31">
        <f ca="1">VLOOKUP(A60,Rankings!$B$1:$H$651,6,FALSE)+(RAND()*0.00001)</f>
        <v>112.29056268262512</v>
      </c>
      <c r="F60" s="31">
        <f ca="1">E60-VLOOKUP(Settings!$K$2,D$2:E$500,2,FALSE)</f>
        <v>-218.25944239610538</v>
      </c>
      <c r="G60" s="138">
        <f t="shared" ca="1" si="3"/>
        <v>58</v>
      </c>
      <c r="H60" s="31">
        <f ca="1">VLOOKUP(A60,Rankings!$B$1:$H$651,7,FALSE)+(RAND()*0.00001)</f>
        <v>-5.0981472089329403</v>
      </c>
      <c r="I60" s="31">
        <f ca="1">H60-VLOOKUP(Settings!$K$2,G$2:H$45,2,FALSE)</f>
        <v>-6.8902768103760135</v>
      </c>
      <c r="J60" s="31" t="str">
        <f>VLOOKUP(A60,Rankings!B:D,3,FALSE)</f>
        <v>AL</v>
      </c>
    </row>
    <row r="61" spans="1:10" ht="20.100000000000001" customHeight="1">
      <c r="A61" s="26" t="s">
        <v>633</v>
      </c>
      <c r="B61" s="27"/>
      <c r="C61" s="117" t="s">
        <v>7</v>
      </c>
      <c r="D61" s="138">
        <f t="shared" ca="1" si="2"/>
        <v>60</v>
      </c>
      <c r="E61" s="31">
        <f ca="1">VLOOKUP(A61,Rankings!$B$1:$H$651,6,FALSE)+(RAND()*0.00001)</f>
        <v>105.88277842894614</v>
      </c>
      <c r="F61" s="31">
        <f ca="1">E61-VLOOKUP(Settings!$K$2,D$2:E$500,2,FALSE)</f>
        <v>-224.66722664978437</v>
      </c>
      <c r="G61" s="138">
        <f t="shared" ca="1" si="3"/>
        <v>60</v>
      </c>
      <c r="H61" s="31">
        <f ca="1">VLOOKUP(A61,Rankings!$B$1:$H$651,7,FALSE)+(RAND()*0.00001)</f>
        <v>-5.2709789392408295</v>
      </c>
      <c r="I61" s="31">
        <f ca="1">H61-VLOOKUP(Settings!$K$2,G$2:H$45,2,FALSE)</f>
        <v>-7.0631085406839027</v>
      </c>
      <c r="J61" s="31" t="str">
        <f>VLOOKUP(A61,Rankings!B:D,3,FALSE)</f>
        <v>AL</v>
      </c>
    </row>
    <row r="62" spans="1:10" ht="20.100000000000001" customHeight="1">
      <c r="A62" s="26" t="s">
        <v>722</v>
      </c>
      <c r="B62" s="27" t="s">
        <v>71</v>
      </c>
      <c r="C62" s="122" t="s">
        <v>112</v>
      </c>
      <c r="D62" s="138">
        <f t="shared" ca="1" si="2"/>
        <v>61</v>
      </c>
      <c r="E62" s="31">
        <f ca="1">VLOOKUP(A62,Rankings!$B$1:$H$651,6,FALSE)+(RAND()*0.00001)</f>
        <v>94.023342764687101</v>
      </c>
      <c r="F62" s="31">
        <f ca="1">E62-VLOOKUP(Settings!$K$2,D$2:E$500,2,FALSE)</f>
        <v>-236.52666231404342</v>
      </c>
      <c r="G62" s="138">
        <f t="shared" ca="1" si="3"/>
        <v>61</v>
      </c>
      <c r="H62" s="31">
        <f ca="1">VLOOKUP(A62,Rankings!$B$1:$H$651,7,FALSE)+(RAND()*0.00001)</f>
        <v>-5.6533577315557171</v>
      </c>
      <c r="I62" s="31">
        <f ca="1">H62-VLOOKUP(Settings!$K$2,G$2:H$45,2,FALSE)</f>
        <v>-7.4454873329987903</v>
      </c>
      <c r="J62" s="31" t="str">
        <f>VLOOKUP(A62,Rankings!B:D,3,FALSE)</f>
        <v>AL</v>
      </c>
    </row>
    <row r="63" spans="1:10" ht="20.100000000000001" customHeight="1">
      <c r="A63" s="26" t="s">
        <v>724</v>
      </c>
      <c r="B63" s="27" t="s">
        <v>76</v>
      </c>
      <c r="C63" s="122" t="s">
        <v>112</v>
      </c>
      <c r="D63" s="138">
        <f t="shared" ca="1" si="2"/>
        <v>62</v>
      </c>
      <c r="E63" s="133">
        <f ca="1">VLOOKUP(A63,Rankings!$B$1:$H$651,6,FALSE)+(RAND()*0.00001)</f>
        <v>90.176668573462223</v>
      </c>
      <c r="F63" s="31">
        <f ca="1">E63-VLOOKUP(Settings!$K$2,D$2:E$500,2,FALSE)</f>
        <v>-240.3733365052683</v>
      </c>
      <c r="G63" s="138">
        <f t="shared" ca="1" si="3"/>
        <v>57</v>
      </c>
      <c r="H63" s="31">
        <f ca="1">VLOOKUP(A63,Rankings!$B$1:$H$651,7,FALSE)+(RAND()*0.00001)</f>
        <v>-5.0972224830163642</v>
      </c>
      <c r="I63" s="31">
        <f ca="1">H63-VLOOKUP(Settings!$K$2,G$2:H$45,2,FALSE)</f>
        <v>-6.8893520844594374</v>
      </c>
      <c r="J63" s="31" t="str">
        <f>VLOOKUP(A63,Rankings!B:D,3,FALSE)</f>
        <v>AL</v>
      </c>
    </row>
    <row r="64" spans="1:10" ht="20.100000000000001" customHeight="1">
      <c r="J64" s="31"/>
    </row>
    <row r="65" spans="10:10" ht="20.100000000000001" customHeight="1">
      <c r="J65" s="31"/>
    </row>
    <row r="66" spans="10:10" ht="20.100000000000001" customHeight="1">
      <c r="J66" s="31"/>
    </row>
    <row r="67" spans="10:10" ht="20.100000000000001" customHeight="1">
      <c r="J67" s="31"/>
    </row>
    <row r="68" spans="10:10" ht="20.100000000000001" customHeight="1">
      <c r="J68" s="31"/>
    </row>
    <row r="69" spans="10:10" ht="20.100000000000001" customHeight="1">
      <c r="J69" s="31"/>
    </row>
    <row r="70" spans="10:10" ht="20.100000000000001" customHeight="1">
      <c r="J70" s="31"/>
    </row>
    <row r="71" spans="10:10" ht="20.100000000000001" customHeight="1">
      <c r="J71" s="31"/>
    </row>
    <row r="72" spans="10:10" ht="20.100000000000001" customHeight="1">
      <c r="J72" s="31"/>
    </row>
    <row r="73" spans="10:10" ht="20.100000000000001" customHeight="1">
      <c r="J73" s="31"/>
    </row>
    <row r="74" spans="10:10" ht="20.100000000000001" customHeight="1">
      <c r="J74" s="31"/>
    </row>
    <row r="75" spans="10:10" ht="20.100000000000001" customHeight="1">
      <c r="J75" s="31"/>
    </row>
    <row r="76" spans="10:10" ht="20.100000000000001" customHeight="1">
      <c r="J76" s="31"/>
    </row>
    <row r="77" spans="10:10" ht="20.100000000000001" customHeight="1">
      <c r="J77" s="31"/>
    </row>
    <row r="78" spans="10:10" ht="20.100000000000001" customHeight="1">
      <c r="J78" s="31"/>
    </row>
    <row r="79" spans="10:10" ht="20.100000000000001" customHeight="1">
      <c r="J79" s="31"/>
    </row>
    <row r="80" spans="10:10" ht="20.100000000000001" customHeight="1">
      <c r="J80" s="31"/>
    </row>
    <row r="81" spans="10:10" ht="20.100000000000001" customHeight="1">
      <c r="J81" s="31"/>
    </row>
    <row r="82" spans="10:10" ht="20.100000000000001" customHeight="1">
      <c r="J82" s="31"/>
    </row>
    <row r="83" spans="10:10" ht="20.100000000000001" customHeight="1">
      <c r="J83" s="31"/>
    </row>
    <row r="84" spans="10:10" ht="20.100000000000001" customHeight="1">
      <c r="J84" s="31"/>
    </row>
    <row r="85" spans="10:10" ht="20.100000000000001" customHeight="1">
      <c r="J85" s="31"/>
    </row>
    <row r="86" spans="10:10" ht="20.100000000000001" customHeight="1">
      <c r="J86" s="31"/>
    </row>
    <row r="87" spans="10:10" ht="20.100000000000001" customHeight="1">
      <c r="J87" s="31"/>
    </row>
    <row r="88" spans="10:10" ht="20.100000000000001" customHeight="1">
      <c r="J88" s="31"/>
    </row>
    <row r="89" spans="10:10" ht="20.100000000000001" customHeight="1">
      <c r="J89" s="31"/>
    </row>
    <row r="90" spans="10:10" ht="20.100000000000001" customHeight="1">
      <c r="J90" s="31"/>
    </row>
    <row r="91" spans="10:10" ht="20.100000000000001" customHeight="1">
      <c r="J91" s="31"/>
    </row>
    <row r="92" spans="10:10" ht="20.100000000000001" customHeight="1">
      <c r="J92" s="31"/>
    </row>
    <row r="93" spans="10:10" ht="20.100000000000001" customHeight="1">
      <c r="J93" s="31"/>
    </row>
    <row r="94" spans="10:10" ht="20.100000000000001" customHeight="1">
      <c r="J94" s="31"/>
    </row>
    <row r="95" spans="10:10" ht="20.100000000000001" customHeight="1">
      <c r="J95" s="31"/>
    </row>
    <row r="96" spans="10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63" xr:uid="{00000000-0001-0000-0500-000000000000}">
    <sortState xmlns:xlrd2="http://schemas.microsoft.com/office/spreadsheetml/2017/richdata2" ref="A2:I63">
      <sortCondition ref="D1:D63"/>
    </sortState>
  </autoFilter>
  <sortState xmlns:xlrd2="http://schemas.microsoft.com/office/spreadsheetml/2017/richdata2" ref="A2:J401">
    <sortCondition ref="D2:D401"/>
  </sortState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145</v>
      </c>
      <c r="B2" s="27" t="s">
        <v>78</v>
      </c>
      <c r="C2" s="119" t="s">
        <v>11</v>
      </c>
      <c r="D2" s="138">
        <f t="shared" ref="D2:D33" ca="1" si="0">RANK(E2,E$2:E$50)</f>
        <v>16</v>
      </c>
      <c r="E2" s="31">
        <f ca="1">VLOOKUP(A2,Rankings!$B$1:$H$651,6,FALSE)+(RAND()*0.00001)</f>
        <v>329.69500696161055</v>
      </c>
      <c r="F2" s="31">
        <f ca="1">E2-VLOOKUP(Settings!$K$3,D$2:E$500,2,FALSE)</f>
        <v>41.216671566727484</v>
      </c>
      <c r="G2" s="138">
        <f t="shared" ref="G2:G33" ca="1" si="1">RANK(H2,H$2:H$500)</f>
        <v>12</v>
      </c>
      <c r="H2" s="31">
        <f ca="1">VLOOKUP(A2,Rankings!$B$1:$H$651,7,FALSE)+(RAND()*0.00001)</f>
        <v>2.8839716322024946</v>
      </c>
      <c r="I2" s="31">
        <f ca="1">H2-VLOOKUP(Settings!$K$3,G$2:H$45,2,FALSE)</f>
        <v>2.3396522767788035</v>
      </c>
      <c r="J2" s="31" t="str">
        <f>VLOOKUP(A2,Rankings!B:D,3,FALSE)</f>
        <v>AL</v>
      </c>
    </row>
    <row r="3" spans="1:10" ht="18.600000000000001" customHeight="1">
      <c r="A3" s="26" t="s">
        <v>148</v>
      </c>
      <c r="B3" s="27" t="s">
        <v>86</v>
      </c>
      <c r="C3" s="119" t="s">
        <v>11</v>
      </c>
      <c r="D3" s="138">
        <f t="shared" ca="1" si="0"/>
        <v>1</v>
      </c>
      <c r="E3" s="31">
        <f ca="1">VLOOKUP(A3,Rankings!$B$1:$H$651,6,FALSE)+(RAND()*0.00001)</f>
        <v>468.45000900210692</v>
      </c>
      <c r="F3" s="31">
        <f ca="1">E3-VLOOKUP(Settings!$K$3,D$2:E$500,2,FALSE)</f>
        <v>179.97167360722386</v>
      </c>
      <c r="G3" s="138">
        <f t="shared" ca="1" si="1"/>
        <v>2</v>
      </c>
      <c r="H3" s="31">
        <f ca="1">VLOOKUP(A3,Rankings!$B$1:$H$651,7,FALSE)+(RAND()*0.00001)</f>
        <v>6.5830001347814999</v>
      </c>
      <c r="I3" s="31">
        <f ca="1">H3-VLOOKUP(Settings!$K$3,G$2:H$45,2,FALSE)</f>
        <v>6.0386807793578088</v>
      </c>
      <c r="J3" s="31" t="str">
        <f>VLOOKUP(A3,Rankings!B:D,3,FALSE)</f>
        <v>AL</v>
      </c>
    </row>
    <row r="4" spans="1:10" ht="18.600000000000001" customHeight="1">
      <c r="A4" s="26" t="s">
        <v>196</v>
      </c>
      <c r="B4" s="27" t="s">
        <v>73</v>
      </c>
      <c r="C4" s="119" t="s">
        <v>11</v>
      </c>
      <c r="D4" s="138">
        <f t="shared" ca="1" si="0"/>
        <v>3</v>
      </c>
      <c r="E4" s="31">
        <f ca="1">VLOOKUP(A4,Rankings!$B$1:$H$651,6,FALSE)+(RAND()*0.00001)</f>
        <v>415.12555782921373</v>
      </c>
      <c r="F4" s="31">
        <f ca="1">E4-VLOOKUP(Settings!$K$3,D$2:E$500,2,FALSE)</f>
        <v>126.64722243433067</v>
      </c>
      <c r="G4" s="138">
        <f t="shared" ca="1" si="1"/>
        <v>5</v>
      </c>
      <c r="H4" s="31">
        <f ca="1">VLOOKUP(A4,Rankings!$B$1:$H$651,7,FALSE)+(RAND()*0.00001)</f>
        <v>5.4976130211900216</v>
      </c>
      <c r="I4" s="31">
        <f ca="1">H4-VLOOKUP(Settings!$K$3,G$2:H$45,2,FALSE)</f>
        <v>4.9532936657663305</v>
      </c>
      <c r="J4" s="31" t="str">
        <f>VLOOKUP(A4,Rankings!B:D,3,FALSE)</f>
        <v>NL</v>
      </c>
    </row>
    <row r="5" spans="1:10" ht="18.600000000000001" customHeight="1">
      <c r="A5" s="26" t="s">
        <v>192</v>
      </c>
      <c r="B5" s="27" t="s">
        <v>123</v>
      </c>
      <c r="C5" s="119" t="s">
        <v>11</v>
      </c>
      <c r="D5" s="138">
        <f t="shared" ca="1" si="0"/>
        <v>2</v>
      </c>
      <c r="E5" s="31">
        <f ca="1">VLOOKUP(A5,Rankings!$B$1:$H$651,6,FALSE)+(RAND()*0.00001)</f>
        <v>416.01055647092545</v>
      </c>
      <c r="F5" s="31">
        <f ca="1">E5-VLOOKUP(Settings!$K$3,D$2:E$500,2,FALSE)</f>
        <v>127.53222107604239</v>
      </c>
      <c r="G5" s="138">
        <f t="shared" ca="1" si="1"/>
        <v>3</v>
      </c>
      <c r="H5" s="31">
        <f ca="1">VLOOKUP(A5,Rankings!$B$1:$H$651,7,FALSE)+(RAND()*0.00001)</f>
        <v>5.6664626119607364</v>
      </c>
      <c r="I5" s="31">
        <f ca="1">H5-VLOOKUP(Settings!$K$3,G$2:H$45,2,FALSE)</f>
        <v>5.1221432565370453</v>
      </c>
      <c r="J5" s="31" t="str">
        <f>VLOOKUP(A5,Rankings!B:D,3,FALSE)</f>
        <v>NL</v>
      </c>
    </row>
    <row r="6" spans="1:10" ht="20.100000000000001" customHeight="1">
      <c r="A6" s="26" t="s">
        <v>160</v>
      </c>
      <c r="B6" s="27" t="s">
        <v>134</v>
      </c>
      <c r="C6" s="119" t="s">
        <v>11</v>
      </c>
      <c r="D6" s="138">
        <f t="shared" ca="1" si="0"/>
        <v>4</v>
      </c>
      <c r="E6" s="31">
        <f ca="1">VLOOKUP(A6,Rankings!$B$1:$H$651,6,FALSE)+(RAND()*0.00001)</f>
        <v>407.44722615842824</v>
      </c>
      <c r="F6" s="31">
        <f ca="1">E6-VLOOKUP(Settings!$K$3,D$2:E$500,2,FALSE)</f>
        <v>118.96889076354518</v>
      </c>
      <c r="G6" s="138">
        <f t="shared" ca="1" si="1"/>
        <v>1</v>
      </c>
      <c r="H6" s="31">
        <f ca="1">VLOOKUP(A6,Rankings!$B$1:$H$651,7,FALSE)+(RAND()*0.00001)</f>
        <v>6.5904362971933486</v>
      </c>
      <c r="I6" s="31">
        <f ca="1">H6-VLOOKUP(Settings!$K$3,G$2:H$45,2,FALSE)</f>
        <v>6.0461169417696574</v>
      </c>
      <c r="J6" s="31" t="str">
        <f>VLOOKUP(A6,Rankings!B:D,3,FALSE)</f>
        <v>NL</v>
      </c>
    </row>
    <row r="7" spans="1:10" ht="18.600000000000001" customHeight="1">
      <c r="A7" s="26" t="s">
        <v>265</v>
      </c>
      <c r="B7" s="27" t="s">
        <v>156</v>
      </c>
      <c r="C7" s="119" t="s">
        <v>11</v>
      </c>
      <c r="D7" s="138">
        <f t="shared" ca="1" si="0"/>
        <v>8</v>
      </c>
      <c r="E7" s="31">
        <f ca="1">VLOOKUP(A7,Rankings!$B$1:$H$651,6,FALSE)+(RAND()*0.00001)</f>
        <v>384.51666789124977</v>
      </c>
      <c r="F7" s="31">
        <f ca="1">E7-VLOOKUP(Settings!$K$3,D$2:E$500,2,FALSE)</f>
        <v>96.038332496366706</v>
      </c>
      <c r="G7" s="138">
        <f t="shared" ca="1" si="1"/>
        <v>8</v>
      </c>
      <c r="H7" s="31">
        <f ca="1">VLOOKUP(A7,Rankings!$B$1:$H$651,7,FALSE)+(RAND()*0.00001)</f>
        <v>3.5075996575264363</v>
      </c>
      <c r="I7" s="31">
        <f ca="1">H7-VLOOKUP(Settings!$K$3,G$2:H$45,2,FALSE)</f>
        <v>2.9632803021027452</v>
      </c>
      <c r="J7" s="31" t="str">
        <f>VLOOKUP(A7,Rankings!B:D,3,FALSE)</f>
        <v>AL</v>
      </c>
    </row>
    <row r="8" spans="1:10" ht="18.600000000000001" customHeight="1">
      <c r="A8" s="26" t="s">
        <v>186</v>
      </c>
      <c r="B8" s="27" t="s">
        <v>76</v>
      </c>
      <c r="C8" s="119" t="s">
        <v>11</v>
      </c>
      <c r="D8" s="138">
        <f t="shared" ca="1" si="0"/>
        <v>5</v>
      </c>
      <c r="E8" s="31">
        <f ca="1">VLOOKUP(A8,Rankings!$B$1:$H$651,6,FALSE)+(RAND()*0.00001)</f>
        <v>391.04889683979491</v>
      </c>
      <c r="F8" s="31">
        <f ca="1">E8-VLOOKUP(Settings!$K$3,D$2:E$500,2,FALSE)</f>
        <v>102.57056144491185</v>
      </c>
      <c r="G8" s="138">
        <f t="shared" ca="1" si="1"/>
        <v>4</v>
      </c>
      <c r="H8" s="31">
        <f ca="1">VLOOKUP(A8,Rankings!$B$1:$H$651,7,FALSE)+(RAND()*0.00001)</f>
        <v>5.5818878657380875</v>
      </c>
      <c r="I8" s="31">
        <f ca="1">H8-VLOOKUP(Settings!$K$3,G$2:H$45,2,FALSE)</f>
        <v>5.0375685103143963</v>
      </c>
      <c r="J8" s="31" t="str">
        <f>VLOOKUP(A8,Rankings!B:D,3,FALSE)</f>
        <v>AL</v>
      </c>
    </row>
    <row r="9" spans="1:10" ht="18.600000000000001" customHeight="1">
      <c r="A9" s="26" t="s">
        <v>338</v>
      </c>
      <c r="B9" s="27" t="s">
        <v>63</v>
      </c>
      <c r="C9" s="119" t="s">
        <v>11</v>
      </c>
      <c r="D9" s="138">
        <f t="shared" ca="1" si="0"/>
        <v>6</v>
      </c>
      <c r="E9" s="31">
        <f ca="1">VLOOKUP(A9,Rankings!$B$1:$H$651,6,FALSE)+(RAND()*0.00001)</f>
        <v>389.44889220298558</v>
      </c>
      <c r="F9" s="31">
        <f ca="1">E9-VLOOKUP(Settings!$K$3,D$2:E$500,2,FALSE)</f>
        <v>100.97055680810251</v>
      </c>
      <c r="G9" s="138">
        <f t="shared" ca="1" si="1"/>
        <v>16</v>
      </c>
      <c r="H9" s="31">
        <f ca="1">VLOOKUP(A9,Rankings!$B$1:$H$651,7,FALSE)+(RAND()*0.00001)</f>
        <v>2.5221773724171856</v>
      </c>
      <c r="I9" s="31">
        <f ca="1">H9-VLOOKUP(Settings!$K$3,G$2:H$45,2,FALSE)</f>
        <v>1.9778580169934945</v>
      </c>
      <c r="J9" s="31" t="str">
        <f>VLOOKUP(A9,Rankings!B:D,3,FALSE)</f>
        <v>NL</v>
      </c>
    </row>
    <row r="10" spans="1:10" ht="20.100000000000001" customHeight="1">
      <c r="A10" s="26" t="s">
        <v>322</v>
      </c>
      <c r="B10" s="27" t="s">
        <v>120</v>
      </c>
      <c r="C10" s="119" t="s">
        <v>11</v>
      </c>
      <c r="D10" s="138">
        <f t="shared" ca="1" si="0"/>
        <v>7</v>
      </c>
      <c r="E10" s="31">
        <f ca="1">VLOOKUP(A10,Rankings!$B$1:$H$651,6,FALSE)+(RAND()*0.00001)</f>
        <v>387.06944663037262</v>
      </c>
      <c r="F10" s="31">
        <f ca="1">E10-VLOOKUP(Settings!$K$3,D$2:E$500,2,FALSE)</f>
        <v>98.591111235489564</v>
      </c>
      <c r="G10" s="138">
        <f t="shared" ca="1" si="1"/>
        <v>9</v>
      </c>
      <c r="H10" s="31">
        <f ca="1">VLOOKUP(A10,Rankings!$B$1:$H$651,7,FALSE)+(RAND()*0.00001)</f>
        <v>3.1071210172122559</v>
      </c>
      <c r="I10" s="31">
        <f ca="1">H10-VLOOKUP(Settings!$K$3,G$2:H$45,2,FALSE)</f>
        <v>2.5628016617885647</v>
      </c>
      <c r="J10" s="31" t="str">
        <f>VLOOKUP(A10,Rankings!B:D,3,FALSE)</f>
        <v>NL</v>
      </c>
    </row>
    <row r="11" spans="1:10" ht="18.600000000000001" customHeight="1">
      <c r="A11" s="26" t="s">
        <v>239</v>
      </c>
      <c r="B11" s="27" t="s">
        <v>68</v>
      </c>
      <c r="C11" s="119" t="s">
        <v>11</v>
      </c>
      <c r="D11" s="138">
        <f t="shared" ca="1" si="0"/>
        <v>9</v>
      </c>
      <c r="E11" s="31">
        <f ca="1">VLOOKUP(A11,Rankings!$B$1:$H$651,6,FALSE)+(RAND()*0.00001)</f>
        <v>384.43445121975191</v>
      </c>
      <c r="F11" s="31">
        <f ca="1">E11-VLOOKUP(Settings!$K$3,D$2:E$500,2,FALSE)</f>
        <v>95.956115824868846</v>
      </c>
      <c r="G11" s="138">
        <f t="shared" ca="1" si="1"/>
        <v>6</v>
      </c>
      <c r="H11" s="31">
        <f ca="1">VLOOKUP(A11,Rankings!$B$1:$H$651,7,FALSE)+(RAND()*0.00001)</f>
        <v>4.4555450345984626</v>
      </c>
      <c r="I11" s="31">
        <f ca="1">H11-VLOOKUP(Settings!$K$3,G$2:H$45,2,FALSE)</f>
        <v>3.9112256791747715</v>
      </c>
      <c r="J11" s="31" t="str">
        <f>VLOOKUP(A11,Rankings!B:D,3,FALSE)</f>
        <v>AL</v>
      </c>
    </row>
    <row r="12" spans="1:10" ht="18.600000000000001" customHeight="1">
      <c r="A12" s="26" t="s">
        <v>310</v>
      </c>
      <c r="B12" s="27" t="s">
        <v>134</v>
      </c>
      <c r="C12" s="119" t="s">
        <v>11</v>
      </c>
      <c r="D12" s="138">
        <f t="shared" ca="1" si="0"/>
        <v>10</v>
      </c>
      <c r="E12" s="31">
        <f ca="1">VLOOKUP(A12,Rankings!$B$1:$H$651,6,FALSE)+(RAND()*0.00001)</f>
        <v>376.63056509625528</v>
      </c>
      <c r="F12" s="31">
        <f ca="1">E12-VLOOKUP(Settings!$K$3,D$2:E$500,2,FALSE)</f>
        <v>88.152229701372221</v>
      </c>
      <c r="G12" s="138">
        <f t="shared" ca="1" si="1"/>
        <v>10</v>
      </c>
      <c r="H12" s="31">
        <f ca="1">VLOOKUP(A12,Rankings!$B$1:$H$651,7,FALSE)+(RAND()*0.00001)</f>
        <v>2.9663225506686959</v>
      </c>
      <c r="I12" s="31">
        <f ca="1">H12-VLOOKUP(Settings!$K$3,G$2:H$45,2,FALSE)</f>
        <v>2.4220031952450047</v>
      </c>
      <c r="J12" s="31" t="str">
        <f>VLOOKUP(A12,Rankings!B:D,3,FALSE)</f>
        <v>NL</v>
      </c>
    </row>
    <row r="13" spans="1:10" ht="18.600000000000001" customHeight="1">
      <c r="A13" s="26" t="s">
        <v>262</v>
      </c>
      <c r="B13" s="27" t="s">
        <v>223</v>
      </c>
      <c r="C13" s="119" t="s">
        <v>11</v>
      </c>
      <c r="D13" s="138">
        <f t="shared" ca="1" si="0"/>
        <v>11</v>
      </c>
      <c r="E13" s="31">
        <f ca="1">VLOOKUP(A13,Rankings!$B$1:$H$651,6,FALSE)+(RAND()*0.00001)</f>
        <v>368.62244539605399</v>
      </c>
      <c r="F13" s="31">
        <f ca="1">E13-VLOOKUP(Settings!$K$3,D$2:E$500,2,FALSE)</f>
        <v>80.14411000117093</v>
      </c>
      <c r="G13" s="138">
        <f t="shared" ca="1" si="1"/>
        <v>11</v>
      </c>
      <c r="H13" s="31">
        <f ca="1">VLOOKUP(A13,Rankings!$B$1:$H$651,7,FALSE)+(RAND()*0.00001)</f>
        <v>2.9489646769968156</v>
      </c>
      <c r="I13" s="31">
        <f ca="1">H13-VLOOKUP(Settings!$K$3,G$2:H$45,2,FALSE)</f>
        <v>2.4046453215731245</v>
      </c>
      <c r="J13" s="31" t="str">
        <f>VLOOKUP(A13,Rankings!B:D,3,FALSE)</f>
        <v>NL</v>
      </c>
    </row>
    <row r="14" spans="1:10" ht="18.600000000000001" customHeight="1">
      <c r="A14" s="26" t="s">
        <v>324</v>
      </c>
      <c r="B14" s="27" t="s">
        <v>95</v>
      </c>
      <c r="C14" s="119" t="s">
        <v>11</v>
      </c>
      <c r="D14" s="138">
        <f t="shared" ca="1" si="0"/>
        <v>12</v>
      </c>
      <c r="E14" s="31">
        <f ca="1">VLOOKUP(A14,Rankings!$B$1:$H$651,6,FALSE)+(RAND()*0.00001)</f>
        <v>365.20722415521487</v>
      </c>
      <c r="F14" s="31">
        <f ca="1">E14-VLOOKUP(Settings!$K$3,D$2:E$500,2,FALSE)</f>
        <v>76.728888760331813</v>
      </c>
      <c r="G14" s="138">
        <f t="shared" ca="1" si="1"/>
        <v>14</v>
      </c>
      <c r="H14" s="31">
        <f ca="1">VLOOKUP(A14,Rankings!$B$1:$H$651,7,FALSE)+(RAND()*0.00001)</f>
        <v>2.6448763323376832</v>
      </c>
      <c r="I14" s="31">
        <f ca="1">H14-VLOOKUP(Settings!$K$3,G$2:H$45,2,FALSE)</f>
        <v>2.100556976913992</v>
      </c>
      <c r="J14" s="31" t="str">
        <f>VLOOKUP(A14,Rankings!B:D,3,FALSE)</f>
        <v>NL</v>
      </c>
    </row>
    <row r="15" spans="1:10" ht="18.600000000000001" customHeight="1">
      <c r="A15" s="26" t="s">
        <v>299</v>
      </c>
      <c r="B15" s="27" t="s">
        <v>101</v>
      </c>
      <c r="C15" s="119" t="s">
        <v>11</v>
      </c>
      <c r="D15" s="138">
        <f t="shared" ca="1" si="0"/>
        <v>13</v>
      </c>
      <c r="E15" s="31">
        <f ca="1">VLOOKUP(A15,Rankings!$B$1:$H$651,6,FALSE)+(RAND()*0.00001)</f>
        <v>356.43777824101988</v>
      </c>
      <c r="F15" s="31">
        <f ca="1">E15-VLOOKUP(Settings!$K$3,D$2:E$500,2,FALSE)</f>
        <v>67.959442846136824</v>
      </c>
      <c r="G15" s="138">
        <f t="shared" ca="1" si="1"/>
        <v>13</v>
      </c>
      <c r="H15" s="31">
        <f ca="1">VLOOKUP(A15,Rankings!$B$1:$H$651,7,FALSE)+(RAND()*0.00001)</f>
        <v>2.6955249689658083</v>
      </c>
      <c r="I15" s="31">
        <f ca="1">H15-VLOOKUP(Settings!$K$3,G$2:H$45,2,FALSE)</f>
        <v>2.1512056135421171</v>
      </c>
      <c r="J15" s="31" t="str">
        <f>VLOOKUP(A15,Rankings!B:D,3,FALSE)</f>
        <v>AL</v>
      </c>
    </row>
    <row r="16" spans="1:10" ht="18.600000000000001" customHeight="1">
      <c r="A16" s="26" t="s">
        <v>314</v>
      </c>
      <c r="B16" s="27" t="s">
        <v>217</v>
      </c>
      <c r="C16" s="119" t="s">
        <v>11</v>
      </c>
      <c r="D16" s="138">
        <f t="shared" ca="1" si="0"/>
        <v>14</v>
      </c>
      <c r="E16" s="31">
        <f ca="1">VLOOKUP(A16,Rankings!$B$1:$H$651,6,FALSE)+(RAND()*0.00001)</f>
        <v>355.58333620962679</v>
      </c>
      <c r="F16" s="31">
        <f ca="1">E16-VLOOKUP(Settings!$K$3,D$2:E$500,2,FALSE)</f>
        <v>67.105000814743732</v>
      </c>
      <c r="G16" s="138">
        <f t="shared" ca="1" si="1"/>
        <v>7</v>
      </c>
      <c r="H16" s="31">
        <f ca="1">VLOOKUP(A16,Rankings!$B$1:$H$651,7,FALSE)+(RAND()*0.00001)</f>
        <v>3.8117042470583247</v>
      </c>
      <c r="I16" s="31">
        <f ca="1">H16-VLOOKUP(Settings!$K$3,G$2:H$45,2,FALSE)</f>
        <v>3.2673848916346335</v>
      </c>
      <c r="J16" s="31" t="str">
        <f>VLOOKUP(A16,Rankings!B:D,3,FALSE)</f>
        <v>NL</v>
      </c>
    </row>
    <row r="17" spans="1:10" ht="18.600000000000001" customHeight="1">
      <c r="A17" s="26" t="s">
        <v>414</v>
      </c>
      <c r="B17" s="27" t="s">
        <v>97</v>
      </c>
      <c r="C17" s="119" t="s">
        <v>11</v>
      </c>
      <c r="D17" s="138">
        <f t="shared" ca="1" si="0"/>
        <v>15</v>
      </c>
      <c r="E17" s="31">
        <f ca="1">VLOOKUP(A17,Rankings!$B$1:$H$651,6,FALSE)+(RAND()*0.00001)</f>
        <v>339.63389182793622</v>
      </c>
      <c r="F17" s="31">
        <f ca="1">E17-VLOOKUP(Settings!$K$3,D$2:E$500,2,FALSE)</f>
        <v>51.155556433053164</v>
      </c>
      <c r="G17" s="138">
        <f t="shared" ca="1" si="1"/>
        <v>21</v>
      </c>
      <c r="H17" s="31">
        <f ca="1">VLOOKUP(A17,Rankings!$B$1:$H$651,7,FALSE)+(RAND()*0.00001)</f>
        <v>1.2386831940741954</v>
      </c>
      <c r="I17" s="31">
        <f ca="1">H17-VLOOKUP(Settings!$K$3,G$2:H$45,2,FALSE)</f>
        <v>0.69436383865050433</v>
      </c>
      <c r="J17" s="31" t="str">
        <f>VLOOKUP(A17,Rankings!B:D,3,FALSE)</f>
        <v>NL</v>
      </c>
    </row>
    <row r="18" spans="1:10" ht="18.600000000000001" customHeight="1">
      <c r="A18" s="26" t="s">
        <v>307</v>
      </c>
      <c r="B18" s="27" t="s">
        <v>134</v>
      </c>
      <c r="C18" s="119" t="s">
        <v>11</v>
      </c>
      <c r="D18" s="138">
        <f t="shared" ca="1" si="0"/>
        <v>17</v>
      </c>
      <c r="E18" s="31">
        <f ca="1">VLOOKUP(A18,Rankings!$B$1:$H$651,6,FALSE)+(RAND()*0.00001)</f>
        <v>327.45222829950694</v>
      </c>
      <c r="F18" s="31">
        <f ca="1">E18-VLOOKUP(Settings!$K$3,D$2:E$500,2,FALSE)</f>
        <v>38.973892904623881</v>
      </c>
      <c r="G18" s="138">
        <f t="shared" ca="1" si="1"/>
        <v>17</v>
      </c>
      <c r="H18" s="31">
        <f ca="1">VLOOKUP(A18,Rankings!$B$1:$H$651,7,FALSE)+(RAND()*0.00001)</f>
        <v>2.3737670356628682</v>
      </c>
      <c r="I18" s="31">
        <f ca="1">H18-VLOOKUP(Settings!$K$3,G$2:H$45,2,FALSE)</f>
        <v>1.829447680239177</v>
      </c>
      <c r="J18" s="31" t="str">
        <f>VLOOKUP(A18,Rankings!B:D,3,FALSE)</f>
        <v>NL</v>
      </c>
    </row>
    <row r="19" spans="1:10" ht="18.600000000000001" customHeight="1">
      <c r="A19" s="26" t="s">
        <v>275</v>
      </c>
      <c r="B19" s="27" t="s">
        <v>94</v>
      </c>
      <c r="C19" s="119" t="s">
        <v>11</v>
      </c>
      <c r="D19" s="138">
        <f t="shared" ca="1" si="0"/>
        <v>18</v>
      </c>
      <c r="E19" s="31">
        <f ca="1">VLOOKUP(A19,Rankings!$B$1:$H$651,6,FALSE)+(RAND()*0.00001)</f>
        <v>326.14167270872753</v>
      </c>
      <c r="F19" s="31">
        <f ca="1">E19-VLOOKUP(Settings!$K$3,D$2:E$500,2,FALSE)</f>
        <v>37.663337313844465</v>
      </c>
      <c r="G19" s="138">
        <f t="shared" ca="1" si="1"/>
        <v>15</v>
      </c>
      <c r="H19" s="31">
        <f ca="1">VLOOKUP(A19,Rankings!$B$1:$H$651,7,FALSE)+(RAND()*0.00001)</f>
        <v>2.6348612516246197</v>
      </c>
      <c r="I19" s="31">
        <f ca="1">H19-VLOOKUP(Settings!$K$3,G$2:H$45,2,FALSE)</f>
        <v>2.0905418962009286</v>
      </c>
      <c r="J19" s="31" t="str">
        <f>VLOOKUP(A19,Rankings!B:D,3,FALSE)</f>
        <v>AL</v>
      </c>
    </row>
    <row r="20" spans="1:10" ht="18.600000000000001" customHeight="1">
      <c r="A20" s="26" t="s">
        <v>390</v>
      </c>
      <c r="B20" s="27" t="s">
        <v>71</v>
      </c>
      <c r="C20" s="119" t="s">
        <v>11</v>
      </c>
      <c r="D20" s="138">
        <f t="shared" ca="1" si="0"/>
        <v>19</v>
      </c>
      <c r="E20" s="31">
        <f ca="1">VLOOKUP(A20,Rankings!$B$1:$H$651,6,FALSE)+(RAND()*0.00001)</f>
        <v>315.16750125069979</v>
      </c>
      <c r="F20" s="31">
        <f ca="1">E20-VLOOKUP(Settings!$K$3,D$2:E$500,2,FALSE)</f>
        <v>26.689165855816725</v>
      </c>
      <c r="G20" s="138">
        <f t="shared" ca="1" si="1"/>
        <v>19</v>
      </c>
      <c r="H20" s="31">
        <f ca="1">VLOOKUP(A20,Rankings!$B$1:$H$651,7,FALSE)+(RAND()*0.00001)</f>
        <v>1.6937558970532065</v>
      </c>
      <c r="I20" s="31">
        <f ca="1">H20-VLOOKUP(Settings!$K$3,G$2:H$45,2,FALSE)</f>
        <v>1.1494365416295156</v>
      </c>
      <c r="J20" s="31" t="str">
        <f>VLOOKUP(A20,Rankings!B:D,3,FALSE)</f>
        <v>AL</v>
      </c>
    </row>
    <row r="21" spans="1:10" ht="18.600000000000001" customHeight="1">
      <c r="A21" s="26" t="s">
        <v>381</v>
      </c>
      <c r="B21" s="27" t="s">
        <v>120</v>
      </c>
      <c r="C21" s="119" t="s">
        <v>11</v>
      </c>
      <c r="D21" s="138">
        <f t="shared" ca="1" si="0"/>
        <v>20</v>
      </c>
      <c r="E21" s="31">
        <f ca="1">VLOOKUP(A21,Rankings!$B$1:$H$651,6,FALSE)+(RAND()*0.00001)</f>
        <v>309.65833940468315</v>
      </c>
      <c r="F21" s="31">
        <f ca="1">E21-VLOOKUP(Settings!$K$3,D$2:E$500,2,FALSE)</f>
        <v>21.180004009800086</v>
      </c>
      <c r="G21" s="138">
        <f t="shared" ca="1" si="1"/>
        <v>20</v>
      </c>
      <c r="H21" s="31">
        <f ca="1">VLOOKUP(A21,Rankings!$B$1:$H$651,7,FALSE)+(RAND()*0.00001)</f>
        <v>1.6064690343030215</v>
      </c>
      <c r="I21" s="31">
        <f ca="1">H21-VLOOKUP(Settings!$K$3,G$2:H$45,2,FALSE)</f>
        <v>1.0621496788793303</v>
      </c>
      <c r="J21" s="31" t="str">
        <f>VLOOKUP(A21,Rankings!B:D,3,FALSE)</f>
        <v>NL</v>
      </c>
    </row>
    <row r="22" spans="1:10" ht="18.600000000000001" customHeight="1">
      <c r="A22" s="26" t="s">
        <v>199</v>
      </c>
      <c r="B22" s="27" t="s">
        <v>73</v>
      </c>
      <c r="C22" s="119" t="s">
        <v>11</v>
      </c>
      <c r="D22" s="138">
        <f t="shared" ca="1" si="0"/>
        <v>22</v>
      </c>
      <c r="E22" s="31">
        <f ca="1">VLOOKUP(A22,Rankings!$B$1:$H$651,6,FALSE)+(RAND()*0.00001)</f>
        <v>293.7377826561443</v>
      </c>
      <c r="F22" s="31">
        <f ca="1">E22-VLOOKUP(Settings!$K$3,D$2:E$500,2,FALSE)</f>
        <v>5.2594472612612435</v>
      </c>
      <c r="G22" s="138">
        <f t="shared" ca="1" si="1"/>
        <v>18</v>
      </c>
      <c r="H22" s="31">
        <f ca="1">VLOOKUP(A22,Rankings!$B$1:$H$651,7,FALSE)+(RAND()*0.00001)</f>
        <v>1.9673336133814063</v>
      </c>
      <c r="I22" s="31">
        <f ca="1">H22-VLOOKUP(Settings!$K$3,G$2:H$45,2,FALSE)</f>
        <v>1.4230142579577154</v>
      </c>
      <c r="J22" s="31" t="str">
        <f>VLOOKUP(A22,Rankings!B:D,3,FALSE)</f>
        <v>NL</v>
      </c>
    </row>
    <row r="23" spans="1:10" ht="18.600000000000001" customHeight="1">
      <c r="A23" s="26" t="s">
        <v>422</v>
      </c>
      <c r="B23" s="27" t="s">
        <v>68</v>
      </c>
      <c r="C23" s="119" t="s">
        <v>11</v>
      </c>
      <c r="D23" s="138">
        <f t="shared" ca="1" si="0"/>
        <v>21</v>
      </c>
      <c r="E23" s="31">
        <f ca="1">VLOOKUP(A23,Rankings!$B$1:$H$651,6,FALSE)+(RAND()*0.00001)</f>
        <v>305.07389832078121</v>
      </c>
      <c r="F23" s="31">
        <f ca="1">E23-VLOOKUP(Settings!$K$3,D$2:E$500,2,FALSE)</f>
        <v>16.59556292589815</v>
      </c>
      <c r="G23" s="138">
        <f t="shared" ca="1" si="1"/>
        <v>22</v>
      </c>
      <c r="H23" s="31">
        <f ca="1">VLOOKUP(A23,Rankings!$B$1:$H$651,7,FALSE)+(RAND()*0.00001)</f>
        <v>0.89695339235917959</v>
      </c>
      <c r="I23" s="31">
        <f ca="1">H23-VLOOKUP(Settings!$K$3,G$2:H$45,2,FALSE)</f>
        <v>0.35263403693548856</v>
      </c>
      <c r="J23" s="31" t="str">
        <f>VLOOKUP(A23,Rankings!B:D,3,FALSE)</f>
        <v>AL</v>
      </c>
    </row>
    <row r="24" spans="1:10" ht="18.600000000000001" customHeight="1">
      <c r="A24" s="26" t="s">
        <v>545</v>
      </c>
      <c r="B24" s="27" t="s">
        <v>140</v>
      </c>
      <c r="C24" s="119" t="s">
        <v>11</v>
      </c>
      <c r="D24" s="138">
        <f t="shared" ca="1" si="0"/>
        <v>23</v>
      </c>
      <c r="E24" s="31">
        <f ca="1">VLOOKUP(A24,Rankings!$B$1:$H$651,6,FALSE)+(RAND()*0.00001)</f>
        <v>293.2738968108419</v>
      </c>
      <c r="F24" s="31">
        <f ca="1">E24-VLOOKUP(Settings!$K$3,D$2:E$500,2,FALSE)</f>
        <v>4.7955614159588436</v>
      </c>
      <c r="G24" s="138">
        <f t="shared" ca="1" si="1"/>
        <v>28</v>
      </c>
      <c r="H24" s="31">
        <f ca="1">VLOOKUP(A24,Rankings!$B$1:$H$651,7,FALSE)+(RAND()*0.00001)</f>
        <v>-0.57513772468144853</v>
      </c>
      <c r="I24" s="31">
        <f ca="1">H24-VLOOKUP(Settings!$K$3,G$2:H$45,2,FALSE)</f>
        <v>-1.1194570801051396</v>
      </c>
      <c r="J24" s="31" t="str">
        <f>VLOOKUP(A24,Rankings!B:D,3,FALSE)</f>
        <v>AL</v>
      </c>
    </row>
    <row r="25" spans="1:10" ht="18.600000000000001" customHeight="1">
      <c r="A25" s="26" t="s">
        <v>348</v>
      </c>
      <c r="B25" s="27" t="s">
        <v>306</v>
      </c>
      <c r="C25" s="119" t="s">
        <v>11</v>
      </c>
      <c r="D25" s="138">
        <f t="shared" ca="1" si="0"/>
        <v>25</v>
      </c>
      <c r="E25" s="31">
        <f ca="1">VLOOKUP(A25,Rankings!$B$1:$H$651,6,FALSE)+(RAND()*0.00001)</f>
        <v>287.13166859809633</v>
      </c>
      <c r="F25" s="31">
        <f ca="1">E25-VLOOKUP(Settings!$K$3,D$2:E$500,2,FALSE)</f>
        <v>-1.3466667967867352</v>
      </c>
      <c r="G25" s="138">
        <f t="shared" ca="1" si="1"/>
        <v>23</v>
      </c>
      <c r="H25" s="31">
        <f ca="1">VLOOKUP(A25,Rankings!$B$1:$H$651,7,FALSE)+(RAND()*0.00001)</f>
        <v>0.7990044239145403</v>
      </c>
      <c r="I25" s="31">
        <f ca="1">H25-VLOOKUP(Settings!$K$3,G$2:H$45,2,FALSE)</f>
        <v>0.25468506849084926</v>
      </c>
      <c r="J25" s="31" t="str">
        <f>VLOOKUP(A25,Rankings!B:D,3,FALSE)</f>
        <v>NL</v>
      </c>
    </row>
    <row r="26" spans="1:10" ht="20.100000000000001" customHeight="1">
      <c r="A26" s="26" t="s">
        <v>477</v>
      </c>
      <c r="B26" s="27" t="s">
        <v>258</v>
      </c>
      <c r="C26" s="119" t="s">
        <v>11</v>
      </c>
      <c r="D26" s="138">
        <f t="shared" ca="1" si="0"/>
        <v>26</v>
      </c>
      <c r="E26" s="31">
        <f ca="1">VLOOKUP(A26,Rankings!$B$1:$H$651,6,FALSE)+(RAND()*0.00001)</f>
        <v>283.14556106150548</v>
      </c>
      <c r="F26" s="31">
        <f ca="1">E26-VLOOKUP(Settings!$K$3,D$2:E$500,2,FALSE)</f>
        <v>-5.3327743333775857</v>
      </c>
      <c r="G26" s="138">
        <f t="shared" ca="1" si="1"/>
        <v>25</v>
      </c>
      <c r="H26" s="31">
        <f ca="1">VLOOKUP(A26,Rankings!$B$1:$H$651,7,FALSE)+(RAND()*0.00001)</f>
        <v>-3.3374517075491654E-2</v>
      </c>
      <c r="I26" s="31">
        <f ca="1">H26-VLOOKUP(Settings!$K$3,G$2:H$45,2,FALSE)</f>
        <v>-0.57769387249918269</v>
      </c>
      <c r="J26" s="31" t="str">
        <f>VLOOKUP(A26,Rankings!B:D,3,FALSE)</f>
        <v>AL</v>
      </c>
    </row>
    <row r="27" spans="1:10" ht="18.600000000000001" customHeight="1">
      <c r="A27" s="26" t="s">
        <v>421</v>
      </c>
      <c r="B27" s="27" t="s">
        <v>81</v>
      </c>
      <c r="C27" s="119" t="s">
        <v>11</v>
      </c>
      <c r="D27" s="138">
        <f t="shared" ca="1" si="0"/>
        <v>24</v>
      </c>
      <c r="E27" s="31">
        <f ca="1">VLOOKUP(A27,Rankings!$B$1:$H$651,6,FALSE)+(RAND()*0.00001)</f>
        <v>288.47833539488306</v>
      </c>
      <c r="F27" s="31">
        <f ca="1">E27-VLOOKUP(Settings!$K$3,D$2:E$500,2,FALSE)</f>
        <v>0</v>
      </c>
      <c r="G27" s="138">
        <f t="shared" ca="1" si="1"/>
        <v>24</v>
      </c>
      <c r="H27" s="31">
        <f ca="1">VLOOKUP(A27,Rankings!$B$1:$H$651,7,FALSE)+(RAND()*0.00001)</f>
        <v>0.54431935542369103</v>
      </c>
      <c r="I27" s="31">
        <f ca="1">H27-VLOOKUP(Settings!$K$3,G$2:H$45,2,FALSE)</f>
        <v>0</v>
      </c>
      <c r="J27" s="31" t="str">
        <f>VLOOKUP(A27,Rankings!B:D,3,FALSE)</f>
        <v>NL</v>
      </c>
    </row>
    <row r="28" spans="1:10" ht="18.600000000000001" customHeight="1">
      <c r="A28" s="26" t="s">
        <v>330</v>
      </c>
      <c r="B28" s="27" t="s">
        <v>176</v>
      </c>
      <c r="C28" s="119" t="s">
        <v>11</v>
      </c>
      <c r="D28" s="138">
        <f t="shared" ca="1" si="0"/>
        <v>38</v>
      </c>
      <c r="E28" s="31">
        <f ca="1">VLOOKUP(A28,Rankings!$B$1:$H$651,6,FALSE)+(RAND()*0.00001)</f>
        <v>180.50867299709722</v>
      </c>
      <c r="F28" s="31">
        <f ca="1">E28-VLOOKUP(Settings!$K$3,D$2:E$500,2,FALSE)</f>
        <v>-107.96966239778584</v>
      </c>
      <c r="G28" s="138">
        <f t="shared" ca="1" si="1"/>
        <v>34</v>
      </c>
      <c r="H28" s="31">
        <f ca="1">VLOOKUP(A28,Rankings!$B$1:$H$651,7,FALSE)+(RAND()*0.00001)</f>
        <v>-1.6158226887699179</v>
      </c>
      <c r="I28" s="31">
        <f ca="1">H28-VLOOKUP(Settings!$K$3,G$2:H$45,2,FALSE)</f>
        <v>-2.1601420441936088</v>
      </c>
      <c r="J28" s="31" t="str">
        <f>VLOOKUP(A28,Rankings!B:D,3,FALSE)</f>
        <v>NL</v>
      </c>
    </row>
    <row r="29" spans="1:10" ht="18.600000000000001" customHeight="1">
      <c r="A29" s="26" t="s">
        <v>516</v>
      </c>
      <c r="B29" s="27" t="s">
        <v>99</v>
      </c>
      <c r="C29" s="119" t="s">
        <v>11</v>
      </c>
      <c r="D29" s="138">
        <f t="shared" ca="1" si="0"/>
        <v>27</v>
      </c>
      <c r="E29" s="31">
        <f ca="1">VLOOKUP(A29,Rankings!$B$1:$H$651,6,FALSE)+(RAND()*0.00001)</f>
        <v>267.17944622533395</v>
      </c>
      <c r="F29" s="31">
        <f ca="1">E29-VLOOKUP(Settings!$K$3,D$2:E$500,2,FALSE)</f>
        <v>-21.298889169549113</v>
      </c>
      <c r="G29" s="138">
        <f t="shared" ca="1" si="1"/>
        <v>29</v>
      </c>
      <c r="H29" s="31">
        <f ca="1">VLOOKUP(A29,Rankings!$B$1:$H$651,7,FALSE)+(RAND()*0.00001)</f>
        <v>-0.64388395129921605</v>
      </c>
      <c r="I29" s="31">
        <f ca="1">H29-VLOOKUP(Settings!$K$3,G$2:H$45,2,FALSE)</f>
        <v>-1.1882033067229072</v>
      </c>
      <c r="J29" s="31" t="str">
        <f>VLOOKUP(A29,Rankings!B:D,3,FALSE)</f>
        <v>AL</v>
      </c>
    </row>
    <row r="30" spans="1:10" ht="18.600000000000001" customHeight="1">
      <c r="A30" s="26" t="s">
        <v>405</v>
      </c>
      <c r="B30" s="27" t="s">
        <v>158</v>
      </c>
      <c r="C30" s="119" t="s">
        <v>11</v>
      </c>
      <c r="D30" s="138">
        <f t="shared" ca="1" si="0"/>
        <v>29</v>
      </c>
      <c r="E30" s="31">
        <f ca="1">VLOOKUP(A30,Rankings!$B$1:$H$651,6,FALSE)+(RAND()*0.00001)</f>
        <v>244.78166710036288</v>
      </c>
      <c r="F30" s="31">
        <f ca="1">E30-VLOOKUP(Settings!$K$3,D$2:E$500,2,FALSE)</f>
        <v>-43.69666829452018</v>
      </c>
      <c r="G30" s="138">
        <f t="shared" ca="1" si="1"/>
        <v>26</v>
      </c>
      <c r="H30" s="31">
        <f ca="1">VLOOKUP(A30,Rankings!$B$1:$H$651,7,FALSE)+(RAND()*0.00001)</f>
        <v>-0.37123196769589401</v>
      </c>
      <c r="I30" s="31">
        <f ca="1">H30-VLOOKUP(Settings!$K$3,G$2:H$45,2,FALSE)</f>
        <v>-0.91555132311958509</v>
      </c>
      <c r="J30" s="31" t="str">
        <f>VLOOKUP(A30,Rankings!B:D,3,FALSE)</f>
        <v>NL</v>
      </c>
    </row>
    <row r="31" spans="1:10" ht="20.100000000000001" customHeight="1">
      <c r="A31" s="26" t="s">
        <v>548</v>
      </c>
      <c r="B31" s="27" t="s">
        <v>94</v>
      </c>
      <c r="C31" s="119" t="s">
        <v>11</v>
      </c>
      <c r="D31" s="138">
        <f t="shared" ca="1" si="0"/>
        <v>28</v>
      </c>
      <c r="E31" s="31">
        <f ca="1">VLOOKUP(A31,Rankings!$B$1:$H$651,6,FALSE)+(RAND()*0.00001)</f>
        <v>254.01778273170953</v>
      </c>
      <c r="F31" s="31">
        <f ca="1">E31-VLOOKUP(Settings!$K$3,D$2:E$500,2,FALSE)</f>
        <v>-34.46055266317353</v>
      </c>
      <c r="G31" s="138">
        <f t="shared" ca="1" si="1"/>
        <v>27</v>
      </c>
      <c r="H31" s="31">
        <f ca="1">VLOOKUP(A31,Rankings!$B$1:$H$651,7,FALSE)+(RAND()*0.00001)</f>
        <v>-0.39194770640651549</v>
      </c>
      <c r="I31" s="31">
        <f ca="1">H31-VLOOKUP(Settings!$K$3,G$2:H$45,2,FALSE)</f>
        <v>-0.93626706183020647</v>
      </c>
      <c r="J31" s="31" t="str">
        <f>VLOOKUP(A31,Rankings!B:D,3,FALSE)</f>
        <v>AL</v>
      </c>
    </row>
    <row r="32" spans="1:10" ht="20.100000000000001" customHeight="1">
      <c r="A32" s="26" t="s">
        <v>543</v>
      </c>
      <c r="B32" s="27" t="s">
        <v>99</v>
      </c>
      <c r="C32" s="119" t="s">
        <v>11</v>
      </c>
      <c r="D32" s="138">
        <f t="shared" ca="1" si="0"/>
        <v>31</v>
      </c>
      <c r="E32" s="31">
        <f ca="1">VLOOKUP(A32,Rankings!$B$1:$H$651,6,FALSE)+(RAND()*0.00001)</f>
        <v>227.45278482517946</v>
      </c>
      <c r="F32" s="31">
        <f ca="1">E32-VLOOKUP(Settings!$K$3,D$2:E$500,2,FALSE)</f>
        <v>-61.025550569703597</v>
      </c>
      <c r="G32" s="138">
        <f t="shared" ca="1" si="1"/>
        <v>32</v>
      </c>
      <c r="H32" s="31">
        <f ca="1">VLOOKUP(A32,Rankings!$B$1:$H$651,7,FALSE)+(RAND()*0.00001)</f>
        <v>-1.3818010684471072</v>
      </c>
      <c r="I32" s="31">
        <f ca="1">H32-VLOOKUP(Settings!$K$3,G$2:H$45,2,FALSE)</f>
        <v>-1.9261204238707981</v>
      </c>
      <c r="J32" s="31" t="str">
        <f>VLOOKUP(A32,Rankings!B:D,3,FALSE)</f>
        <v>AL</v>
      </c>
    </row>
    <row r="33" spans="1:10" ht="18.600000000000001" customHeight="1">
      <c r="A33" s="26" t="s">
        <v>639</v>
      </c>
      <c r="B33" s="27" t="s">
        <v>140</v>
      </c>
      <c r="C33" s="119" t="s">
        <v>11</v>
      </c>
      <c r="D33" s="138">
        <f t="shared" ca="1" si="0"/>
        <v>30</v>
      </c>
      <c r="E33" s="31">
        <f ca="1">VLOOKUP(A33,Rankings!$B$1:$H$651,6,FALSE)+(RAND()*0.00001)</f>
        <v>235.24445333741278</v>
      </c>
      <c r="F33" s="31">
        <f ca="1">E33-VLOOKUP(Settings!$K$3,D$2:E$500,2,FALSE)</f>
        <v>-53.233882057470282</v>
      </c>
      <c r="G33" s="138">
        <f t="shared" ca="1" si="1"/>
        <v>35</v>
      </c>
      <c r="H33" s="31">
        <f ca="1">VLOOKUP(A33,Rankings!$B$1:$H$651,7,FALSE)+(RAND()*0.00001)</f>
        <v>-1.6289199196626387</v>
      </c>
      <c r="I33" s="31">
        <f ca="1">H33-VLOOKUP(Settings!$K$3,G$2:H$45,2,FALSE)</f>
        <v>-2.1732392750863299</v>
      </c>
      <c r="J33" s="31" t="str">
        <f>VLOOKUP(A33,Rankings!B:D,3,FALSE)</f>
        <v>AL</v>
      </c>
    </row>
    <row r="34" spans="1:10" ht="20.100000000000001" customHeight="1">
      <c r="A34" s="26" t="s">
        <v>466</v>
      </c>
      <c r="B34" s="27" t="s">
        <v>117</v>
      </c>
      <c r="C34" s="119" t="s">
        <v>11</v>
      </c>
      <c r="D34" s="138">
        <f t="shared" ref="D34:D50" ca="1" si="2">RANK(E34,E$2:E$50)</f>
        <v>32</v>
      </c>
      <c r="E34" s="31">
        <f ca="1">VLOOKUP(A34,Rankings!$B$1:$H$651,6,FALSE)+(RAND()*0.00001)</f>
        <v>222.43555882354786</v>
      </c>
      <c r="F34" s="31">
        <f ca="1">E34-VLOOKUP(Settings!$K$3,D$2:E$500,2,FALSE)</f>
        <v>-66.042776571335196</v>
      </c>
      <c r="G34" s="138">
        <f t="shared" ref="G34:G50" ca="1" si="3">RANK(H34,H$2:H$500)</f>
        <v>31</v>
      </c>
      <c r="H34" s="31">
        <f ca="1">VLOOKUP(A34,Rankings!$B$1:$H$651,7,FALSE)+(RAND()*0.00001)</f>
        <v>-1.1845914733616554</v>
      </c>
      <c r="I34" s="31">
        <f ca="1">H34-VLOOKUP(Settings!$K$3,G$2:H$45,2,FALSE)</f>
        <v>-1.7289108287853465</v>
      </c>
      <c r="J34" s="31" t="str">
        <f>VLOOKUP(A34,Rankings!B:D,3,FALSE)</f>
        <v>AL</v>
      </c>
    </row>
    <row r="35" spans="1:10" ht="18.600000000000001" customHeight="1">
      <c r="A35" s="26" t="s">
        <v>544</v>
      </c>
      <c r="B35" s="27" t="s">
        <v>134</v>
      </c>
      <c r="C35" s="119" t="s">
        <v>11</v>
      </c>
      <c r="D35" s="138">
        <f t="shared" ca="1" si="2"/>
        <v>33</v>
      </c>
      <c r="E35" s="31">
        <f ca="1">VLOOKUP(A35,Rankings!$B$1:$H$651,6,FALSE)+(RAND()*0.00001)</f>
        <v>210.71778234337188</v>
      </c>
      <c r="F35" s="31">
        <f ca="1">E35-VLOOKUP(Settings!$K$3,D$2:E$500,2,FALSE)</f>
        <v>-77.760553051511181</v>
      </c>
      <c r="G35" s="138">
        <f t="shared" ca="1" si="3"/>
        <v>30</v>
      </c>
      <c r="H35" s="31">
        <f ca="1">VLOOKUP(A35,Rankings!$B$1:$H$651,7,FALSE)+(RAND()*0.00001)</f>
        <v>-0.6590477678700023</v>
      </c>
      <c r="I35" s="31">
        <f ca="1">H35-VLOOKUP(Settings!$K$3,G$2:H$45,2,FALSE)</f>
        <v>-1.2033671232936933</v>
      </c>
      <c r="J35" s="31" t="str">
        <f>VLOOKUP(A35,Rankings!B:D,3,FALSE)</f>
        <v>NL</v>
      </c>
    </row>
    <row r="36" spans="1:10" ht="18.600000000000001" customHeight="1">
      <c r="A36" s="26" t="s">
        <v>617</v>
      </c>
      <c r="B36" s="27" t="s">
        <v>123</v>
      </c>
      <c r="C36" s="119" t="s">
        <v>11</v>
      </c>
      <c r="D36" s="138">
        <f t="shared" ca="1" si="2"/>
        <v>34</v>
      </c>
      <c r="E36" s="31">
        <f ca="1">VLOOKUP(A36,Rankings!$B$1:$H$651,6,FALSE)+(RAND()*0.00001)</f>
        <v>200.97556174024839</v>
      </c>
      <c r="F36" s="31">
        <f ca="1">E36-VLOOKUP(Settings!$K$3,D$2:E$500,2,FALSE)</f>
        <v>-87.502773654634666</v>
      </c>
      <c r="G36" s="138">
        <f t="shared" ca="1" si="3"/>
        <v>36</v>
      </c>
      <c r="H36" s="31">
        <f ca="1">VLOOKUP(A36,Rankings!$B$1:$H$651,7,FALSE)+(RAND()*0.00001)</f>
        <v>-1.8526742288958553</v>
      </c>
      <c r="I36" s="31">
        <f ca="1">H36-VLOOKUP(Settings!$K$3,G$2:H$45,2,FALSE)</f>
        <v>-2.3969935843195462</v>
      </c>
      <c r="J36" s="31" t="str">
        <f>VLOOKUP(A36,Rankings!B:D,3,FALSE)</f>
        <v>NL</v>
      </c>
    </row>
    <row r="37" spans="1:10" ht="18.600000000000001" customHeight="1">
      <c r="A37" s="26" t="s">
        <v>622</v>
      </c>
      <c r="B37" s="27" t="s">
        <v>71</v>
      </c>
      <c r="C37" s="119" t="s">
        <v>11</v>
      </c>
      <c r="D37" s="138">
        <f t="shared" ca="1" si="2"/>
        <v>37</v>
      </c>
      <c r="E37" s="31">
        <f ca="1">VLOOKUP(A37,Rankings!$B$1:$H$651,6,FALSE)+(RAND()*0.00001)</f>
        <v>183.55833641758127</v>
      </c>
      <c r="F37" s="31">
        <f ca="1">E37-VLOOKUP(Settings!$K$3,D$2:E$500,2,FALSE)</f>
        <v>-104.91999897730179</v>
      </c>
      <c r="G37" s="138">
        <f t="shared" ca="1" si="3"/>
        <v>39</v>
      </c>
      <c r="H37" s="31">
        <f ca="1">VLOOKUP(A37,Rankings!$B$1:$H$651,7,FALSE)+(RAND()*0.00001)</f>
        <v>-2.6442373289030585</v>
      </c>
      <c r="I37" s="31">
        <f ca="1">H37-VLOOKUP(Settings!$K$3,G$2:H$45,2,FALSE)</f>
        <v>-3.1885566843267497</v>
      </c>
      <c r="J37" s="31" t="str">
        <f>VLOOKUP(A37,Rankings!B:D,3,FALSE)</f>
        <v>AL</v>
      </c>
    </row>
    <row r="38" spans="1:10" ht="18.600000000000001" customHeight="1">
      <c r="A38" s="26" t="s">
        <v>588</v>
      </c>
      <c r="B38" s="27" t="s">
        <v>103</v>
      </c>
      <c r="C38" s="119" t="s">
        <v>11</v>
      </c>
      <c r="D38" s="138">
        <f t="shared" ca="1" si="2"/>
        <v>36</v>
      </c>
      <c r="E38" s="31">
        <f ca="1">VLOOKUP(A38,Rankings!$B$1:$H$651,6,FALSE)+(RAND()*0.00001)</f>
        <v>187.98944873563264</v>
      </c>
      <c r="F38" s="31">
        <f ca="1">E38-VLOOKUP(Settings!$K$3,D$2:E$500,2,FALSE)</f>
        <v>-100.48888665925043</v>
      </c>
      <c r="G38" s="138">
        <f t="shared" ca="1" si="3"/>
        <v>33</v>
      </c>
      <c r="H38" s="31">
        <f ca="1">VLOOKUP(A38,Rankings!$B$1:$H$651,7,FALSE)+(RAND()*0.00001)</f>
        <v>-1.4809066571220741</v>
      </c>
      <c r="I38" s="31">
        <f ca="1">H38-VLOOKUP(Settings!$K$3,G$2:H$45,2,FALSE)</f>
        <v>-2.0252260125457653</v>
      </c>
      <c r="J38" s="31" t="str">
        <f>VLOOKUP(A38,Rankings!B:D,3,FALSE)</f>
        <v>AL</v>
      </c>
    </row>
    <row r="39" spans="1:10" ht="18.600000000000001" customHeight="1">
      <c r="A39" s="26" t="s">
        <v>664</v>
      </c>
      <c r="B39" s="27" t="s">
        <v>84</v>
      </c>
      <c r="C39" s="119" t="s">
        <v>11</v>
      </c>
      <c r="D39" s="138">
        <f t="shared" ca="1" si="2"/>
        <v>35</v>
      </c>
      <c r="E39" s="31">
        <f ca="1">VLOOKUP(A39,Rankings!$B$1:$H$651,6,FALSE)+(RAND()*0.00001)</f>
        <v>199.38167153083333</v>
      </c>
      <c r="F39" s="31">
        <f ca="1">E39-VLOOKUP(Settings!$K$3,D$2:E$500,2,FALSE)</f>
        <v>-89.096663864049731</v>
      </c>
      <c r="G39" s="138">
        <f t="shared" ca="1" si="3"/>
        <v>37</v>
      </c>
      <c r="H39" s="31">
        <f ca="1">VLOOKUP(A39,Rankings!$B$1:$H$651,7,FALSE)+(RAND()*0.00001)</f>
        <v>-2.2112401805689852</v>
      </c>
      <c r="I39" s="31">
        <f ca="1">H39-VLOOKUP(Settings!$K$3,G$2:H$45,2,FALSE)</f>
        <v>-2.7555595359926763</v>
      </c>
      <c r="J39" s="31" t="str">
        <f>VLOOKUP(A39,Rankings!B:D,3,FALSE)</f>
        <v>AL</v>
      </c>
    </row>
    <row r="40" spans="1:10" ht="18.600000000000001" customHeight="1">
      <c r="A40" s="26" t="s">
        <v>635</v>
      </c>
      <c r="B40" s="27" t="s">
        <v>101</v>
      </c>
      <c r="C40" s="119" t="s">
        <v>11</v>
      </c>
      <c r="D40" s="138">
        <f t="shared" ca="1" si="2"/>
        <v>41</v>
      </c>
      <c r="E40" s="31">
        <f ca="1">VLOOKUP(A40,Rankings!$B$1:$H$651,6,FALSE)+(RAND()*0.00001)</f>
        <v>163.98167489450742</v>
      </c>
      <c r="F40" s="31">
        <f ca="1">E40-VLOOKUP(Settings!$K$3,D$2:E$500,2,FALSE)</f>
        <v>-124.49666050037564</v>
      </c>
      <c r="G40" s="138">
        <f t="shared" ca="1" si="3"/>
        <v>41</v>
      </c>
      <c r="H40" s="31">
        <f ca="1">VLOOKUP(A40,Rankings!$B$1:$H$651,7,FALSE)+(RAND()*0.00001)</f>
        <v>-3.099316309408493</v>
      </c>
      <c r="I40" s="31">
        <f ca="1">H40-VLOOKUP(Settings!$K$3,G$2:H$45,2,FALSE)</f>
        <v>-3.6436356648321842</v>
      </c>
      <c r="J40" s="31" t="str">
        <f>VLOOKUP(A40,Rankings!B:D,3,FALSE)</f>
        <v>AL</v>
      </c>
    </row>
    <row r="41" spans="1:10" ht="20.100000000000001" customHeight="1">
      <c r="A41" s="26" t="s">
        <v>691</v>
      </c>
      <c r="B41" s="27" t="s">
        <v>73</v>
      </c>
      <c r="C41" s="119" t="s">
        <v>11</v>
      </c>
      <c r="D41" s="138">
        <f t="shared" ca="1" si="2"/>
        <v>39</v>
      </c>
      <c r="E41" s="31">
        <f ca="1">VLOOKUP(A41,Rankings!$B$1:$H$651,6,FALSE)+(RAND()*0.00001)</f>
        <v>165.58889667878873</v>
      </c>
      <c r="F41" s="31">
        <f ca="1">E41-VLOOKUP(Settings!$K$3,D$2:E$500,2,FALSE)</f>
        <v>-122.88943871609433</v>
      </c>
      <c r="G41" s="138">
        <f t="shared" ca="1" si="3"/>
        <v>40</v>
      </c>
      <c r="H41" s="31">
        <f ca="1">VLOOKUP(A41,Rankings!$B$1:$H$651,7,FALSE)+(RAND()*0.00001)</f>
        <v>-3.012905612866223</v>
      </c>
      <c r="I41" s="31">
        <f ca="1">H41-VLOOKUP(Settings!$K$3,G$2:H$45,2,FALSE)</f>
        <v>-3.5572249682899142</v>
      </c>
      <c r="J41" s="31" t="str">
        <f>VLOOKUP(A41,Rankings!B:D,3,FALSE)</f>
        <v>NL</v>
      </c>
    </row>
    <row r="42" spans="1:10" ht="18.600000000000001" customHeight="1">
      <c r="A42" s="26" t="s">
        <v>558</v>
      </c>
      <c r="B42" s="27" t="s">
        <v>103</v>
      </c>
      <c r="C42" s="119" t="s">
        <v>11</v>
      </c>
      <c r="D42" s="138">
        <f t="shared" ca="1" si="2"/>
        <v>40</v>
      </c>
      <c r="E42" s="31">
        <f ca="1">VLOOKUP(A42,Rankings!$B$1:$H$651,6,FALSE)+(RAND()*0.00001)</f>
        <v>164.2355589527524</v>
      </c>
      <c r="F42" s="31">
        <f ca="1">E42-VLOOKUP(Settings!$K$3,D$2:E$500,2,FALSE)</f>
        <v>-124.24277644213066</v>
      </c>
      <c r="G42" s="138">
        <f t="shared" ca="1" si="3"/>
        <v>38</v>
      </c>
      <c r="H42" s="31">
        <f ca="1">VLOOKUP(A42,Rankings!$B$1:$H$651,7,FALSE)+(RAND()*0.00001)</f>
        <v>-2.2432581911842608</v>
      </c>
      <c r="I42" s="31">
        <f ca="1">H42-VLOOKUP(Settings!$K$3,G$2:H$45,2,FALSE)</f>
        <v>-2.787577546607952</v>
      </c>
      <c r="J42" s="31" t="str">
        <f>VLOOKUP(A42,Rankings!B:D,3,FALSE)</f>
        <v>AL</v>
      </c>
    </row>
    <row r="43" spans="1:10" ht="18.600000000000001" customHeight="1">
      <c r="A43" s="26" t="s">
        <v>712</v>
      </c>
      <c r="B43" s="27" t="s">
        <v>258</v>
      </c>
      <c r="C43" s="119" t="s">
        <v>11</v>
      </c>
      <c r="D43" s="138">
        <f t="shared" ca="1" si="2"/>
        <v>42</v>
      </c>
      <c r="E43" s="31">
        <f ca="1">VLOOKUP(A43,Rankings!$B$1:$H$651,6,FALSE)+(RAND()*0.00001)</f>
        <v>110.52333450559192</v>
      </c>
      <c r="F43" s="31">
        <f ca="1">E43-VLOOKUP(Settings!$K$3,D$2:E$500,2,FALSE)</f>
        <v>-177.95500088929114</v>
      </c>
      <c r="G43" s="138">
        <f t="shared" ca="1" si="3"/>
        <v>43</v>
      </c>
      <c r="H43" s="31">
        <f ca="1">VLOOKUP(A43,Rankings!$B$1:$H$651,7,FALSE)+(RAND()*0.00001)</f>
        <v>-4.7870756994706367</v>
      </c>
      <c r="I43" s="31">
        <f ca="1">H43-VLOOKUP(Settings!$K$3,G$2:H$45,2,FALSE)</f>
        <v>-5.3313950548943279</v>
      </c>
      <c r="J43" s="31" t="str">
        <f>VLOOKUP(A43,Rankings!B:D,3,FALSE)</f>
        <v>AL</v>
      </c>
    </row>
    <row r="44" spans="1:10" ht="18.600000000000001" customHeight="1">
      <c r="A44" s="26" t="s">
        <v>711</v>
      </c>
      <c r="B44" s="27" t="s">
        <v>91</v>
      </c>
      <c r="C44" s="119" t="s">
        <v>11</v>
      </c>
      <c r="D44" s="138">
        <f t="shared" ca="1" si="2"/>
        <v>43</v>
      </c>
      <c r="E44" s="31">
        <f ca="1">VLOOKUP(A44,Rankings!$B$1:$H$651,6,FALSE)+(RAND()*0.00001)</f>
        <v>106.87223032723595</v>
      </c>
      <c r="F44" s="31">
        <f ca="1">E44-VLOOKUP(Settings!$K$3,D$2:E$500,2,FALSE)</f>
        <v>-181.60610506764709</v>
      </c>
      <c r="G44" s="138">
        <f t="shared" ca="1" si="3"/>
        <v>42</v>
      </c>
      <c r="H44" s="31">
        <f ca="1">VLOOKUP(A44,Rankings!$B$1:$H$651,7,FALSE)+(RAND()*0.00001)</f>
        <v>-4.4086479077547533</v>
      </c>
      <c r="I44" s="31">
        <f ca="1">H44-VLOOKUP(Settings!$K$3,G$2:H$45,2,FALSE)</f>
        <v>-4.9529672631784445</v>
      </c>
      <c r="J44" s="31" t="str">
        <f>VLOOKUP(A44,Rankings!B:D,3,FALSE)</f>
        <v>NL</v>
      </c>
    </row>
    <row r="45" spans="1:10" ht="18.600000000000001" customHeight="1">
      <c r="A45" s="26" t="s">
        <v>709</v>
      </c>
      <c r="B45" s="27" t="s">
        <v>114</v>
      </c>
      <c r="C45" s="119" t="s">
        <v>11</v>
      </c>
      <c r="D45" s="138">
        <f t="shared" ca="1" si="2"/>
        <v>46</v>
      </c>
      <c r="E45" s="31">
        <f ca="1">VLOOKUP(A45,Rankings!$B$1:$H$651,6,FALSE)+(RAND()*0.00001)</f>
        <v>80.730556460388854</v>
      </c>
      <c r="F45" s="31">
        <f ca="1">E45-VLOOKUP(Settings!$K$3,D$2:E$500,2,FALSE)</f>
        <v>-207.74777893449419</v>
      </c>
      <c r="G45" s="138">
        <f t="shared" ca="1" si="3"/>
        <v>47</v>
      </c>
      <c r="H45" s="31">
        <f ca="1">VLOOKUP(A45,Rankings!$B$1:$H$651,7,FALSE)+(RAND()*0.00001)</f>
        <v>-5.8277670723216675</v>
      </c>
      <c r="I45" s="31">
        <f ca="1">H45-VLOOKUP(Settings!$K$3,G$2:H$45,2,FALSE)</f>
        <v>-6.3720864277453586</v>
      </c>
      <c r="J45" s="31" t="str">
        <f>VLOOKUP(A45,Rankings!B:D,3,FALSE)</f>
        <v>AL</v>
      </c>
    </row>
    <row r="46" spans="1:10" ht="18.600000000000001" customHeight="1">
      <c r="A46" s="26" t="s">
        <v>728</v>
      </c>
      <c r="B46" s="27" t="s">
        <v>97</v>
      </c>
      <c r="C46" s="119" t="s">
        <v>11</v>
      </c>
      <c r="D46" s="138">
        <f t="shared" ca="1" si="2"/>
        <v>45</v>
      </c>
      <c r="E46" s="31">
        <f ca="1">VLOOKUP(A46,Rankings!$B$1:$H$651,6,FALSE)+(RAND()*0.00001)</f>
        <v>81.99222366437472</v>
      </c>
      <c r="F46" s="31">
        <f ca="1">E46-VLOOKUP(Settings!$K$3,D$2:E$500,2,FALSE)</f>
        <v>-206.48611173050836</v>
      </c>
      <c r="G46" s="138">
        <f t="shared" ca="1" si="3"/>
        <v>48</v>
      </c>
      <c r="H46" s="31">
        <f ca="1">VLOOKUP(A46,Rankings!$B$1:$H$651,7,FALSE)+(RAND()*0.00001)</f>
        <v>-5.8288567359184063</v>
      </c>
      <c r="I46" s="31">
        <f ca="1">H46-VLOOKUP(Settings!$K$3,G$2:H$45,2,FALSE)</f>
        <v>-6.3731760913420974</v>
      </c>
      <c r="J46" s="31" t="str">
        <f>VLOOKUP(A46,Rankings!B:D,3,FALSE)</f>
        <v>NL</v>
      </c>
    </row>
    <row r="47" spans="1:10" ht="18.600000000000001" customHeight="1">
      <c r="A47" s="26" t="s">
        <v>721</v>
      </c>
      <c r="B47" s="27" t="s">
        <v>114</v>
      </c>
      <c r="C47" s="119" t="s">
        <v>11</v>
      </c>
      <c r="D47" s="138">
        <f t="shared" ca="1" si="2"/>
        <v>44</v>
      </c>
      <c r="E47" s="31">
        <f ca="1">VLOOKUP(A47,Rankings!$B$1:$H$651,6,FALSE)+(RAND()*0.00001)</f>
        <v>87.008891906216391</v>
      </c>
      <c r="F47" s="31">
        <f ca="1">E47-VLOOKUP(Settings!$K$3,D$2:E$500,2,FALSE)</f>
        <v>-201.46944348866668</v>
      </c>
      <c r="G47" s="138">
        <f t="shared" ca="1" si="3"/>
        <v>44</v>
      </c>
      <c r="H47" s="31">
        <f ca="1">VLOOKUP(A47,Rankings!$B$1:$H$651,7,FALSE)+(RAND()*0.00001)</f>
        <v>-5.209306037709398</v>
      </c>
      <c r="I47" s="31">
        <f ca="1">H47-VLOOKUP(Settings!$K$3,G$2:H$45,2,FALSE)</f>
        <v>-5.7536253931330892</v>
      </c>
      <c r="J47" s="31" t="str">
        <f>VLOOKUP(A47,Rankings!B:D,3,FALSE)</f>
        <v>AL</v>
      </c>
    </row>
    <row r="48" spans="1:10" ht="18.600000000000001" customHeight="1">
      <c r="A48" s="26" t="s">
        <v>726</v>
      </c>
      <c r="B48" s="27" t="s">
        <v>114</v>
      </c>
      <c r="C48" s="119" t="s">
        <v>11</v>
      </c>
      <c r="D48" s="138">
        <f t="shared" ca="1" si="2"/>
        <v>47</v>
      </c>
      <c r="E48" s="31">
        <f ca="1">VLOOKUP(A48,Rankings!$B$1:$H$651,6,FALSE)+(RAND()*0.00001)</f>
        <v>64.171115646302482</v>
      </c>
      <c r="F48" s="31">
        <f ca="1">E48-VLOOKUP(Settings!$K$3,D$2:E$500,2,FALSE)</f>
        <v>-224.30721974858056</v>
      </c>
      <c r="G48" s="138">
        <f t="shared" ca="1" si="3"/>
        <v>45</v>
      </c>
      <c r="H48" s="31">
        <f ca="1">VLOOKUP(A48,Rankings!$B$1:$H$651,7,FALSE)+(RAND()*0.00001)</f>
        <v>-5.6883293569553617</v>
      </c>
      <c r="I48" s="31">
        <f ca="1">H48-VLOOKUP(Settings!$K$3,G$2:H$45,2,FALSE)</f>
        <v>-6.2326487123790528</v>
      </c>
      <c r="J48" s="31" t="str">
        <f>VLOOKUP(A48,Rankings!B:D,3,FALSE)</f>
        <v>AL</v>
      </c>
    </row>
    <row r="49" spans="1:10" ht="18.600000000000001" customHeight="1">
      <c r="A49" s="26" t="s">
        <v>716</v>
      </c>
      <c r="B49" s="27" t="s">
        <v>114</v>
      </c>
      <c r="C49" s="119" t="s">
        <v>11</v>
      </c>
      <c r="D49" s="138">
        <f t="shared" ca="1" si="2"/>
        <v>48</v>
      </c>
      <c r="E49" s="31">
        <f ca="1">VLOOKUP(A49,Rankings!$B$1:$H$651,6,FALSE)+(RAND()*0.00001)</f>
        <v>51.627226443297758</v>
      </c>
      <c r="F49" s="31">
        <f ca="1">E49-VLOOKUP(Settings!$K$3,D$2:E$500,2,FALSE)</f>
        <v>-236.8511089515853</v>
      </c>
      <c r="G49" s="138">
        <f t="shared" ca="1" si="3"/>
        <v>46</v>
      </c>
      <c r="H49" s="31">
        <f ca="1">VLOOKUP(A49,Rankings!$B$1:$H$651,7,FALSE)+(RAND()*0.00001)</f>
        <v>-5.7107639555326681</v>
      </c>
      <c r="I49" s="31">
        <f ca="1">H49-VLOOKUP(Settings!$K$3,G$2:H$45,2,FALSE)</f>
        <v>-6.2550833109563593</v>
      </c>
      <c r="J49" s="31" t="str">
        <f>VLOOKUP(A49,Rankings!B:D,3,FALSE)</f>
        <v>AL</v>
      </c>
    </row>
    <row r="50" spans="1:10" ht="18.600000000000001" customHeight="1">
      <c r="A50" s="26" t="s">
        <v>747</v>
      </c>
      <c r="B50" s="27" t="s">
        <v>81</v>
      </c>
      <c r="C50" s="119" t="s">
        <v>11</v>
      </c>
      <c r="D50" s="138">
        <f t="shared" ca="1" si="2"/>
        <v>49</v>
      </c>
      <c r="E50" s="31">
        <f ca="1">VLOOKUP(A50,Rankings!$B$1:$H$651,6,FALSE)+(RAND()*0.00001)</f>
        <v>51.400836411659071</v>
      </c>
      <c r="F50" s="31">
        <f ca="1">E50-VLOOKUP(Settings!$K$3,D$2:E$500,2,FALSE)</f>
        <v>-237.07749898322399</v>
      </c>
      <c r="G50" s="138">
        <f t="shared" ca="1" si="3"/>
        <v>49</v>
      </c>
      <c r="H50" s="31">
        <f ca="1">VLOOKUP(A50,Rankings!$B$1:$H$651,7,FALSE)+(RAND()*0.00001)</f>
        <v>-6.7573177510226587</v>
      </c>
      <c r="I50" s="31">
        <f ca="1">H50-VLOOKUP(Settings!$K$3,G$2:H$45,2,FALSE)</f>
        <v>-7.3016371064463499</v>
      </c>
      <c r="J50" s="31" t="str">
        <f>VLOOKUP(A50,Rankings!B:D,3,FALSE)</f>
        <v>NL</v>
      </c>
    </row>
    <row r="51" spans="1:10" ht="20.100000000000001" customHeight="1">
      <c r="J51" s="31"/>
    </row>
    <row r="52" spans="1:10" ht="20.100000000000001" customHeight="1">
      <c r="J52" s="31"/>
    </row>
    <row r="53" spans="1:10" ht="20.100000000000001" customHeight="1">
      <c r="J53" s="31"/>
    </row>
    <row r="54" spans="1:10" ht="20.100000000000001" customHeight="1">
      <c r="J54" s="31"/>
    </row>
    <row r="55" spans="1:10" ht="20.100000000000001" customHeight="1">
      <c r="J55" s="31"/>
    </row>
    <row r="56" spans="1:10" ht="20.100000000000001" customHeight="1">
      <c r="J56" s="31"/>
    </row>
    <row r="57" spans="1:10" ht="20.100000000000001" customHeight="1">
      <c r="J57" s="31"/>
    </row>
    <row r="58" spans="1:10" ht="20.100000000000001" customHeight="1">
      <c r="J58" s="31"/>
    </row>
    <row r="59" spans="1:10" ht="20.100000000000001" customHeight="1">
      <c r="J59" s="31"/>
    </row>
    <row r="60" spans="1:10" ht="20.100000000000001" customHeight="1">
      <c r="J60" s="31"/>
    </row>
    <row r="61" spans="1:10" ht="20.100000000000001" customHeight="1">
      <c r="J61" s="31"/>
    </row>
    <row r="62" spans="1:10" ht="20.100000000000001" customHeight="1">
      <c r="J62" s="31"/>
    </row>
    <row r="63" spans="1:10" ht="20.100000000000001" customHeight="1">
      <c r="J63" s="31"/>
    </row>
    <row r="64" spans="1:10" ht="20.100000000000001" customHeight="1">
      <c r="J64" s="31"/>
    </row>
    <row r="65" spans="10:10" ht="20.100000000000001" customHeight="1">
      <c r="J65" s="31"/>
    </row>
    <row r="66" spans="10:10" ht="20.100000000000001" customHeight="1">
      <c r="J66" s="31"/>
    </row>
    <row r="67" spans="10:10" ht="20.100000000000001" customHeight="1">
      <c r="J67" s="31"/>
    </row>
    <row r="68" spans="10:10" ht="20.100000000000001" customHeight="1">
      <c r="J68" s="31"/>
    </row>
    <row r="69" spans="10:10" ht="20.100000000000001" customHeight="1">
      <c r="J69" s="31"/>
    </row>
    <row r="70" spans="10:10" ht="20.100000000000001" customHeight="1">
      <c r="J70" s="31"/>
    </row>
    <row r="71" spans="10:10" ht="20.100000000000001" customHeight="1">
      <c r="J71" s="31"/>
    </row>
    <row r="72" spans="10:10" ht="20.100000000000001" customHeight="1">
      <c r="J72" s="31"/>
    </row>
    <row r="73" spans="10:10" ht="20.100000000000001" customHeight="1">
      <c r="J73" s="31"/>
    </row>
    <row r="74" spans="10:10" ht="20.100000000000001" customHeight="1">
      <c r="J74" s="31"/>
    </row>
    <row r="75" spans="10:10" ht="20.100000000000001" customHeight="1">
      <c r="J75" s="31"/>
    </row>
    <row r="76" spans="10:10" ht="20.100000000000001" customHeight="1">
      <c r="J76" s="31"/>
    </row>
    <row r="77" spans="10:10" ht="20.100000000000001" customHeight="1">
      <c r="J77" s="31"/>
    </row>
    <row r="78" spans="10:10" ht="20.100000000000001" customHeight="1">
      <c r="J78" s="31"/>
    </row>
    <row r="79" spans="10:10" ht="20.100000000000001" customHeight="1">
      <c r="J79" s="31"/>
    </row>
    <row r="80" spans="10:10" ht="20.100000000000001" customHeight="1">
      <c r="J80" s="31"/>
    </row>
    <row r="81" spans="10:10" ht="20.100000000000001" customHeight="1">
      <c r="J81" s="31"/>
    </row>
    <row r="82" spans="10:10" ht="20.100000000000001" customHeight="1">
      <c r="J82" s="31"/>
    </row>
    <row r="83" spans="10:10" ht="20.100000000000001" customHeight="1">
      <c r="J83" s="31"/>
    </row>
    <row r="84" spans="10:10" ht="20.100000000000001" customHeight="1">
      <c r="J84" s="31"/>
    </row>
    <row r="85" spans="10:10" ht="20.100000000000001" customHeight="1">
      <c r="J85" s="31"/>
    </row>
    <row r="86" spans="10:10" ht="20.100000000000001" customHeight="1">
      <c r="J86" s="31"/>
    </row>
    <row r="87" spans="10:10" ht="20.100000000000001" customHeight="1">
      <c r="J87" s="31"/>
    </row>
    <row r="88" spans="10:10" ht="20.100000000000001" customHeight="1">
      <c r="J88" s="31"/>
    </row>
    <row r="89" spans="10:10" ht="20.100000000000001" customHeight="1">
      <c r="J89" s="31"/>
    </row>
    <row r="90" spans="10:10" ht="20.100000000000001" customHeight="1">
      <c r="J90" s="31"/>
    </row>
    <row r="91" spans="10:10" ht="20.100000000000001" customHeight="1">
      <c r="J91" s="31"/>
    </row>
    <row r="92" spans="10:10" ht="20.100000000000001" customHeight="1">
      <c r="J92" s="31"/>
    </row>
    <row r="93" spans="10:10" ht="20.100000000000001" customHeight="1">
      <c r="J93" s="31"/>
    </row>
    <row r="94" spans="10:10" ht="20.100000000000001" customHeight="1">
      <c r="J94" s="31"/>
    </row>
    <row r="95" spans="10:10" ht="20.100000000000001" customHeight="1">
      <c r="J95" s="31"/>
    </row>
    <row r="96" spans="10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50" xr:uid="{00000000-0001-0000-0600-000000000000}">
    <sortState xmlns:xlrd2="http://schemas.microsoft.com/office/spreadsheetml/2017/richdata2" ref="A2:I50">
      <sortCondition ref="D1:D50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75</v>
      </c>
      <c r="B2" s="27" t="s">
        <v>76</v>
      </c>
      <c r="C2" s="120" t="s">
        <v>15</v>
      </c>
      <c r="D2" s="138">
        <f t="shared" ref="D2:D33" ca="1" si="0">RANK(E2,E$2:E$55)</f>
        <v>1</v>
      </c>
      <c r="E2" s="31">
        <f ca="1">VLOOKUP(A2,Rankings!$B$1:$H$651,6,FALSE)+(RAND()*0.00001)</f>
        <v>555.1538915151317</v>
      </c>
      <c r="F2" s="31">
        <f ca="1">E2-VLOOKUP(Settings!$K$4,D$2:E$500,2,FALSE)</f>
        <v>263.55088844058508</v>
      </c>
      <c r="G2" s="138">
        <f t="shared" ref="G2:G33" ca="1" si="1">RANK(H2,H$2:H$500)</f>
        <v>1</v>
      </c>
      <c r="H2" s="31">
        <f ca="1">VLOOKUP(A2,Rankings!$B$1:$H$651,7,FALSE)+(RAND()*0.00001)</f>
        <v>9.8765711811746151</v>
      </c>
      <c r="I2" s="31">
        <f ca="1">H2-VLOOKUP(Settings!$K$4,G$2:H$45,2,FALSE)</f>
        <v>9.6510841311929259</v>
      </c>
      <c r="J2" s="31" t="str">
        <f>VLOOKUP(A2,Rankings!B:D,3,FALSE)</f>
        <v>AL</v>
      </c>
    </row>
    <row r="3" spans="1:10" ht="20.100000000000001" customHeight="1">
      <c r="A3" s="26" t="s">
        <v>88</v>
      </c>
      <c r="B3" s="27" t="s">
        <v>63</v>
      </c>
      <c r="C3" s="120" t="s">
        <v>15</v>
      </c>
      <c r="D3" s="138">
        <f t="shared" ca="1" si="0"/>
        <v>2</v>
      </c>
      <c r="E3" s="31">
        <f ca="1">VLOOKUP(A3,Rankings!$B$1:$H$651,6,FALSE)+(RAND()*0.00001)</f>
        <v>493.07722672925041</v>
      </c>
      <c r="F3" s="31">
        <f ca="1">E3-VLOOKUP(Settings!$K$4,D$2:E$500,2,FALSE)</f>
        <v>201.47422365470379</v>
      </c>
      <c r="G3" s="138">
        <f t="shared" ca="1" si="1"/>
        <v>2</v>
      </c>
      <c r="H3" s="31">
        <f ca="1">VLOOKUP(A3,Rankings!$B$1:$H$651,7,FALSE)+(RAND()*0.00001)</f>
        <v>7.7833007564724435</v>
      </c>
      <c r="I3" s="31">
        <f ca="1">H3-VLOOKUP(Settings!$K$4,G$2:H$45,2,FALSE)</f>
        <v>7.5578137064907542</v>
      </c>
      <c r="J3" s="31" t="str">
        <f>VLOOKUP(A3,Rankings!B:D,3,FALSE)</f>
        <v>NL</v>
      </c>
    </row>
    <row r="4" spans="1:10" ht="18.600000000000001" customHeight="1">
      <c r="A4" s="26" t="s">
        <v>102</v>
      </c>
      <c r="B4" s="27" t="s">
        <v>103</v>
      </c>
      <c r="C4" s="120" t="s">
        <v>15</v>
      </c>
      <c r="D4" s="138">
        <f t="shared" ca="1" si="0"/>
        <v>3</v>
      </c>
      <c r="E4" s="31">
        <f ca="1">VLOOKUP(A4,Rankings!$B$1:$H$651,6,FALSE)+(RAND()*0.00001)</f>
        <v>490.4416749705963</v>
      </c>
      <c r="F4" s="31">
        <f ca="1">E4-VLOOKUP(Settings!$K$4,D$2:E$500,2,FALSE)</f>
        <v>198.83867189604968</v>
      </c>
      <c r="G4" s="138">
        <f t="shared" ca="1" si="1"/>
        <v>3</v>
      </c>
      <c r="H4" s="31">
        <f ca="1">VLOOKUP(A4,Rankings!$B$1:$H$651,7,FALSE)+(RAND()*0.00001)</f>
        <v>7.7389464634641021</v>
      </c>
      <c r="I4" s="31">
        <f ca="1">H4-VLOOKUP(Settings!$K$4,G$2:H$45,2,FALSE)</f>
        <v>7.5134594134824129</v>
      </c>
      <c r="J4" s="31" t="str">
        <f>VLOOKUP(A4,Rankings!B:D,3,FALSE)</f>
        <v>AL</v>
      </c>
    </row>
    <row r="5" spans="1:10" ht="20.100000000000001" customHeight="1">
      <c r="A5" s="26" t="s">
        <v>122</v>
      </c>
      <c r="B5" s="27" t="s">
        <v>123</v>
      </c>
      <c r="C5" s="120" t="s">
        <v>15</v>
      </c>
      <c r="D5" s="138">
        <f t="shared" ca="1" si="0"/>
        <v>4</v>
      </c>
      <c r="E5" s="31">
        <f ca="1">VLOOKUP(A5,Rankings!$B$1:$H$651,6,FALSE)+(RAND()*0.00001)</f>
        <v>470.36167439252034</v>
      </c>
      <c r="F5" s="31">
        <f ca="1">E5-VLOOKUP(Settings!$K$4,D$2:E$500,2,FALSE)</f>
        <v>178.75867131797372</v>
      </c>
      <c r="G5" s="138">
        <f t="shared" ca="1" si="1"/>
        <v>5</v>
      </c>
      <c r="H5" s="31">
        <f ca="1">VLOOKUP(A5,Rankings!$B$1:$H$651,7,FALSE)+(RAND()*0.00001)</f>
        <v>5.8734125046487549</v>
      </c>
      <c r="I5" s="31">
        <f ca="1">H5-VLOOKUP(Settings!$K$4,G$2:H$45,2,FALSE)</f>
        <v>5.6479254546670656</v>
      </c>
      <c r="J5" s="31" t="str">
        <f>VLOOKUP(A5,Rankings!B:D,3,FALSE)</f>
        <v>NL</v>
      </c>
    </row>
    <row r="6" spans="1:10" ht="18.600000000000001" customHeight="1">
      <c r="A6" s="26" t="s">
        <v>185</v>
      </c>
      <c r="B6" s="27" t="s">
        <v>78</v>
      </c>
      <c r="C6" s="120" t="s">
        <v>15</v>
      </c>
      <c r="D6" s="138">
        <f t="shared" ca="1" si="0"/>
        <v>5</v>
      </c>
      <c r="E6" s="31">
        <f ca="1">VLOOKUP(A6,Rankings!$B$1:$H$651,6,FALSE)+(RAND()*0.00001)</f>
        <v>463.04555617351224</v>
      </c>
      <c r="F6" s="31">
        <f ca="1">E6-VLOOKUP(Settings!$K$4,D$2:E$500,2,FALSE)</f>
        <v>171.44255309896562</v>
      </c>
      <c r="G6" s="138">
        <f t="shared" ca="1" si="1"/>
        <v>6</v>
      </c>
      <c r="H6" s="31">
        <f ca="1">VLOOKUP(A6,Rankings!$B$1:$H$651,7,FALSE)+(RAND()*0.00001)</f>
        <v>4.5421741437401479</v>
      </c>
      <c r="I6" s="31">
        <f ca="1">H6-VLOOKUP(Settings!$K$4,G$2:H$45,2,FALSE)</f>
        <v>4.3166870937584587</v>
      </c>
      <c r="J6" s="31" t="str">
        <f>VLOOKUP(A6,Rankings!B:D,3,FALSE)</f>
        <v>AL</v>
      </c>
    </row>
    <row r="7" spans="1:10" ht="18.600000000000001" customHeight="1">
      <c r="A7" s="26" t="s">
        <v>106</v>
      </c>
      <c r="B7" s="27" t="s">
        <v>73</v>
      </c>
      <c r="C7" s="120" t="s">
        <v>15</v>
      </c>
      <c r="D7" s="138">
        <f t="shared" ca="1" si="0"/>
        <v>6</v>
      </c>
      <c r="E7" s="31">
        <f ca="1">VLOOKUP(A7,Rankings!$B$1:$H$651,6,FALSE)+(RAND()*0.00001)</f>
        <v>462.801670064723</v>
      </c>
      <c r="F7" s="31">
        <f ca="1">E7-VLOOKUP(Settings!$K$4,D$2:E$500,2,FALSE)</f>
        <v>171.19866699017638</v>
      </c>
      <c r="G7" s="138">
        <f t="shared" ca="1" si="1"/>
        <v>4</v>
      </c>
      <c r="H7" s="31">
        <f ca="1">VLOOKUP(A7,Rankings!$B$1:$H$651,7,FALSE)+(RAND()*0.00001)</f>
        <v>7.0575409848993464</v>
      </c>
      <c r="I7" s="31">
        <f ca="1">H7-VLOOKUP(Settings!$K$4,G$2:H$45,2,FALSE)</f>
        <v>6.8320539349176572</v>
      </c>
      <c r="J7" s="31" t="str">
        <f>VLOOKUP(A7,Rankings!B:D,3,FALSE)</f>
        <v>NL</v>
      </c>
    </row>
    <row r="8" spans="1:10" ht="18.600000000000001" customHeight="1">
      <c r="A8" s="26" t="s">
        <v>242</v>
      </c>
      <c r="B8" s="27" t="s">
        <v>94</v>
      </c>
      <c r="C8" s="120" t="s">
        <v>15</v>
      </c>
      <c r="D8" s="138">
        <f t="shared" ca="1" si="0"/>
        <v>8</v>
      </c>
      <c r="E8" s="31">
        <f ca="1">VLOOKUP(A8,Rankings!$B$1:$H$651,6,FALSE)+(RAND()*0.00001)</f>
        <v>383.60667473840994</v>
      </c>
      <c r="F8" s="31">
        <f ca="1">E8-VLOOKUP(Settings!$K$4,D$2:E$500,2,FALSE)</f>
        <v>92.003671663863315</v>
      </c>
      <c r="G8" s="138">
        <f t="shared" ca="1" si="1"/>
        <v>11</v>
      </c>
      <c r="H8" s="31">
        <f ca="1">VLOOKUP(A8,Rankings!$B$1:$H$651,7,FALSE)+(RAND()*0.00001)</f>
        <v>2.9056701738489323</v>
      </c>
      <c r="I8" s="31">
        <f ca="1">H8-VLOOKUP(Settings!$K$4,G$2:H$45,2,FALSE)</f>
        <v>2.6801831238672431</v>
      </c>
      <c r="J8" s="31" t="str">
        <f>VLOOKUP(A8,Rankings!B:D,3,FALSE)</f>
        <v>AL</v>
      </c>
    </row>
    <row r="9" spans="1:10" ht="18.600000000000001" customHeight="1">
      <c r="A9" s="26" t="s">
        <v>251</v>
      </c>
      <c r="B9" s="27" t="s">
        <v>101</v>
      </c>
      <c r="C9" s="120" t="s">
        <v>15</v>
      </c>
      <c r="D9" s="138">
        <f t="shared" ca="1" si="0"/>
        <v>7</v>
      </c>
      <c r="E9" s="31">
        <f ca="1">VLOOKUP(A9,Rankings!$B$1:$H$651,6,FALSE)+(RAND()*0.00001)</f>
        <v>386.13944989729112</v>
      </c>
      <c r="F9" s="31">
        <f ca="1">E9-VLOOKUP(Settings!$K$4,D$2:E$500,2,FALSE)</f>
        <v>94.536446822744495</v>
      </c>
      <c r="G9" s="138">
        <f t="shared" ca="1" si="1"/>
        <v>12</v>
      </c>
      <c r="H9" s="31">
        <f ca="1">VLOOKUP(A9,Rankings!$B$1:$H$651,7,FALSE)+(RAND()*0.00001)</f>
        <v>2.6013142187719893</v>
      </c>
      <c r="I9" s="31">
        <f ca="1">H9-VLOOKUP(Settings!$K$4,G$2:H$45,2,FALSE)</f>
        <v>2.3758271687903001</v>
      </c>
      <c r="J9" s="31" t="str">
        <f>VLOOKUP(A9,Rankings!B:D,3,FALSE)</f>
        <v>AL</v>
      </c>
    </row>
    <row r="10" spans="1:10" ht="18.600000000000001" customHeight="1">
      <c r="A10" s="26" t="s">
        <v>213</v>
      </c>
      <c r="B10" s="27" t="s">
        <v>99</v>
      </c>
      <c r="C10" s="120" t="s">
        <v>15</v>
      </c>
      <c r="D10" s="138">
        <f t="shared" ca="1" si="0"/>
        <v>11</v>
      </c>
      <c r="E10" s="31">
        <f ca="1">VLOOKUP(A10,Rankings!$B$1:$H$651,6,FALSE)+(RAND()*0.00001)</f>
        <v>362.86611130177823</v>
      </c>
      <c r="F10" s="31">
        <f ca="1">E10-VLOOKUP(Settings!$K$4,D$2:E$500,2,FALSE)</f>
        <v>71.263108227231612</v>
      </c>
      <c r="G10" s="138">
        <f t="shared" ca="1" si="1"/>
        <v>10</v>
      </c>
      <c r="H10" s="31">
        <f ca="1">VLOOKUP(A10,Rankings!$B$1:$H$651,7,FALSE)+(RAND()*0.00001)</f>
        <v>2.9319211524191662</v>
      </c>
      <c r="I10" s="31">
        <f ca="1">H10-VLOOKUP(Settings!$K$4,G$2:H$45,2,FALSE)</f>
        <v>2.706434102437477</v>
      </c>
      <c r="J10" s="31" t="str">
        <f>VLOOKUP(A10,Rankings!B:D,3,FALSE)</f>
        <v>AL</v>
      </c>
    </row>
    <row r="11" spans="1:10" ht="20.100000000000001" customHeight="1">
      <c r="A11" s="26" t="s">
        <v>203</v>
      </c>
      <c r="B11" s="27" t="s">
        <v>176</v>
      </c>
      <c r="C11" s="120" t="s">
        <v>15</v>
      </c>
      <c r="D11" s="138">
        <f t="shared" ca="1" si="0"/>
        <v>10</v>
      </c>
      <c r="E11" s="31">
        <f ca="1">VLOOKUP(A11,Rankings!$B$1:$H$651,6,FALSE)+(RAND()*0.00001)</f>
        <v>364.93833401830994</v>
      </c>
      <c r="F11" s="31">
        <f ca="1">E11-VLOOKUP(Settings!$K$4,D$2:E$500,2,FALSE)</f>
        <v>73.335330943763324</v>
      </c>
      <c r="G11" s="138">
        <f t="shared" ca="1" si="1"/>
        <v>8</v>
      </c>
      <c r="H11" s="31">
        <f ca="1">VLOOKUP(A11,Rankings!$B$1:$H$651,7,FALSE)+(RAND()*0.00001)</f>
        <v>3.1300306807517062</v>
      </c>
      <c r="I11" s="31">
        <f ca="1">H11-VLOOKUP(Settings!$K$4,G$2:H$45,2,FALSE)</f>
        <v>2.904543630770017</v>
      </c>
      <c r="J11" s="31" t="str">
        <f>VLOOKUP(A11,Rankings!B:D,3,FALSE)</f>
        <v>NL</v>
      </c>
    </row>
    <row r="12" spans="1:10" ht="20.100000000000001" customHeight="1">
      <c r="A12" s="26" t="s">
        <v>249</v>
      </c>
      <c r="B12" s="27" t="s">
        <v>91</v>
      </c>
      <c r="C12" s="120" t="s">
        <v>15</v>
      </c>
      <c r="D12" s="138">
        <f t="shared" ca="1" si="0"/>
        <v>9</v>
      </c>
      <c r="E12" s="31">
        <f ca="1">VLOOKUP(A12,Rankings!$B$1:$H$651,6,FALSE)+(RAND()*0.00001)</f>
        <v>371.81049484524527</v>
      </c>
      <c r="F12" s="31">
        <f ca="1">E12-VLOOKUP(Settings!$K$4,D$2:E$500,2,FALSE)</f>
        <v>80.207491770698653</v>
      </c>
      <c r="G12" s="138">
        <f t="shared" ca="1" si="1"/>
        <v>7</v>
      </c>
      <c r="H12" s="31">
        <f ca="1">VLOOKUP(A12,Rankings!$B$1:$H$651,7,FALSE)+(RAND()*0.00001)</f>
        <v>3.4160577062419386</v>
      </c>
      <c r="I12" s="31">
        <f ca="1">H12-VLOOKUP(Settings!$K$4,G$2:H$45,2,FALSE)</f>
        <v>3.1905706562602498</v>
      </c>
      <c r="J12" s="31" t="str">
        <f>VLOOKUP(A12,Rankings!B:D,3,FALSE)</f>
        <v>NL</v>
      </c>
    </row>
    <row r="13" spans="1:10" ht="18.600000000000001" customHeight="1">
      <c r="A13" s="26" t="s">
        <v>228</v>
      </c>
      <c r="B13" s="27" t="s">
        <v>137</v>
      </c>
      <c r="C13" s="120" t="s">
        <v>15</v>
      </c>
      <c r="D13" s="138">
        <f t="shared" ca="1" si="0"/>
        <v>12</v>
      </c>
      <c r="E13" s="31">
        <f ca="1">VLOOKUP(A13,Rankings!$B$1:$H$651,6,FALSE)+(RAND()*0.00001)</f>
        <v>355.87611435961583</v>
      </c>
      <c r="F13" s="31">
        <f ca="1">E13-VLOOKUP(Settings!$K$4,D$2:E$500,2,FALSE)</f>
        <v>64.273111285069206</v>
      </c>
      <c r="G13" s="138">
        <f t="shared" ca="1" si="1"/>
        <v>9</v>
      </c>
      <c r="H13" s="31">
        <f ca="1">VLOOKUP(A13,Rankings!$B$1:$H$651,7,FALSE)+(RAND()*0.00001)</f>
        <v>2.9466456011905251</v>
      </c>
      <c r="I13" s="31">
        <f ca="1">H13-VLOOKUP(Settings!$K$4,G$2:H$45,2,FALSE)</f>
        <v>2.7211585512088359</v>
      </c>
      <c r="J13" s="31" t="str">
        <f>VLOOKUP(A13,Rankings!B:D,3,FALSE)</f>
        <v>NL</v>
      </c>
    </row>
    <row r="14" spans="1:10" ht="18.600000000000001" customHeight="1">
      <c r="A14" s="26" t="s">
        <v>329</v>
      </c>
      <c r="B14" s="27" t="s">
        <v>84</v>
      </c>
      <c r="C14" s="120" t="s">
        <v>15</v>
      </c>
      <c r="D14" s="138">
        <f t="shared" ca="1" si="0"/>
        <v>13</v>
      </c>
      <c r="E14" s="31">
        <f ca="1">VLOOKUP(A14,Rankings!$B$1:$H$651,6,FALSE)+(RAND()*0.00001)</f>
        <v>341.29944771934464</v>
      </c>
      <c r="F14" s="31">
        <f ca="1">E14-VLOOKUP(Settings!$K$4,D$2:E$500,2,FALSE)</f>
        <v>49.696444644798021</v>
      </c>
      <c r="G14" s="138">
        <f t="shared" ca="1" si="1"/>
        <v>14</v>
      </c>
      <c r="H14" s="31">
        <f ca="1">VLOOKUP(A14,Rankings!$B$1:$H$651,7,FALSE)+(RAND()*0.00001)</f>
        <v>1.419169044742554</v>
      </c>
      <c r="I14" s="31">
        <f ca="1">H14-VLOOKUP(Settings!$K$4,G$2:H$45,2,FALSE)</f>
        <v>1.193681994760865</v>
      </c>
      <c r="J14" s="31" t="str">
        <f>VLOOKUP(A14,Rankings!B:D,3,FALSE)</f>
        <v>AL</v>
      </c>
    </row>
    <row r="15" spans="1:10" ht="18.600000000000001" customHeight="1">
      <c r="A15" s="26" t="s">
        <v>270</v>
      </c>
      <c r="B15" s="27" t="s">
        <v>71</v>
      </c>
      <c r="C15" s="120" t="s">
        <v>15</v>
      </c>
      <c r="D15" s="138">
        <f t="shared" ca="1" si="0"/>
        <v>14</v>
      </c>
      <c r="E15" s="31">
        <f ca="1">VLOOKUP(A15,Rankings!$B$1:$H$651,6,FALSE)+(RAND()*0.00001)</f>
        <v>339.69611678882643</v>
      </c>
      <c r="F15" s="31">
        <f ca="1">E15-VLOOKUP(Settings!$K$4,D$2:E$500,2,FALSE)</f>
        <v>48.093113714279809</v>
      </c>
      <c r="G15" s="138">
        <f t="shared" ca="1" si="1"/>
        <v>16</v>
      </c>
      <c r="H15" s="31">
        <f ca="1">VLOOKUP(A15,Rankings!$B$1:$H$651,7,FALSE)+(RAND()*0.00001)</f>
        <v>1.252935477931485</v>
      </c>
      <c r="I15" s="31">
        <f ca="1">H15-VLOOKUP(Settings!$K$4,G$2:H$45,2,FALSE)</f>
        <v>1.027448427949796</v>
      </c>
      <c r="J15" s="31" t="str">
        <f>VLOOKUP(A15,Rankings!B:D,3,FALSE)</f>
        <v>AL</v>
      </c>
    </row>
    <row r="16" spans="1:10" ht="18.600000000000001" customHeight="1">
      <c r="A16" s="26" t="s">
        <v>248</v>
      </c>
      <c r="B16" s="27" t="s">
        <v>103</v>
      </c>
      <c r="C16" s="120" t="s">
        <v>15</v>
      </c>
      <c r="D16" s="138">
        <f t="shared" ca="1" si="0"/>
        <v>15</v>
      </c>
      <c r="E16" s="31">
        <f ca="1">VLOOKUP(A16,Rankings!$B$1:$H$651,6,FALSE)+(RAND()*0.00001)</f>
        <v>332.254449681582</v>
      </c>
      <c r="F16" s="31">
        <f ca="1">E16-VLOOKUP(Settings!$K$4,D$2:E$500,2,FALSE)</f>
        <v>40.651446607035382</v>
      </c>
      <c r="G16" s="138">
        <f t="shared" ca="1" si="1"/>
        <v>13</v>
      </c>
      <c r="H16" s="31">
        <f ca="1">VLOOKUP(A16,Rankings!$B$1:$H$651,7,FALSE)+(RAND()*0.00001)</f>
        <v>1.8133514249579183</v>
      </c>
      <c r="I16" s="31">
        <f ca="1">H16-VLOOKUP(Settings!$K$4,G$2:H$45,2,FALSE)</f>
        <v>1.5878643749762293</v>
      </c>
      <c r="J16" s="31" t="str">
        <f>VLOOKUP(A16,Rankings!B:D,3,FALSE)</f>
        <v>AL</v>
      </c>
    </row>
    <row r="17" spans="1:10" ht="18.600000000000001" customHeight="1">
      <c r="A17" s="26" t="s">
        <v>349</v>
      </c>
      <c r="B17" s="27" t="s">
        <v>114</v>
      </c>
      <c r="C17" s="120" t="s">
        <v>15</v>
      </c>
      <c r="D17" s="138">
        <f t="shared" ca="1" si="0"/>
        <v>16</v>
      </c>
      <c r="E17" s="31">
        <f ca="1">VLOOKUP(A17,Rankings!$B$1:$H$651,6,FALSE)+(RAND()*0.00001)</f>
        <v>323.10389513549529</v>
      </c>
      <c r="F17" s="31">
        <f ca="1">E17-VLOOKUP(Settings!$K$4,D$2:E$500,2,FALSE)</f>
        <v>31.500892060948672</v>
      </c>
      <c r="G17" s="138">
        <f t="shared" ca="1" si="1"/>
        <v>17</v>
      </c>
      <c r="H17" s="31">
        <f ca="1">VLOOKUP(A17,Rankings!$B$1:$H$651,7,FALSE)+(RAND()*0.00001)</f>
        <v>1.0398731185503687</v>
      </c>
      <c r="I17" s="31">
        <f ca="1">H17-VLOOKUP(Settings!$K$4,G$2:H$45,2,FALSE)</f>
        <v>0.81438606856867968</v>
      </c>
      <c r="J17" s="31" t="str">
        <f>VLOOKUP(A17,Rankings!B:D,3,FALSE)</f>
        <v>AL</v>
      </c>
    </row>
    <row r="18" spans="1:10" ht="18.600000000000001" customHeight="1">
      <c r="A18" s="26" t="s">
        <v>360</v>
      </c>
      <c r="B18" s="27" t="s">
        <v>63</v>
      </c>
      <c r="C18" s="120" t="s">
        <v>15</v>
      </c>
      <c r="D18" s="138">
        <f t="shared" ca="1" si="0"/>
        <v>17</v>
      </c>
      <c r="E18" s="31">
        <f ca="1">VLOOKUP(A18,Rankings!$B$1:$H$651,6,FALSE)+(RAND()*0.00001)</f>
        <v>306.84500058489749</v>
      </c>
      <c r="F18" s="31">
        <f ca="1">E18-VLOOKUP(Settings!$K$4,D$2:E$500,2,FALSE)</f>
        <v>15.24199751035087</v>
      </c>
      <c r="G18" s="138">
        <f t="shared" ca="1" si="1"/>
        <v>21</v>
      </c>
      <c r="H18" s="31">
        <f ca="1">VLOOKUP(A18,Rankings!$B$1:$H$651,7,FALSE)+(RAND()*0.00001)</f>
        <v>0.69806659853687381</v>
      </c>
      <c r="I18" s="31">
        <f ca="1">H18-VLOOKUP(Settings!$K$4,G$2:H$45,2,FALSE)</f>
        <v>0.4725795485551848</v>
      </c>
      <c r="J18" s="31" t="str">
        <f>VLOOKUP(A18,Rankings!B:D,3,FALSE)</f>
        <v>NL</v>
      </c>
    </row>
    <row r="19" spans="1:10" ht="18.600000000000001" customHeight="1">
      <c r="A19" s="26" t="s">
        <v>374</v>
      </c>
      <c r="B19" s="27" t="s">
        <v>86</v>
      </c>
      <c r="C19" s="120" t="s">
        <v>15</v>
      </c>
      <c r="D19" s="138">
        <f t="shared" ca="1" si="0"/>
        <v>23</v>
      </c>
      <c r="E19" s="31">
        <f ca="1">VLOOKUP(A19,Rankings!$B$1:$H$651,6,FALSE)+(RAND()*0.00001)</f>
        <v>292.51600756205499</v>
      </c>
      <c r="F19" s="31">
        <f ca="1">E19-VLOOKUP(Settings!$K$4,D$2:E$500,2,FALSE)</f>
        <v>0.91300448750837404</v>
      </c>
      <c r="G19" s="138">
        <f t="shared" ca="1" si="1"/>
        <v>18</v>
      </c>
      <c r="H19" s="31">
        <f ca="1">VLOOKUP(A19,Rankings!$B$1:$H$651,7,FALSE)+(RAND()*0.00001)</f>
        <v>0.95309465831773632</v>
      </c>
      <c r="I19" s="31">
        <f ca="1">H19-VLOOKUP(Settings!$K$4,G$2:H$45,2,FALSE)</f>
        <v>0.72760760833604732</v>
      </c>
      <c r="J19" s="31" t="str">
        <f>VLOOKUP(A19,Rankings!B:D,3,FALSE)</f>
        <v>AL</v>
      </c>
    </row>
    <row r="20" spans="1:10" ht="20.100000000000001" customHeight="1">
      <c r="A20" s="26" t="s">
        <v>385</v>
      </c>
      <c r="B20" s="27" t="s">
        <v>306</v>
      </c>
      <c r="C20" s="120" t="s">
        <v>15</v>
      </c>
      <c r="D20" s="138">
        <f t="shared" ca="1" si="0"/>
        <v>18</v>
      </c>
      <c r="E20" s="31">
        <f ca="1">VLOOKUP(A20,Rankings!$B$1:$H$651,6,FALSE)+(RAND()*0.00001)</f>
        <v>301.38945134859063</v>
      </c>
      <c r="F20" s="31">
        <f ca="1">E20-VLOOKUP(Settings!$K$4,D$2:E$500,2,FALSE)</f>
        <v>9.7864482740440053</v>
      </c>
      <c r="G20" s="138">
        <f t="shared" ca="1" si="1"/>
        <v>25</v>
      </c>
      <c r="H20" s="31">
        <f ca="1">VLOOKUP(A20,Rankings!$B$1:$H$651,7,FALSE)+(RAND()*0.00001)</f>
        <v>1.1629312732156267E-2</v>
      </c>
      <c r="I20" s="31">
        <f ca="1">H20-VLOOKUP(Settings!$K$4,G$2:H$45,2,FALSE)</f>
        <v>-0.21385773724953275</v>
      </c>
      <c r="J20" s="31" t="str">
        <f>VLOOKUP(A20,Rankings!B:D,3,FALSE)</f>
        <v>NL</v>
      </c>
    </row>
    <row r="21" spans="1:10" ht="20.100000000000001" customHeight="1">
      <c r="A21" s="26" t="s">
        <v>285</v>
      </c>
      <c r="B21" s="27" t="s">
        <v>91</v>
      </c>
      <c r="C21" s="120" t="s">
        <v>15</v>
      </c>
      <c r="D21" s="138">
        <f t="shared" ca="1" si="0"/>
        <v>24</v>
      </c>
      <c r="E21" s="31">
        <f ca="1">VLOOKUP(A21,Rankings!$B$1:$H$651,6,FALSE)+(RAND()*0.00001)</f>
        <v>291.60300307454662</v>
      </c>
      <c r="F21" s="31">
        <f ca="1">E21-VLOOKUP(Settings!$K$4,D$2:E$500,2,FALSE)</f>
        <v>0</v>
      </c>
      <c r="G21" s="138">
        <f t="shared" ca="1" si="1"/>
        <v>22</v>
      </c>
      <c r="H21" s="31">
        <f ca="1">VLOOKUP(A21,Rankings!$B$1:$H$651,7,FALSE)+(RAND()*0.00001)</f>
        <v>0.6221317286012471</v>
      </c>
      <c r="I21" s="31">
        <f ca="1">H21-VLOOKUP(Settings!$K$4,G$2:H$45,2,FALSE)</f>
        <v>0.3966446786195581</v>
      </c>
      <c r="J21" s="31" t="str">
        <f>VLOOKUP(A21,Rankings!B:D,3,FALSE)</f>
        <v>NL</v>
      </c>
    </row>
    <row r="22" spans="1:10" ht="18.600000000000001" customHeight="1">
      <c r="A22" s="26" t="s">
        <v>341</v>
      </c>
      <c r="B22" s="27" t="s">
        <v>123</v>
      </c>
      <c r="C22" s="120" t="s">
        <v>15</v>
      </c>
      <c r="D22" s="138">
        <f t="shared" ca="1" si="0"/>
        <v>21</v>
      </c>
      <c r="E22" s="31">
        <f ca="1">VLOOKUP(A22,Rankings!$B$1:$H$651,6,FALSE)+(RAND()*0.00001)</f>
        <v>294.06000830015671</v>
      </c>
      <c r="F22" s="31">
        <f ca="1">E22-VLOOKUP(Settings!$K$4,D$2:E$500,2,FALSE)</f>
        <v>2.4570052256100894</v>
      </c>
      <c r="G22" s="138">
        <f t="shared" ca="1" si="1"/>
        <v>24</v>
      </c>
      <c r="H22" s="31">
        <f ca="1">VLOOKUP(A22,Rankings!$B$1:$H$651,7,FALSE)+(RAND()*0.00001)</f>
        <v>0.225487049981689</v>
      </c>
      <c r="I22" s="31">
        <f ca="1">H22-VLOOKUP(Settings!$K$4,G$2:H$45,2,FALSE)</f>
        <v>0</v>
      </c>
      <c r="J22" s="31" t="str">
        <f>VLOOKUP(A22,Rankings!B:D,3,FALSE)</f>
        <v>NL</v>
      </c>
    </row>
    <row r="23" spans="1:10" ht="18.600000000000001" customHeight="1">
      <c r="A23" s="26" t="s">
        <v>302</v>
      </c>
      <c r="B23" s="27" t="s">
        <v>84</v>
      </c>
      <c r="C23" s="120" t="s">
        <v>15</v>
      </c>
      <c r="D23" s="138">
        <f t="shared" ca="1" si="0"/>
        <v>22</v>
      </c>
      <c r="E23" s="31">
        <f ca="1">VLOOKUP(A23,Rankings!$B$1:$H$651,6,FALSE)+(RAND()*0.00001)</f>
        <v>293.47555629681227</v>
      </c>
      <c r="F23" s="31">
        <f ca="1">E23-VLOOKUP(Settings!$K$4,D$2:E$500,2,FALSE)</f>
        <v>1.8725532222656511</v>
      </c>
      <c r="G23" s="138">
        <f t="shared" ca="1" si="1"/>
        <v>20</v>
      </c>
      <c r="H23" s="31">
        <f ca="1">VLOOKUP(A23,Rankings!$B$1:$H$651,7,FALSE)+(RAND()*0.00001)</f>
        <v>0.73468811865702133</v>
      </c>
      <c r="I23" s="31">
        <f ca="1">H23-VLOOKUP(Settings!$K$4,G$2:H$45,2,FALSE)</f>
        <v>0.50920106867533232</v>
      </c>
      <c r="J23" s="31" t="str">
        <f>VLOOKUP(A23,Rankings!B:D,3,FALSE)</f>
        <v>AL</v>
      </c>
    </row>
    <row r="24" spans="1:10" ht="20.100000000000001" customHeight="1">
      <c r="A24" s="26" t="s">
        <v>456</v>
      </c>
      <c r="B24" s="27" t="s">
        <v>95</v>
      </c>
      <c r="C24" s="120" t="s">
        <v>15</v>
      </c>
      <c r="D24" s="138">
        <f t="shared" ca="1" si="0"/>
        <v>19</v>
      </c>
      <c r="E24" s="31">
        <f ca="1">VLOOKUP(A24,Rankings!$B$1:$H$651,6,FALSE)+(RAND()*0.00001)</f>
        <v>298.26039769056314</v>
      </c>
      <c r="F24" s="31">
        <f ca="1">E24-VLOOKUP(Settings!$K$4,D$2:E$500,2,FALSE)</f>
        <v>6.6573946160165178</v>
      </c>
      <c r="G24" s="138">
        <f t="shared" ca="1" si="1"/>
        <v>19</v>
      </c>
      <c r="H24" s="31">
        <f ca="1">VLOOKUP(A24,Rankings!$B$1:$H$651,7,FALSE)+(RAND()*0.00001)</f>
        <v>0.81175610153719557</v>
      </c>
      <c r="I24" s="31">
        <f ca="1">H24-VLOOKUP(Settings!$K$4,G$2:H$45,2,FALSE)</f>
        <v>0.58626905155550657</v>
      </c>
      <c r="J24" s="31" t="str">
        <f>VLOOKUP(A24,Rankings!B:D,3,FALSE)</f>
        <v>NL</v>
      </c>
    </row>
    <row r="25" spans="1:10" ht="18.600000000000001" customHeight="1">
      <c r="A25" s="26" t="s">
        <v>403</v>
      </c>
      <c r="B25" s="27" t="s">
        <v>134</v>
      </c>
      <c r="C25" s="120" t="s">
        <v>15</v>
      </c>
      <c r="D25" s="138">
        <f t="shared" ca="1" si="0"/>
        <v>25</v>
      </c>
      <c r="E25" s="31">
        <f ca="1">VLOOKUP(A25,Rankings!$B$1:$H$651,6,FALSE)+(RAND()*0.00001)</f>
        <v>265.57556387338298</v>
      </c>
      <c r="F25" s="31">
        <f ca="1">E25-VLOOKUP(Settings!$K$4,D$2:E$500,2,FALSE)</f>
        <v>-26.027439201163645</v>
      </c>
      <c r="G25" s="138">
        <f t="shared" ca="1" si="1"/>
        <v>23</v>
      </c>
      <c r="H25" s="31">
        <f ca="1">VLOOKUP(A25,Rankings!$B$1:$H$651,7,FALSE)+(RAND()*0.00001)</f>
        <v>0.30963942944138478</v>
      </c>
      <c r="I25" s="31">
        <f ca="1">H25-VLOOKUP(Settings!$K$4,G$2:H$45,2,FALSE)</f>
        <v>8.4152379459695781E-2</v>
      </c>
      <c r="J25" s="31" t="str">
        <f>VLOOKUP(A25,Rankings!B:D,3,FALSE)</f>
        <v>NL</v>
      </c>
    </row>
    <row r="26" spans="1:10" ht="18.600000000000001" customHeight="1">
      <c r="A26" s="26" t="s">
        <v>402</v>
      </c>
      <c r="B26" s="27" t="s">
        <v>95</v>
      </c>
      <c r="C26" s="120" t="s">
        <v>15</v>
      </c>
      <c r="D26" s="138">
        <f t="shared" ca="1" si="0"/>
        <v>26</v>
      </c>
      <c r="E26" s="31">
        <f ca="1">VLOOKUP(A26,Rankings!$B$1:$H$651,6,FALSE)+(RAND()*0.00001)</f>
        <v>261.65500498127653</v>
      </c>
      <c r="F26" s="31">
        <f ca="1">E26-VLOOKUP(Settings!$K$4,D$2:E$500,2,FALSE)</f>
        <v>-29.947998093270087</v>
      </c>
      <c r="G26" s="138">
        <f t="shared" ca="1" si="1"/>
        <v>27</v>
      </c>
      <c r="H26" s="31">
        <f ca="1">VLOOKUP(A26,Rankings!$B$1:$H$651,7,FALSE)+(RAND()*0.00001)</f>
        <v>-0.95146301619855811</v>
      </c>
      <c r="I26" s="31">
        <f ca="1">H26-VLOOKUP(Settings!$K$4,G$2:H$45,2,FALSE)</f>
        <v>-1.1769500661802472</v>
      </c>
      <c r="J26" s="31" t="str">
        <f>VLOOKUP(A26,Rankings!B:D,3,FALSE)</f>
        <v>NL</v>
      </c>
    </row>
    <row r="27" spans="1:10" ht="18.600000000000001" customHeight="1">
      <c r="A27" s="26" t="s">
        <v>404</v>
      </c>
      <c r="B27" s="27" t="s">
        <v>223</v>
      </c>
      <c r="C27" s="120" t="s">
        <v>15</v>
      </c>
      <c r="D27" s="138">
        <f t="shared" ca="1" si="0"/>
        <v>27</v>
      </c>
      <c r="E27" s="31">
        <f ca="1">VLOOKUP(A27,Rankings!$B$1:$H$651,6,FALSE)+(RAND()*0.00001)</f>
        <v>253.71722849357221</v>
      </c>
      <c r="F27" s="31">
        <f ca="1">E27-VLOOKUP(Settings!$K$4,D$2:E$500,2,FALSE)</f>
        <v>-37.885774580974413</v>
      </c>
      <c r="G27" s="138">
        <f t="shared" ca="1" si="1"/>
        <v>28</v>
      </c>
      <c r="H27" s="31">
        <f ca="1">VLOOKUP(A27,Rankings!$B$1:$H$651,7,FALSE)+(RAND()*0.00001)</f>
        <v>-0.98952993076364726</v>
      </c>
      <c r="I27" s="31">
        <f ca="1">H27-VLOOKUP(Settings!$K$4,G$2:H$45,2,FALSE)</f>
        <v>-1.2150169807453364</v>
      </c>
      <c r="J27" s="31" t="str">
        <f>VLOOKUP(A27,Rankings!B:D,3,FALSE)</f>
        <v>NL</v>
      </c>
    </row>
    <row r="28" spans="1:10" ht="18.600000000000001" customHeight="1">
      <c r="A28" s="26" t="s">
        <v>446</v>
      </c>
      <c r="B28" s="27" t="s">
        <v>68</v>
      </c>
      <c r="C28" s="120" t="s">
        <v>15</v>
      </c>
      <c r="D28" s="138">
        <f t="shared" ca="1" si="0"/>
        <v>29</v>
      </c>
      <c r="E28" s="31">
        <f ca="1">VLOOKUP(A28,Rankings!$B$1:$H$651,6,FALSE)+(RAND()*0.00001)</f>
        <v>244.55000348201338</v>
      </c>
      <c r="F28" s="31">
        <f ca="1">E28-VLOOKUP(Settings!$K$4,D$2:E$500,2,FALSE)</f>
        <v>-47.05299959253324</v>
      </c>
      <c r="G28" s="138">
        <f t="shared" ca="1" si="1"/>
        <v>34</v>
      </c>
      <c r="H28" s="31">
        <f ca="1">VLOOKUP(A28,Rankings!$B$1:$H$651,7,FALSE)+(RAND()*0.00001)</f>
        <v>-1.7436433648647947</v>
      </c>
      <c r="I28" s="31">
        <f ca="1">H28-VLOOKUP(Settings!$K$4,G$2:H$45,2,FALSE)</f>
        <v>-1.9691304148464837</v>
      </c>
      <c r="J28" s="31" t="str">
        <f>VLOOKUP(A28,Rankings!B:D,3,FALSE)</f>
        <v>AL</v>
      </c>
    </row>
    <row r="29" spans="1:10" ht="18.600000000000001" customHeight="1">
      <c r="A29" s="26" t="s">
        <v>499</v>
      </c>
      <c r="B29" s="27" t="s">
        <v>117</v>
      </c>
      <c r="C29" s="120" t="s">
        <v>15</v>
      </c>
      <c r="D29" s="138">
        <f t="shared" ca="1" si="0"/>
        <v>28</v>
      </c>
      <c r="E29" s="31">
        <f ca="1">VLOOKUP(A29,Rankings!$B$1:$H$651,6,FALSE)+(RAND()*0.00001)</f>
        <v>251.05555661470581</v>
      </c>
      <c r="F29" s="31">
        <f ca="1">E29-VLOOKUP(Settings!$K$4,D$2:E$500,2,FALSE)</f>
        <v>-40.547446459840813</v>
      </c>
      <c r="G29" s="138">
        <f t="shared" ca="1" si="1"/>
        <v>30</v>
      </c>
      <c r="H29" s="31">
        <f ca="1">VLOOKUP(A29,Rankings!$B$1:$H$651,7,FALSE)+(RAND()*0.00001)</f>
        <v>-1.2048173820573052</v>
      </c>
      <c r="I29" s="31">
        <f ca="1">H29-VLOOKUP(Settings!$K$4,G$2:H$45,2,FALSE)</f>
        <v>-1.4303044320389942</v>
      </c>
      <c r="J29" s="31" t="str">
        <f>VLOOKUP(A29,Rankings!B:D,3,FALSE)</f>
        <v>AL</v>
      </c>
    </row>
    <row r="30" spans="1:10" ht="18.600000000000001" customHeight="1">
      <c r="A30" s="26" t="s">
        <v>448</v>
      </c>
      <c r="B30" s="27" t="s">
        <v>84</v>
      </c>
      <c r="C30" s="120" t="s">
        <v>15</v>
      </c>
      <c r="D30" s="138">
        <f t="shared" ca="1" si="0"/>
        <v>30</v>
      </c>
      <c r="E30" s="31">
        <f ca="1">VLOOKUP(A30,Rankings!$B$1:$H$651,6,FALSE)+(RAND()*0.00001)</f>
        <v>241.86612075704662</v>
      </c>
      <c r="F30" s="31">
        <f ca="1">E30-VLOOKUP(Settings!$K$4,D$2:E$500,2,FALSE)</f>
        <v>-49.736882317500005</v>
      </c>
      <c r="G30" s="138">
        <f t="shared" ca="1" si="1"/>
        <v>26</v>
      </c>
      <c r="H30" s="31">
        <f ca="1">VLOOKUP(A30,Rankings!$B$1:$H$651,7,FALSE)+(RAND()*0.00001)</f>
        <v>-0.51679561805784635</v>
      </c>
      <c r="I30" s="31">
        <f ca="1">H30-VLOOKUP(Settings!$K$4,G$2:H$45,2,FALSE)</f>
        <v>-0.74228266803953535</v>
      </c>
      <c r="J30" s="31" t="str">
        <f>VLOOKUP(A30,Rankings!B:D,3,FALSE)</f>
        <v>AL</v>
      </c>
    </row>
    <row r="31" spans="1:10" ht="18.600000000000001" customHeight="1">
      <c r="A31" s="26" t="s">
        <v>245</v>
      </c>
      <c r="B31" s="27" t="s">
        <v>123</v>
      </c>
      <c r="C31" s="120" t="s">
        <v>15</v>
      </c>
      <c r="D31" s="138">
        <f t="shared" ca="1" si="0"/>
        <v>20</v>
      </c>
      <c r="E31" s="31">
        <f ca="1">VLOOKUP(A31,Rankings!$B$1:$H$651,6,FALSE)+(RAND()*0.00001)</f>
        <v>297.23042159319181</v>
      </c>
      <c r="F31" s="31">
        <f ca="1">E31-VLOOKUP(Settings!$K$4,D$2:E$500,2,FALSE)</f>
        <v>5.6274185186451859</v>
      </c>
      <c r="G31" s="138">
        <f t="shared" ca="1" si="1"/>
        <v>15</v>
      </c>
      <c r="H31" s="31">
        <f ca="1">VLOOKUP(A31,Rankings!$B$1:$H$651,7,FALSE)+(RAND()*0.00001)</f>
        <v>1.258792247675266</v>
      </c>
      <c r="I31" s="31">
        <f ca="1">H31-VLOOKUP(Settings!$K$4,G$2:H$45,2,FALSE)</f>
        <v>1.033305197693577</v>
      </c>
      <c r="J31" s="31" t="str">
        <f>VLOOKUP(A31,Rankings!B:D,3,FALSE)</f>
        <v>NL</v>
      </c>
    </row>
    <row r="32" spans="1:10" ht="20.100000000000001" customHeight="1">
      <c r="A32" s="26" t="s">
        <v>561</v>
      </c>
      <c r="B32" s="27" t="s">
        <v>137</v>
      </c>
      <c r="C32" s="120" t="s">
        <v>15</v>
      </c>
      <c r="D32" s="138">
        <f t="shared" ca="1" si="0"/>
        <v>32</v>
      </c>
      <c r="E32" s="31">
        <f ca="1">VLOOKUP(A32,Rankings!$B$1:$H$651,6,FALSE)+(RAND()*0.00001)</f>
        <v>225.54389695520575</v>
      </c>
      <c r="F32" s="31">
        <f ca="1">E32-VLOOKUP(Settings!$K$4,D$2:E$500,2,FALSE)</f>
        <v>-66.059106119340868</v>
      </c>
      <c r="G32" s="138">
        <f t="shared" ca="1" si="1"/>
        <v>31</v>
      </c>
      <c r="H32" s="31">
        <f ca="1">VLOOKUP(A32,Rankings!$B$1:$H$651,7,FALSE)+(RAND()*0.00001)</f>
        <v>-1.6454514177081672</v>
      </c>
      <c r="I32" s="31">
        <f ca="1">H32-VLOOKUP(Settings!$K$4,G$2:H$45,2,FALSE)</f>
        <v>-1.8709384676898562</v>
      </c>
      <c r="J32" s="31" t="str">
        <f>VLOOKUP(A32,Rankings!B:D,3,FALSE)</f>
        <v>NL</v>
      </c>
    </row>
    <row r="33" spans="1:10" ht="20.100000000000001" customHeight="1">
      <c r="A33" s="26" t="s">
        <v>569</v>
      </c>
      <c r="B33" s="27" t="s">
        <v>97</v>
      </c>
      <c r="C33" s="120" t="s">
        <v>15</v>
      </c>
      <c r="D33" s="138">
        <f t="shared" ca="1" si="0"/>
        <v>33</v>
      </c>
      <c r="E33" s="31">
        <f ca="1">VLOOKUP(A33,Rankings!$B$1:$H$651,6,FALSE)+(RAND()*0.00001)</f>
        <v>220.23389194986456</v>
      </c>
      <c r="F33" s="31">
        <f ca="1">E33-VLOOKUP(Settings!$K$4,D$2:E$500,2,FALSE)</f>
        <v>-71.369111124682064</v>
      </c>
      <c r="G33" s="138">
        <f t="shared" ca="1" si="1"/>
        <v>37</v>
      </c>
      <c r="H33" s="31">
        <f ca="1">VLOOKUP(A33,Rankings!$B$1:$H$651,7,FALSE)+(RAND()*0.00001)</f>
        <v>-2.0609115032180276</v>
      </c>
      <c r="I33" s="31">
        <f ca="1">H33-VLOOKUP(Settings!$K$4,G$2:H$45,2,FALSE)</f>
        <v>-2.2863985531997164</v>
      </c>
      <c r="J33" s="31" t="str">
        <f>VLOOKUP(A33,Rankings!B:D,3,FALSE)</f>
        <v>NL</v>
      </c>
    </row>
    <row r="34" spans="1:10" ht="18.600000000000001" customHeight="1">
      <c r="A34" s="26" t="s">
        <v>485</v>
      </c>
      <c r="B34" s="27" t="s">
        <v>120</v>
      </c>
      <c r="C34" s="120" t="s">
        <v>15</v>
      </c>
      <c r="D34" s="138">
        <f t="shared" ref="D34:D55" ca="1" si="2">RANK(E34,E$2:E$55)</f>
        <v>35</v>
      </c>
      <c r="E34" s="31">
        <f ca="1">VLOOKUP(A34,Rankings!$B$1:$H$651,6,FALSE)+(RAND()*0.00001)</f>
        <v>216.32611258585783</v>
      </c>
      <c r="F34" s="31">
        <f ca="1">E34-VLOOKUP(Settings!$K$4,D$2:E$500,2,FALSE)</f>
        <v>-75.276890488688792</v>
      </c>
      <c r="G34" s="138">
        <f t="shared" ref="G34:G55" ca="1" si="3">RANK(H34,H$2:H$500)</f>
        <v>32</v>
      </c>
      <c r="H34" s="31">
        <f ca="1">VLOOKUP(A34,Rankings!$B$1:$H$651,7,FALSE)+(RAND()*0.00001)</f>
        <v>-1.7123980218671599</v>
      </c>
      <c r="I34" s="31">
        <f ca="1">H34-VLOOKUP(Settings!$K$4,G$2:H$45,2,FALSE)</f>
        <v>-1.937885071848849</v>
      </c>
      <c r="J34" s="31" t="str">
        <f>VLOOKUP(A34,Rankings!B:D,3,FALSE)</f>
        <v>NL</v>
      </c>
    </row>
    <row r="35" spans="1:10" ht="18.600000000000001" customHeight="1">
      <c r="A35" s="26" t="s">
        <v>624</v>
      </c>
      <c r="B35" s="27" t="s">
        <v>217</v>
      </c>
      <c r="C35" s="120" t="s">
        <v>15</v>
      </c>
      <c r="D35" s="138">
        <f t="shared" ca="1" si="2"/>
        <v>31</v>
      </c>
      <c r="E35" s="31">
        <f ca="1">VLOOKUP(A35,Rankings!$B$1:$H$651,6,FALSE)+(RAND()*0.00001)</f>
        <v>229.3825046233701</v>
      </c>
      <c r="F35" s="31">
        <f ca="1">E35-VLOOKUP(Settings!$K$4,D$2:E$500,2,FALSE)</f>
        <v>-62.220498451176525</v>
      </c>
      <c r="G35" s="138">
        <f t="shared" ca="1" si="3"/>
        <v>33</v>
      </c>
      <c r="H35" s="31">
        <f ca="1">VLOOKUP(A35,Rankings!$B$1:$H$651,7,FALSE)+(RAND()*0.00001)</f>
        <v>-1.7206796257681587</v>
      </c>
      <c r="I35" s="31">
        <f ca="1">H35-VLOOKUP(Settings!$K$4,G$2:H$45,2,FALSE)</f>
        <v>-1.9461666757498477</v>
      </c>
      <c r="J35" s="31" t="str">
        <f>VLOOKUP(A35,Rankings!B:D,3,FALSE)</f>
        <v>NL</v>
      </c>
    </row>
    <row r="36" spans="1:10" ht="18.600000000000001" customHeight="1">
      <c r="A36" s="26" t="s">
        <v>563</v>
      </c>
      <c r="B36" s="27" t="s">
        <v>140</v>
      </c>
      <c r="C36" s="120" t="s">
        <v>15</v>
      </c>
      <c r="D36" s="138">
        <f t="shared" ca="1" si="2"/>
        <v>34</v>
      </c>
      <c r="E36" s="31">
        <f ca="1">VLOOKUP(A36,Rankings!$B$1:$H$651,6,FALSE)+(RAND()*0.00001)</f>
        <v>218.28389454033211</v>
      </c>
      <c r="F36" s="31">
        <f ca="1">E36-VLOOKUP(Settings!$K$4,D$2:E$500,2,FALSE)</f>
        <v>-73.319108534214507</v>
      </c>
      <c r="G36" s="138">
        <f t="shared" ca="1" si="3"/>
        <v>38</v>
      </c>
      <c r="H36" s="31">
        <f ca="1">VLOOKUP(A36,Rankings!$B$1:$H$651,7,FALSE)+(RAND()*0.00001)</f>
        <v>-2.0935665906441545</v>
      </c>
      <c r="I36" s="31">
        <f ca="1">H36-VLOOKUP(Settings!$K$4,G$2:H$45,2,FALSE)</f>
        <v>-2.3190536406258433</v>
      </c>
      <c r="J36" s="31" t="str">
        <f>VLOOKUP(A36,Rankings!B:D,3,FALSE)</f>
        <v>AL</v>
      </c>
    </row>
    <row r="37" spans="1:10" ht="18.600000000000001" customHeight="1">
      <c r="A37" s="26" t="s">
        <v>580</v>
      </c>
      <c r="B37" s="27" t="s">
        <v>117</v>
      </c>
      <c r="C37" s="120" t="s">
        <v>15</v>
      </c>
      <c r="D37" s="138">
        <f t="shared" ca="1" si="2"/>
        <v>36</v>
      </c>
      <c r="E37" s="31">
        <f ca="1">VLOOKUP(A37,Rankings!$B$1:$H$651,6,FALSE)+(RAND()*0.00001)</f>
        <v>213.82889258138502</v>
      </c>
      <c r="F37" s="31">
        <f ca="1">E37-VLOOKUP(Settings!$K$4,D$2:E$500,2,FALSE)</f>
        <v>-77.774110493161601</v>
      </c>
      <c r="G37" s="138">
        <f t="shared" ca="1" si="3"/>
        <v>35</v>
      </c>
      <c r="H37" s="31">
        <f ca="1">VLOOKUP(A37,Rankings!$B$1:$H$651,7,FALSE)+(RAND()*0.00001)</f>
        <v>-1.8125728038522904</v>
      </c>
      <c r="I37" s="31">
        <f ca="1">H37-VLOOKUP(Settings!$K$4,G$2:H$45,2,FALSE)</f>
        <v>-2.0380598538339791</v>
      </c>
      <c r="J37" s="31" t="str">
        <f>VLOOKUP(A37,Rankings!B:D,3,FALSE)</f>
        <v>AL</v>
      </c>
    </row>
    <row r="38" spans="1:10" ht="18.600000000000001" customHeight="1">
      <c r="A38" s="26" t="s">
        <v>532</v>
      </c>
      <c r="B38" s="27" t="s">
        <v>217</v>
      </c>
      <c r="C38" s="120" t="s">
        <v>15</v>
      </c>
      <c r="D38" s="138">
        <f t="shared" ca="1" si="2"/>
        <v>37</v>
      </c>
      <c r="E38" s="31">
        <f ca="1">VLOOKUP(A38,Rankings!$B$1:$H$651,6,FALSE)+(RAND()*0.00001)</f>
        <v>203.34778575787112</v>
      </c>
      <c r="F38" s="31">
        <f ca="1">E38-VLOOKUP(Settings!$K$4,D$2:E$500,2,FALSE)</f>
        <v>-88.255217316675498</v>
      </c>
      <c r="G38" s="138">
        <f t="shared" ca="1" si="3"/>
        <v>36</v>
      </c>
      <c r="H38" s="31">
        <f ca="1">VLOOKUP(A38,Rankings!$B$1:$H$651,7,FALSE)+(RAND()*0.00001)</f>
        <v>-1.8892334441578986</v>
      </c>
      <c r="I38" s="31">
        <f ca="1">H38-VLOOKUP(Settings!$K$4,G$2:H$45,2,FALSE)</f>
        <v>-2.1147204941395876</v>
      </c>
      <c r="J38" s="31" t="str">
        <f>VLOOKUP(A38,Rankings!B:D,3,FALSE)</f>
        <v>NL</v>
      </c>
    </row>
    <row r="39" spans="1:10" ht="18.600000000000001" customHeight="1">
      <c r="A39" s="26" t="s">
        <v>418</v>
      </c>
      <c r="B39" s="27" t="s">
        <v>156</v>
      </c>
      <c r="C39" s="120" t="s">
        <v>15</v>
      </c>
      <c r="D39" s="138">
        <f t="shared" ca="1" si="2"/>
        <v>38</v>
      </c>
      <c r="E39" s="31">
        <f ca="1">VLOOKUP(A39,Rankings!$B$1:$H$651,6,FALSE)+(RAND()*0.00001)</f>
        <v>201.83000377509586</v>
      </c>
      <c r="F39" s="31">
        <f ca="1">E39-VLOOKUP(Settings!$K$4,D$2:E$500,2,FALSE)</f>
        <v>-89.77299929945076</v>
      </c>
      <c r="G39" s="138">
        <f t="shared" ca="1" si="3"/>
        <v>29</v>
      </c>
      <c r="H39" s="31">
        <f ca="1">VLOOKUP(A39,Rankings!$B$1:$H$651,7,FALSE)+(RAND()*0.00001)</f>
        <v>-1.2040015667222355</v>
      </c>
      <c r="I39" s="31">
        <f ca="1">H39-VLOOKUP(Settings!$K$4,G$2:H$45,2,FALSE)</f>
        <v>-1.4294886167039245</v>
      </c>
      <c r="J39" s="31" t="str">
        <f>VLOOKUP(A39,Rankings!B:D,3,FALSE)</f>
        <v>AL</v>
      </c>
    </row>
    <row r="40" spans="1:10" ht="18.600000000000001" customHeight="1">
      <c r="A40" s="26" t="s">
        <v>591</v>
      </c>
      <c r="B40" s="27" t="s">
        <v>158</v>
      </c>
      <c r="C40" s="120" t="s">
        <v>15</v>
      </c>
      <c r="D40" s="138">
        <f t="shared" ca="1" si="2"/>
        <v>39</v>
      </c>
      <c r="E40" s="31">
        <f ca="1">VLOOKUP(A40,Rankings!$B$1:$H$651,6,FALSE)+(RAND()*0.00001)</f>
        <v>194.19805602877284</v>
      </c>
      <c r="F40" s="31">
        <f ca="1">E40-VLOOKUP(Settings!$K$4,D$2:E$500,2,FALSE)</f>
        <v>-97.404947045773781</v>
      </c>
      <c r="G40" s="138">
        <f t="shared" ca="1" si="3"/>
        <v>40</v>
      </c>
      <c r="H40" s="31">
        <f ca="1">VLOOKUP(A40,Rankings!$B$1:$H$651,7,FALSE)+(RAND()*0.00001)</f>
        <v>-2.7970374133505271</v>
      </c>
      <c r="I40" s="31">
        <f ca="1">H40-VLOOKUP(Settings!$K$4,G$2:H$45,2,FALSE)</f>
        <v>-3.0225244633322159</v>
      </c>
      <c r="J40" s="31" t="str">
        <f>VLOOKUP(A40,Rankings!B:D,3,FALSE)</f>
        <v>NL</v>
      </c>
    </row>
    <row r="41" spans="1:10" ht="20.100000000000001" customHeight="1">
      <c r="A41" s="26" t="s">
        <v>629</v>
      </c>
      <c r="B41" s="27" t="s">
        <v>86</v>
      </c>
      <c r="C41" s="120" t="s">
        <v>15</v>
      </c>
      <c r="D41" s="138">
        <f t="shared" ca="1" si="2"/>
        <v>40</v>
      </c>
      <c r="E41" s="31">
        <f ca="1">VLOOKUP(A41,Rankings!$B$1:$H$651,6,FALSE)+(RAND()*0.00001)</f>
        <v>167.45278113017901</v>
      </c>
      <c r="F41" s="31">
        <f ca="1">E41-VLOOKUP(Settings!$K$4,D$2:E$500,2,FALSE)</f>
        <v>-124.15022194436762</v>
      </c>
      <c r="G41" s="138">
        <f t="shared" ca="1" si="3"/>
        <v>41</v>
      </c>
      <c r="H41" s="31">
        <f ca="1">VLOOKUP(A41,Rankings!$B$1:$H$651,7,FALSE)+(RAND()*0.00001)</f>
        <v>-3.6269093917357975</v>
      </c>
      <c r="I41" s="31">
        <f ca="1">H41-VLOOKUP(Settings!$K$4,G$2:H$45,2,FALSE)</f>
        <v>-3.8523964417174863</v>
      </c>
      <c r="J41" s="31" t="str">
        <f>VLOOKUP(A41,Rankings!B:D,3,FALSE)</f>
        <v>AL</v>
      </c>
    </row>
    <row r="42" spans="1:10" ht="18.600000000000001" customHeight="1">
      <c r="A42" s="26" t="s">
        <v>658</v>
      </c>
      <c r="B42" s="27" t="s">
        <v>176</v>
      </c>
      <c r="C42" s="120" t="s">
        <v>15</v>
      </c>
      <c r="D42" s="138">
        <f t="shared" ca="1" si="2"/>
        <v>41</v>
      </c>
      <c r="E42" s="31">
        <f ca="1">VLOOKUP(A42,Rankings!$B$1:$H$651,6,FALSE)+(RAND()*0.00001)</f>
        <v>165.74750824923493</v>
      </c>
      <c r="F42" s="31">
        <f ca="1">E42-VLOOKUP(Settings!$K$4,D$2:E$500,2,FALSE)</f>
        <v>-125.85549482531169</v>
      </c>
      <c r="G42" s="138">
        <f t="shared" ca="1" si="3"/>
        <v>39</v>
      </c>
      <c r="H42" s="31">
        <f ca="1">VLOOKUP(A42,Rankings!$B$1:$H$651,7,FALSE)+(RAND()*0.00001)</f>
        <v>-2.4347515743662029</v>
      </c>
      <c r="I42" s="31">
        <f ca="1">H42-VLOOKUP(Settings!$K$4,G$2:H$45,2,FALSE)</f>
        <v>-2.6602386243478922</v>
      </c>
      <c r="J42" s="31" t="str">
        <f>VLOOKUP(A42,Rankings!B:D,3,FALSE)</f>
        <v>NL</v>
      </c>
    </row>
    <row r="43" spans="1:10" ht="18.600000000000001" customHeight="1">
      <c r="A43" s="26" t="s">
        <v>641</v>
      </c>
      <c r="B43" s="27" t="s">
        <v>86</v>
      </c>
      <c r="C43" s="120" t="s">
        <v>15</v>
      </c>
      <c r="D43" s="138">
        <f t="shared" ca="1" si="2"/>
        <v>42</v>
      </c>
      <c r="E43" s="31">
        <f ca="1">VLOOKUP(A43,Rankings!$B$1:$H$651,6,FALSE)+(RAND()*0.00001)</f>
        <v>135.36334284231833</v>
      </c>
      <c r="F43" s="31">
        <f ca="1">E43-VLOOKUP(Settings!$K$4,D$2:E$500,2,FALSE)</f>
        <v>-156.23966023222829</v>
      </c>
      <c r="G43" s="138">
        <f t="shared" ca="1" si="3"/>
        <v>42</v>
      </c>
      <c r="H43" s="31">
        <f ca="1">VLOOKUP(A43,Rankings!$B$1:$H$651,7,FALSE)+(RAND()*0.00001)</f>
        <v>-3.9069125244968825</v>
      </c>
      <c r="I43" s="31">
        <f ca="1">H43-VLOOKUP(Settings!$K$4,G$2:H$45,2,FALSE)</f>
        <v>-4.1323995744785718</v>
      </c>
      <c r="J43" s="31" t="str">
        <f>VLOOKUP(A43,Rankings!B:D,3,FALSE)</f>
        <v>AL</v>
      </c>
    </row>
    <row r="44" spans="1:10" ht="18.600000000000001" customHeight="1">
      <c r="A44" s="26" t="s">
        <v>610</v>
      </c>
      <c r="B44" s="27" t="s">
        <v>120</v>
      </c>
      <c r="C44" s="120" t="s">
        <v>15</v>
      </c>
      <c r="D44" s="138">
        <f t="shared" ca="1" si="2"/>
        <v>43</v>
      </c>
      <c r="E44" s="31">
        <f ca="1">VLOOKUP(A44,Rankings!$B$1:$H$651,6,FALSE)+(RAND()*0.00001)</f>
        <v>133.7733334617603</v>
      </c>
      <c r="F44" s="31">
        <f ca="1">E44-VLOOKUP(Settings!$K$4,D$2:E$500,2,FALSE)</f>
        <v>-157.82966961278632</v>
      </c>
      <c r="G44" s="138">
        <f t="shared" ca="1" si="3"/>
        <v>43</v>
      </c>
      <c r="H44" s="31">
        <f ca="1">VLOOKUP(A44,Rankings!$B$1:$H$651,7,FALSE)+(RAND()*0.00001)</f>
        <v>-3.9190516389842753</v>
      </c>
      <c r="I44" s="31">
        <f ca="1">H44-VLOOKUP(Settings!$K$4,G$2:H$45,2,FALSE)</f>
        <v>-4.1445386889659641</v>
      </c>
      <c r="J44" s="31" t="str">
        <f>VLOOKUP(A44,Rankings!B:D,3,FALSE)</f>
        <v>NL</v>
      </c>
    </row>
    <row r="45" spans="1:10" ht="18.600000000000001" customHeight="1">
      <c r="A45" s="26" t="s">
        <v>659</v>
      </c>
      <c r="B45" s="27" t="s">
        <v>95</v>
      </c>
      <c r="C45" s="120" t="s">
        <v>15</v>
      </c>
      <c r="D45" s="138">
        <f t="shared" ca="1" si="2"/>
        <v>44</v>
      </c>
      <c r="E45" s="31">
        <f ca="1">VLOOKUP(A45,Rankings!$B$1:$H$651,6,FALSE)+(RAND()*0.00001)</f>
        <v>130.24445316912673</v>
      </c>
      <c r="F45" s="31">
        <f ca="1">E45-VLOOKUP(Settings!$K$4,D$2:E$500,2,FALSE)</f>
        <v>-161.35854990541989</v>
      </c>
      <c r="G45" s="138">
        <f t="shared" ca="1" si="3"/>
        <v>44</v>
      </c>
      <c r="H45" s="31">
        <f ca="1">VLOOKUP(A45,Rankings!$B$1:$H$651,7,FALSE)+(RAND()*0.00001)</f>
        <v>-4.1243330358097632</v>
      </c>
      <c r="I45" s="31">
        <f ca="1">H45-VLOOKUP(Settings!$K$4,G$2:H$45,2,FALSE)</f>
        <v>-4.3498200857914524</v>
      </c>
      <c r="J45" s="31" t="str">
        <f>VLOOKUP(A45,Rankings!B:D,3,FALSE)</f>
        <v>NL</v>
      </c>
    </row>
    <row r="46" spans="1:10" ht="18.600000000000001" customHeight="1">
      <c r="A46" s="26" t="s">
        <v>695</v>
      </c>
      <c r="B46" s="27" t="s">
        <v>306</v>
      </c>
      <c r="C46" s="120" t="s">
        <v>15</v>
      </c>
      <c r="D46" s="138">
        <f t="shared" ca="1" si="2"/>
        <v>45</v>
      </c>
      <c r="E46" s="31">
        <f ca="1">VLOOKUP(A46,Rankings!$B$1:$H$651,6,FALSE)+(RAND()*0.00001)</f>
        <v>114.4188973578273</v>
      </c>
      <c r="F46" s="31">
        <f ca="1">E46-VLOOKUP(Settings!$K$4,D$2:E$500,2,FALSE)</f>
        <v>-177.18410571671933</v>
      </c>
      <c r="G46" s="138">
        <f t="shared" ca="1" si="3"/>
        <v>48</v>
      </c>
      <c r="H46" s="31">
        <f ca="1">VLOOKUP(A46,Rankings!$B$1:$H$651,7,FALSE)+(RAND()*0.00001)</f>
        <v>-5.0853305089002756</v>
      </c>
      <c r="I46" s="31">
        <f ca="1">H46-VLOOKUP(Settings!$K$4,G$2:H$45,2,FALSE)</f>
        <v>-5.3108175588819648</v>
      </c>
      <c r="J46" s="31" t="str">
        <f>VLOOKUP(A46,Rankings!B:D,3,FALSE)</f>
        <v>NL</v>
      </c>
    </row>
    <row r="47" spans="1:10" ht="18.600000000000001" customHeight="1">
      <c r="A47" s="26" t="s">
        <v>685</v>
      </c>
      <c r="B47" s="27" t="s">
        <v>134</v>
      </c>
      <c r="C47" s="120" t="s">
        <v>15</v>
      </c>
      <c r="D47" s="138">
        <f t="shared" ca="1" si="2"/>
        <v>50</v>
      </c>
      <c r="E47" s="31">
        <f ca="1">VLOOKUP(A47,Rankings!$B$1:$H$651,6,FALSE)+(RAND()*0.00001)</f>
        <v>87.008896885920507</v>
      </c>
      <c r="F47" s="31">
        <f ca="1">E47-VLOOKUP(Settings!$K$4,D$2:E$500,2,FALSE)</f>
        <v>-204.59410618862611</v>
      </c>
      <c r="G47" s="138">
        <f t="shared" ca="1" si="3"/>
        <v>49</v>
      </c>
      <c r="H47" s="31">
        <f ca="1">VLOOKUP(A47,Rankings!$B$1:$H$651,7,FALSE)+(RAND()*0.00001)</f>
        <v>-5.1560578650249873</v>
      </c>
      <c r="I47" s="31">
        <f ca="1">H47-VLOOKUP(Settings!$K$4,G$2:H$45,2,FALSE)</f>
        <v>-5.3815449150066765</v>
      </c>
      <c r="J47" s="31" t="str">
        <f>VLOOKUP(A47,Rankings!B:D,3,FALSE)</f>
        <v>NL</v>
      </c>
    </row>
    <row r="48" spans="1:10" ht="18.600000000000001" customHeight="1">
      <c r="A48" s="26" t="s">
        <v>710</v>
      </c>
      <c r="B48" s="27" t="s">
        <v>306</v>
      </c>
      <c r="C48" s="120" t="s">
        <v>15</v>
      </c>
      <c r="D48" s="138">
        <f t="shared" ca="1" si="2"/>
        <v>46</v>
      </c>
      <c r="E48" s="31">
        <f ca="1">VLOOKUP(A48,Rankings!$B$1:$H$651,6,FALSE)+(RAND()*0.00001)</f>
        <v>108.54333913148932</v>
      </c>
      <c r="F48" s="31">
        <f ca="1">E48-VLOOKUP(Settings!$K$4,D$2:E$500,2,FALSE)</f>
        <v>-183.0596639430573</v>
      </c>
      <c r="G48" s="138">
        <f t="shared" ca="1" si="3"/>
        <v>52</v>
      </c>
      <c r="H48" s="31">
        <f ca="1">VLOOKUP(A48,Rankings!$B$1:$H$651,7,FALSE)+(RAND()*0.00001)</f>
        <v>-5.7184699156759535</v>
      </c>
      <c r="I48" s="31">
        <f ca="1">H48-VLOOKUP(Settings!$K$4,G$2:H$45,2,FALSE)</f>
        <v>-5.9439569656576428</v>
      </c>
      <c r="J48" s="31" t="str">
        <f>VLOOKUP(A48,Rankings!B:D,3,FALSE)</f>
        <v>NL</v>
      </c>
    </row>
    <row r="49" spans="1:10" ht="18.600000000000001" customHeight="1">
      <c r="A49" s="26" t="s">
        <v>684</v>
      </c>
      <c r="B49" s="27" t="s">
        <v>114</v>
      </c>
      <c r="C49" s="120" t="s">
        <v>15</v>
      </c>
      <c r="D49" s="138">
        <f t="shared" ca="1" si="2"/>
        <v>47</v>
      </c>
      <c r="E49" s="31">
        <f ca="1">VLOOKUP(A49,Rankings!$B$1:$H$651,6,FALSE)+(RAND()*0.00001)</f>
        <v>101.0752798285146</v>
      </c>
      <c r="F49" s="31">
        <f ca="1">E49-VLOOKUP(Settings!$K$4,D$2:E$500,2,FALSE)</f>
        <v>-190.52772324603202</v>
      </c>
      <c r="G49" s="138">
        <f t="shared" ca="1" si="3"/>
        <v>46</v>
      </c>
      <c r="H49" s="31">
        <f ca="1">VLOOKUP(A49,Rankings!$B$1:$H$651,7,FALSE)+(RAND()*0.00001)</f>
        <v>-4.9209054019710967</v>
      </c>
      <c r="I49" s="31">
        <f ca="1">H49-VLOOKUP(Settings!$K$4,G$2:H$45,2,FALSE)</f>
        <v>-5.1463924519527859</v>
      </c>
      <c r="J49" s="31" t="str">
        <f>VLOOKUP(A49,Rankings!B:D,3,FALSE)</f>
        <v>AL</v>
      </c>
    </row>
    <row r="50" spans="1:10" ht="18.600000000000001" customHeight="1">
      <c r="A50" s="26" t="s">
        <v>665</v>
      </c>
      <c r="B50" s="27" t="s">
        <v>306</v>
      </c>
      <c r="C50" s="120" t="s">
        <v>15</v>
      </c>
      <c r="D50" s="138">
        <f t="shared" ca="1" si="2"/>
        <v>48</v>
      </c>
      <c r="E50" s="31">
        <f ca="1">VLOOKUP(A50,Rankings!$B$1:$H$651,6,FALSE)+(RAND()*0.00001)</f>
        <v>98.871669414037655</v>
      </c>
      <c r="F50" s="31">
        <f ca="1">E50-VLOOKUP(Settings!$K$4,D$2:E$500,2,FALSE)</f>
        <v>-192.73133366050897</v>
      </c>
      <c r="G50" s="138">
        <f t="shared" ca="1" si="3"/>
        <v>45</v>
      </c>
      <c r="H50" s="31">
        <f ca="1">VLOOKUP(A50,Rankings!$B$1:$H$651,7,FALSE)+(RAND()*0.00001)</f>
        <v>-4.4487250870301169</v>
      </c>
      <c r="I50" s="31">
        <f ca="1">H50-VLOOKUP(Settings!$K$4,G$2:H$45,2,FALSE)</f>
        <v>-4.6742121370118062</v>
      </c>
      <c r="J50" s="31" t="str">
        <f>VLOOKUP(A50,Rankings!B:D,3,FALSE)</f>
        <v>NL</v>
      </c>
    </row>
    <row r="51" spans="1:10" ht="18.600000000000001" customHeight="1">
      <c r="A51" s="26" t="s">
        <v>708</v>
      </c>
      <c r="B51" s="27" t="s">
        <v>91</v>
      </c>
      <c r="C51" s="120" t="s">
        <v>15</v>
      </c>
      <c r="D51" s="138">
        <f t="shared" ca="1" si="2"/>
        <v>52</v>
      </c>
      <c r="E51" s="31">
        <f ca="1">VLOOKUP(A51,Rankings!$B$1:$H$651,6,FALSE)+(RAND()*0.00001)</f>
        <v>81.393888933426908</v>
      </c>
      <c r="F51" s="31">
        <f ca="1">E51-VLOOKUP(Settings!$K$4,D$2:E$500,2,FALSE)</f>
        <v>-210.2091141411197</v>
      </c>
      <c r="G51" s="138">
        <f t="shared" ca="1" si="3"/>
        <v>51</v>
      </c>
      <c r="H51" s="31">
        <f ca="1">VLOOKUP(A51,Rankings!$B$1:$H$651,7,FALSE)+(RAND()*0.00001)</f>
        <v>-5.6475696458770193</v>
      </c>
      <c r="I51" s="31">
        <f ca="1">H51-VLOOKUP(Settings!$K$4,G$2:H$45,2,FALSE)</f>
        <v>-5.8730566958587085</v>
      </c>
      <c r="J51" s="31" t="str">
        <f>VLOOKUP(A51,Rankings!B:D,3,FALSE)</f>
        <v>NL</v>
      </c>
    </row>
    <row r="52" spans="1:10" ht="18.600000000000001" customHeight="1">
      <c r="A52" s="26" t="s">
        <v>707</v>
      </c>
      <c r="B52" s="27" t="s">
        <v>97</v>
      </c>
      <c r="C52" s="120" t="s">
        <v>15</v>
      </c>
      <c r="D52" s="138">
        <f t="shared" ca="1" si="2"/>
        <v>51</v>
      </c>
      <c r="E52" s="31">
        <f ca="1">VLOOKUP(A52,Rankings!$B$1:$H$651,6,FALSE)+(RAND()*0.00001)</f>
        <v>83.185002571467962</v>
      </c>
      <c r="F52" s="31">
        <f ca="1">E52-VLOOKUP(Settings!$K$4,D$2:E$500,2,FALSE)</f>
        <v>-208.41800050307864</v>
      </c>
      <c r="G52" s="138">
        <f t="shared" ca="1" si="3"/>
        <v>53</v>
      </c>
      <c r="H52" s="31">
        <f ca="1">VLOOKUP(A52,Rankings!$B$1:$H$651,7,FALSE)+(RAND()*0.00001)</f>
        <v>-5.8540010273779304</v>
      </c>
      <c r="I52" s="31">
        <f ca="1">H52-VLOOKUP(Settings!$K$4,G$2:H$45,2,FALSE)</f>
        <v>-6.0794880773596196</v>
      </c>
      <c r="J52" s="31" t="str">
        <f>VLOOKUP(A52,Rankings!B:D,3,FALSE)</f>
        <v>NL</v>
      </c>
    </row>
    <row r="53" spans="1:10" ht="18.600000000000001" customHeight="1">
      <c r="A53" s="26" t="s">
        <v>706</v>
      </c>
      <c r="B53" s="27" t="s">
        <v>78</v>
      </c>
      <c r="C53" s="120" t="s">
        <v>15</v>
      </c>
      <c r="D53" s="138">
        <f t="shared" ca="1" si="2"/>
        <v>49</v>
      </c>
      <c r="E53" s="31">
        <f ca="1">VLOOKUP(A53,Rankings!$B$1:$H$651,6,FALSE)+(RAND()*0.00001)</f>
        <v>98.310836218066129</v>
      </c>
      <c r="F53" s="31">
        <f ca="1">E53-VLOOKUP(Settings!$K$4,D$2:E$500,2,FALSE)</f>
        <v>-193.29216685648049</v>
      </c>
      <c r="G53" s="138">
        <f t="shared" ca="1" si="3"/>
        <v>50</v>
      </c>
      <c r="H53" s="31">
        <f ca="1">VLOOKUP(A53,Rankings!$B$1:$H$651,7,FALSE)+(RAND()*0.00001)</f>
        <v>-5.2668847673196408</v>
      </c>
      <c r="I53" s="31">
        <f ca="1">H53-VLOOKUP(Settings!$K$4,G$2:H$45,2,FALSE)</f>
        <v>-5.4923718173013301</v>
      </c>
      <c r="J53" s="31" t="str">
        <f>VLOOKUP(A53,Rankings!B:D,3,FALSE)</f>
        <v>AL</v>
      </c>
    </row>
    <row r="54" spans="1:10" ht="18.600000000000001" customHeight="1">
      <c r="A54" s="26" t="s">
        <v>720</v>
      </c>
      <c r="B54" s="27" t="s">
        <v>258</v>
      </c>
      <c r="C54" s="120" t="s">
        <v>15</v>
      </c>
      <c r="D54" s="138">
        <f t="shared" ca="1" si="2"/>
        <v>54</v>
      </c>
      <c r="E54" s="31">
        <f ca="1">VLOOKUP(A54,Rankings!$B$1:$H$651,6,FALSE)+(RAND()*0.00001)</f>
        <v>68.832779697461788</v>
      </c>
      <c r="F54" s="31">
        <f ca="1">E54-VLOOKUP(Settings!$K$4,D$2:E$500,2,FALSE)</f>
        <v>-222.77022337708485</v>
      </c>
      <c r="G54" s="138">
        <f t="shared" ca="1" si="3"/>
        <v>54</v>
      </c>
      <c r="H54" s="31">
        <f ca="1">VLOOKUP(A54,Rankings!$B$1:$H$651,7,FALSE)+(RAND()*0.00001)</f>
        <v>-6.5967343924605757</v>
      </c>
      <c r="I54" s="31">
        <f ca="1">H54-VLOOKUP(Settings!$K$4,G$2:H$45,2,FALSE)</f>
        <v>-6.8222214424422649</v>
      </c>
      <c r="J54" s="31" t="str">
        <f>VLOOKUP(A54,Rankings!B:D,3,FALSE)</f>
        <v>AL</v>
      </c>
    </row>
    <row r="55" spans="1:10" ht="18.600000000000001" customHeight="1">
      <c r="A55" s="26" t="s">
        <v>681</v>
      </c>
      <c r="B55" s="27" t="s">
        <v>117</v>
      </c>
      <c r="C55" s="120" t="s">
        <v>15</v>
      </c>
      <c r="D55" s="138">
        <f t="shared" ca="1" si="2"/>
        <v>53</v>
      </c>
      <c r="E55" s="31">
        <f ca="1">VLOOKUP(A55,Rankings!$B$1:$H$651,6,FALSE)+(RAND()*0.00001)</f>
        <v>70.528337705759071</v>
      </c>
      <c r="F55" s="31">
        <f ca="1">E55-VLOOKUP(Settings!$K$4,D$2:E$500,2,FALSE)</f>
        <v>-221.07466536878755</v>
      </c>
      <c r="G55" s="138">
        <f t="shared" ca="1" si="3"/>
        <v>47</v>
      </c>
      <c r="H55" s="31">
        <f ca="1">VLOOKUP(A55,Rankings!$B$1:$H$651,7,FALSE)+(RAND()*0.00001)</f>
        <v>-5.0342744354184896</v>
      </c>
      <c r="I55" s="31">
        <f ca="1">H55-VLOOKUP(Settings!$K$4,G$2:H$45,2,FALSE)</f>
        <v>-5.2597614854001788</v>
      </c>
      <c r="J55" s="31" t="str">
        <f>VLOOKUP(A55,Rankings!B:D,3,FALSE)</f>
        <v>AL</v>
      </c>
    </row>
    <row r="56" spans="1:10" ht="20.100000000000001" customHeight="1">
      <c r="J56" s="31"/>
    </row>
    <row r="57" spans="1:10" ht="20.100000000000001" customHeight="1">
      <c r="J57" s="31"/>
    </row>
    <row r="58" spans="1:10" ht="20.100000000000001" customHeight="1">
      <c r="J58" s="31"/>
    </row>
    <row r="59" spans="1:10" ht="20.100000000000001" customHeight="1">
      <c r="J59" s="31"/>
    </row>
    <row r="60" spans="1:10" ht="20.100000000000001" customHeight="1">
      <c r="J60" s="31"/>
    </row>
    <row r="61" spans="1:10" ht="20.100000000000001" customHeight="1">
      <c r="J61" s="31"/>
    </row>
    <row r="62" spans="1:10" ht="20.100000000000001" customHeight="1">
      <c r="J62" s="31"/>
    </row>
    <row r="63" spans="1:10" ht="20.100000000000001" customHeight="1">
      <c r="J63" s="31"/>
    </row>
    <row r="64" spans="1:10" ht="20.100000000000001" customHeight="1">
      <c r="J64" s="31"/>
    </row>
    <row r="65" spans="10:10" ht="20.100000000000001" customHeight="1">
      <c r="J65" s="31"/>
    </row>
    <row r="66" spans="10:10" ht="20.100000000000001" customHeight="1">
      <c r="J66" s="31"/>
    </row>
    <row r="67" spans="10:10" ht="20.100000000000001" customHeight="1">
      <c r="J67" s="31"/>
    </row>
    <row r="68" spans="10:10" ht="20.100000000000001" customHeight="1">
      <c r="J68" s="31"/>
    </row>
    <row r="69" spans="10:10" ht="20.100000000000001" customHeight="1">
      <c r="J69" s="31"/>
    </row>
    <row r="70" spans="10:10" ht="20.100000000000001" customHeight="1">
      <c r="J70" s="31"/>
    </row>
    <row r="71" spans="10:10" ht="20.100000000000001" customHeight="1">
      <c r="J71" s="31"/>
    </row>
    <row r="72" spans="10:10" ht="20.100000000000001" customHeight="1">
      <c r="J72" s="31"/>
    </row>
    <row r="73" spans="10:10" ht="20.100000000000001" customHeight="1">
      <c r="J73" s="31"/>
    </row>
    <row r="74" spans="10:10" ht="20.100000000000001" customHeight="1">
      <c r="J74" s="31"/>
    </row>
    <row r="75" spans="10:10" ht="20.100000000000001" customHeight="1">
      <c r="J75" s="31"/>
    </row>
    <row r="76" spans="10:10" ht="20.100000000000001" customHeight="1">
      <c r="J76" s="31"/>
    </row>
    <row r="77" spans="10:10" ht="20.100000000000001" customHeight="1">
      <c r="J77" s="31"/>
    </row>
    <row r="78" spans="10:10" ht="20.100000000000001" customHeight="1">
      <c r="J78" s="31"/>
    </row>
    <row r="79" spans="10:10" ht="20.100000000000001" customHeight="1">
      <c r="J79" s="31"/>
    </row>
    <row r="80" spans="10:10" ht="20.100000000000001" customHeight="1">
      <c r="J80" s="31"/>
    </row>
    <row r="81" spans="10:10" ht="20.100000000000001" customHeight="1">
      <c r="J81" s="31"/>
    </row>
    <row r="82" spans="10:10" ht="20.100000000000001" customHeight="1">
      <c r="J82" s="31"/>
    </row>
    <row r="83" spans="10:10" ht="20.100000000000001" customHeight="1">
      <c r="J83" s="31"/>
    </row>
    <row r="84" spans="10:10" ht="20.100000000000001" customHeight="1">
      <c r="J84" s="31"/>
    </row>
    <row r="85" spans="10:10" ht="20.100000000000001" customHeight="1">
      <c r="J85" s="31"/>
    </row>
    <row r="86" spans="10:10" ht="20.100000000000001" customHeight="1">
      <c r="J86" s="31"/>
    </row>
    <row r="87" spans="10:10" ht="20.100000000000001" customHeight="1">
      <c r="J87" s="31"/>
    </row>
    <row r="88" spans="10:10" ht="20.100000000000001" customHeight="1">
      <c r="J88" s="31"/>
    </row>
    <row r="89" spans="10:10" ht="20.100000000000001" customHeight="1">
      <c r="J89" s="31"/>
    </row>
    <row r="90" spans="10:10" ht="20.100000000000001" customHeight="1">
      <c r="J90" s="31"/>
    </row>
    <row r="91" spans="10:10" ht="20.100000000000001" customHeight="1">
      <c r="J91" s="31"/>
    </row>
    <row r="92" spans="10:10" ht="20.100000000000001" customHeight="1">
      <c r="J92" s="31"/>
    </row>
    <row r="93" spans="10:10" ht="20.100000000000001" customHeight="1">
      <c r="J93" s="31"/>
    </row>
    <row r="94" spans="10:10" ht="20.100000000000001" customHeight="1">
      <c r="J94" s="31"/>
    </row>
    <row r="95" spans="10:10" ht="20.100000000000001" customHeight="1">
      <c r="J95" s="31"/>
    </row>
    <row r="96" spans="10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55" xr:uid="{00000000-0001-0000-0700-000000000000}">
    <sortState xmlns:xlrd2="http://schemas.microsoft.com/office/spreadsheetml/2017/richdata2" ref="A2:I55">
      <sortCondition ref="D1:D55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401"/>
  <sheetViews>
    <sheetView showGridLines="0" workbookViewId="0"/>
  </sheetViews>
  <sheetFormatPr defaultColWidth="16.28515625" defaultRowHeight="20.100000000000001" customHeight="1"/>
  <cols>
    <col min="1" max="1" width="23.7109375" style="1" customWidth="1"/>
    <col min="2" max="10" width="7.140625" style="1" customWidth="1"/>
    <col min="11" max="16384" width="16.28515625" style="1"/>
  </cols>
  <sheetData>
    <row r="1" spans="1:10" ht="36.950000000000003" customHeight="1">
      <c r="A1" s="135" t="s">
        <v>58</v>
      </c>
      <c r="B1" s="136" t="s">
        <v>59</v>
      </c>
      <c r="C1" s="136" t="s">
        <v>740</v>
      </c>
      <c r="D1" s="137" t="s">
        <v>741</v>
      </c>
      <c r="E1" s="136" t="s">
        <v>62</v>
      </c>
      <c r="F1" s="136" t="s">
        <v>64</v>
      </c>
      <c r="G1" s="137" t="s">
        <v>742</v>
      </c>
      <c r="H1" s="136" t="s">
        <v>63</v>
      </c>
      <c r="I1" s="136" t="s">
        <v>64</v>
      </c>
      <c r="J1" s="130" t="s">
        <v>749</v>
      </c>
    </row>
    <row r="2" spans="1:10" ht="18.600000000000001" customHeight="1">
      <c r="A2" s="26" t="s">
        <v>159</v>
      </c>
      <c r="B2" s="27" t="s">
        <v>81</v>
      </c>
      <c r="C2" s="121" t="s">
        <v>19</v>
      </c>
      <c r="D2" s="138">
        <f t="shared" ref="D2:D33" ca="1" si="0">RANK(E2,E$2:E$54)</f>
        <v>2</v>
      </c>
      <c r="E2" s="31">
        <f ca="1">VLOOKUP(A2,Rankings!$B$1:$H$651,6,FALSE)+(RAND()*0.00001)</f>
        <v>380.85777965178301</v>
      </c>
      <c r="F2" s="31">
        <f ca="1">E2-VLOOKUP(Settings!$K$5,D$2:E$500,2,FALSE)</f>
        <v>144.06999904901252</v>
      </c>
      <c r="G2" s="138">
        <f t="shared" ref="G2:G33" ca="1" si="1">RANK(H2,H$2:H$500)</f>
        <v>4</v>
      </c>
      <c r="H2" s="31">
        <f ca="1">VLOOKUP(A2,Rankings!$B$1:$H$651,7,FALSE)+(RAND()*0.00001)</f>
        <v>3.4196926515357227</v>
      </c>
      <c r="I2" s="31">
        <f ca="1">H2-VLOOKUP(Settings!$K$5,G$2:H$45,2,FALSE)</f>
        <v>4.2062105713054505</v>
      </c>
      <c r="J2" s="31" t="str">
        <f>VLOOKUP(A2,Rankings!B:D,3,FALSE)</f>
        <v>NL</v>
      </c>
    </row>
    <row r="3" spans="1:10" ht="18.600000000000001" customHeight="1">
      <c r="A3" s="26" t="s">
        <v>142</v>
      </c>
      <c r="B3" s="27" t="s">
        <v>94</v>
      </c>
      <c r="C3" s="121" t="s">
        <v>19</v>
      </c>
      <c r="D3" s="138">
        <f t="shared" ca="1" si="0"/>
        <v>1</v>
      </c>
      <c r="E3" s="31">
        <f ca="1">VLOOKUP(A3,Rankings!$B$1:$H$651,6,FALSE)+(RAND()*0.00001)</f>
        <v>380.98389012962019</v>
      </c>
      <c r="F3" s="31">
        <f ca="1">E3-VLOOKUP(Settings!$K$5,D$2:E$500,2,FALSE)</f>
        <v>144.19610952684971</v>
      </c>
      <c r="G3" s="138">
        <f t="shared" ca="1" si="1"/>
        <v>2</v>
      </c>
      <c r="H3" s="31">
        <f ca="1">VLOOKUP(A3,Rankings!$B$1:$H$651,7,FALSE)+(RAND()*0.00001)</f>
        <v>4.3313839556611304</v>
      </c>
      <c r="I3" s="31">
        <f ca="1">H3-VLOOKUP(Settings!$K$5,G$2:H$45,2,FALSE)</f>
        <v>5.1179018754308583</v>
      </c>
      <c r="J3" s="31" t="str">
        <f>VLOOKUP(A3,Rankings!B:D,3,FALSE)</f>
        <v>AL</v>
      </c>
    </row>
    <row r="4" spans="1:10" ht="20.100000000000001" customHeight="1">
      <c r="A4" s="26" t="s">
        <v>208</v>
      </c>
      <c r="B4" s="27" t="s">
        <v>99</v>
      </c>
      <c r="C4" s="121" t="s">
        <v>19</v>
      </c>
      <c r="D4" s="138">
        <f t="shared" ca="1" si="0"/>
        <v>4</v>
      </c>
      <c r="E4" s="31">
        <f ca="1">VLOOKUP(A4,Rankings!$B$1:$H$651,6,FALSE)+(RAND()*0.00001)</f>
        <v>371.4594473810161</v>
      </c>
      <c r="F4" s="31">
        <f ca="1">E4-VLOOKUP(Settings!$K$5,D$2:E$500,2,FALSE)</f>
        <v>134.67166677824562</v>
      </c>
      <c r="G4" s="138">
        <f t="shared" ca="1" si="1"/>
        <v>6</v>
      </c>
      <c r="H4" s="31">
        <f ca="1">VLOOKUP(A4,Rankings!$B$1:$H$651,7,FALSE)+(RAND()*0.00001)</f>
        <v>2.1138969711026765</v>
      </c>
      <c r="I4" s="31">
        <f ca="1">H4-VLOOKUP(Settings!$K$5,G$2:H$45,2,FALSE)</f>
        <v>2.9004148908724043</v>
      </c>
      <c r="J4" s="31" t="str">
        <f>VLOOKUP(A4,Rankings!B:D,3,FALSE)</f>
        <v>AL</v>
      </c>
    </row>
    <row r="5" spans="1:10" ht="20.100000000000001" customHeight="1">
      <c r="A5" s="26" t="s">
        <v>129</v>
      </c>
      <c r="B5" s="27" t="s">
        <v>91</v>
      </c>
      <c r="C5" s="121" t="s">
        <v>19</v>
      </c>
      <c r="D5" s="138">
        <f t="shared" ca="1" si="0"/>
        <v>3</v>
      </c>
      <c r="E5" s="31">
        <f ca="1">VLOOKUP(A5,Rankings!$B$1:$H$651,6,FALSE)+(RAND()*0.00001)</f>
        <v>373.3444498045755</v>
      </c>
      <c r="F5" s="31">
        <f ca="1">E5-VLOOKUP(Settings!$K$5,D$2:E$500,2,FALSE)</f>
        <v>136.55666920180502</v>
      </c>
      <c r="G5" s="138">
        <f t="shared" ca="1" si="1"/>
        <v>1</v>
      </c>
      <c r="H5" s="31">
        <f ca="1">VLOOKUP(A5,Rankings!$B$1:$H$651,7,FALSE)+(RAND()*0.00001)</f>
        <v>4.6381933784154867</v>
      </c>
      <c r="I5" s="31">
        <f ca="1">H5-VLOOKUP(Settings!$K$5,G$2:H$45,2,FALSE)</f>
        <v>5.4247112981852146</v>
      </c>
      <c r="J5" s="31" t="str">
        <f>VLOOKUP(A5,Rankings!B:D,3,FALSE)</f>
        <v>NL</v>
      </c>
    </row>
    <row r="6" spans="1:10" ht="20.100000000000001" customHeight="1">
      <c r="A6" s="26" t="s">
        <v>164</v>
      </c>
      <c r="B6" s="27" t="s">
        <v>117</v>
      </c>
      <c r="C6" s="121" t="s">
        <v>19</v>
      </c>
      <c r="D6" s="138">
        <f t="shared" ca="1" si="0"/>
        <v>5</v>
      </c>
      <c r="E6" s="31">
        <f ca="1">VLOOKUP(A6,Rankings!$B$1:$H$651,6,FALSE)+(RAND()*0.00001)</f>
        <v>345.50556303955887</v>
      </c>
      <c r="F6" s="31">
        <f ca="1">E6-VLOOKUP(Settings!$K$5,D$2:E$500,2,FALSE)</f>
        <v>108.71778243678838</v>
      </c>
      <c r="G6" s="138">
        <f t="shared" ca="1" si="1"/>
        <v>3</v>
      </c>
      <c r="H6" s="31">
        <f ca="1">VLOOKUP(A6,Rankings!$B$1:$H$651,7,FALSE)+(RAND()*0.00001)</f>
        <v>3.4429234566803588</v>
      </c>
      <c r="I6" s="31">
        <f ca="1">H6-VLOOKUP(Settings!$K$5,G$2:H$45,2,FALSE)</f>
        <v>4.2294413764500867</v>
      </c>
      <c r="J6" s="31" t="str">
        <f>VLOOKUP(A6,Rankings!B:D,3,FALSE)</f>
        <v>AL</v>
      </c>
    </row>
    <row r="7" spans="1:10" ht="20.100000000000001" customHeight="1">
      <c r="A7" s="26" t="s">
        <v>200</v>
      </c>
      <c r="B7" s="27" t="s">
        <v>117</v>
      </c>
      <c r="C7" s="121" t="s">
        <v>19</v>
      </c>
      <c r="D7" s="138">
        <f t="shared" ca="1" si="0"/>
        <v>6</v>
      </c>
      <c r="E7" s="31">
        <f ca="1">VLOOKUP(A7,Rankings!$B$1:$H$651,6,FALSE)+(RAND()*0.00001)</f>
        <v>342.64639474927264</v>
      </c>
      <c r="F7" s="31">
        <f ca="1">E7-VLOOKUP(Settings!$K$5,D$2:E$500,2,FALSE)</f>
        <v>105.85861414650216</v>
      </c>
      <c r="G7" s="138">
        <f t="shared" ca="1" si="1"/>
        <v>9</v>
      </c>
      <c r="H7" s="31">
        <f ca="1">VLOOKUP(A7,Rankings!$B$1:$H$651,7,FALSE)+(RAND()*0.00001)</f>
        <v>1.323235314737047</v>
      </c>
      <c r="I7" s="31">
        <f ca="1">H7-VLOOKUP(Settings!$K$5,G$2:H$45,2,FALSE)</f>
        <v>2.1097532345067749</v>
      </c>
      <c r="J7" s="31" t="str">
        <f>VLOOKUP(A7,Rankings!B:D,3,FALSE)</f>
        <v>AL</v>
      </c>
    </row>
    <row r="8" spans="1:10" ht="18.600000000000001" customHeight="1">
      <c r="A8" s="26" t="s">
        <v>198</v>
      </c>
      <c r="B8" s="27" t="s">
        <v>94</v>
      </c>
      <c r="C8" s="121" t="s">
        <v>19</v>
      </c>
      <c r="D8" s="138">
        <f t="shared" ca="1" si="0"/>
        <v>7</v>
      </c>
      <c r="E8" s="31">
        <f ca="1">VLOOKUP(A8,Rankings!$B$1:$H$651,6,FALSE)+(RAND()*0.00001)</f>
        <v>338.40417244590009</v>
      </c>
      <c r="F8" s="31">
        <f ca="1">E8-VLOOKUP(Settings!$K$5,D$2:E$500,2,FALSE)</f>
        <v>101.61639184312961</v>
      </c>
      <c r="G8" s="138">
        <f t="shared" ca="1" si="1"/>
        <v>7</v>
      </c>
      <c r="H8" s="31">
        <f ca="1">VLOOKUP(A8,Rankings!$B$1:$H$651,7,FALSE)+(RAND()*0.00001)</f>
        <v>2.0141643584277427</v>
      </c>
      <c r="I8" s="31">
        <f ca="1">H8-VLOOKUP(Settings!$K$5,G$2:H$45,2,FALSE)</f>
        <v>2.8006822781974705</v>
      </c>
      <c r="J8" s="31" t="str">
        <f>VLOOKUP(A8,Rankings!B:D,3,FALSE)</f>
        <v>AL</v>
      </c>
    </row>
    <row r="9" spans="1:10" ht="18.600000000000001" customHeight="1">
      <c r="A9" s="26" t="s">
        <v>267</v>
      </c>
      <c r="B9" s="27" t="s">
        <v>73</v>
      </c>
      <c r="C9" s="121" t="s">
        <v>19</v>
      </c>
      <c r="D9" s="138">
        <f t="shared" ca="1" si="0"/>
        <v>8</v>
      </c>
      <c r="E9" s="31">
        <f ca="1">VLOOKUP(A9,Rankings!$B$1:$H$651,6,FALSE)+(RAND()*0.00001)</f>
        <v>336.10944534460202</v>
      </c>
      <c r="F9" s="31">
        <f ca="1">E9-VLOOKUP(Settings!$K$5,D$2:E$500,2,FALSE)</f>
        <v>99.32166474183154</v>
      </c>
      <c r="G9" s="138">
        <f t="shared" ca="1" si="1"/>
        <v>8</v>
      </c>
      <c r="H9" s="31">
        <f ca="1">VLOOKUP(A9,Rankings!$B$1:$H$651,7,FALSE)+(RAND()*0.00001)</f>
        <v>1.5601921656837188</v>
      </c>
      <c r="I9" s="31">
        <f ca="1">H9-VLOOKUP(Settings!$K$5,G$2:H$45,2,FALSE)</f>
        <v>2.3467100854534468</v>
      </c>
      <c r="J9" s="31" t="str">
        <f>VLOOKUP(A9,Rankings!B:D,3,FALSE)</f>
        <v>NL</v>
      </c>
    </row>
    <row r="10" spans="1:10" ht="20.100000000000001" customHeight="1">
      <c r="A10" s="26" t="s">
        <v>247</v>
      </c>
      <c r="B10" s="27" t="s">
        <v>123</v>
      </c>
      <c r="C10" s="121" t="s">
        <v>19</v>
      </c>
      <c r="D10" s="138">
        <f t="shared" ca="1" si="0"/>
        <v>9</v>
      </c>
      <c r="E10" s="31">
        <f ca="1">VLOOKUP(A10,Rankings!$B$1:$H$651,6,FALSE)+(RAND()*0.00001)</f>
        <v>331.96334195110592</v>
      </c>
      <c r="F10" s="31">
        <f ca="1">E10-VLOOKUP(Settings!$K$5,D$2:E$500,2,FALSE)</f>
        <v>95.175561348335435</v>
      </c>
      <c r="G10" s="138">
        <f t="shared" ca="1" si="1"/>
        <v>5</v>
      </c>
      <c r="H10" s="31">
        <f ca="1">VLOOKUP(A10,Rankings!$B$1:$H$651,7,FALSE)+(RAND()*0.00001)</f>
        <v>2.1597428847880424</v>
      </c>
      <c r="I10" s="31">
        <f ca="1">H10-VLOOKUP(Settings!$K$5,G$2:H$45,2,FALSE)</f>
        <v>2.9462608045577703</v>
      </c>
      <c r="J10" s="31" t="str">
        <f>VLOOKUP(A10,Rankings!B:D,3,FALSE)</f>
        <v>NL</v>
      </c>
    </row>
    <row r="11" spans="1:10" ht="18.600000000000001" customHeight="1">
      <c r="A11" s="26" t="s">
        <v>234</v>
      </c>
      <c r="B11" s="27" t="s">
        <v>223</v>
      </c>
      <c r="C11" s="121" t="s">
        <v>19</v>
      </c>
      <c r="D11" s="138">
        <f t="shared" ca="1" si="0"/>
        <v>10</v>
      </c>
      <c r="E11" s="31">
        <f ca="1">VLOOKUP(A11,Rankings!$B$1:$H$651,6,FALSE)+(RAND()*0.00001)</f>
        <v>301.98944674084527</v>
      </c>
      <c r="F11" s="31">
        <f ca="1">E11-VLOOKUP(Settings!$K$5,D$2:E$500,2,FALSE)</f>
        <v>65.201666138074785</v>
      </c>
      <c r="G11" s="138">
        <f t="shared" ca="1" si="1"/>
        <v>10</v>
      </c>
      <c r="H11" s="31">
        <f ca="1">VLOOKUP(A11,Rankings!$B$1:$H$651,7,FALSE)+(RAND()*0.00001)</f>
        <v>1.1875774942445978</v>
      </c>
      <c r="I11" s="31">
        <f ca="1">H11-VLOOKUP(Settings!$K$5,G$2:H$45,2,FALSE)</f>
        <v>1.9740954140143256</v>
      </c>
      <c r="J11" s="31" t="str">
        <f>VLOOKUP(A11,Rankings!B:D,3,FALSE)</f>
        <v>NL</v>
      </c>
    </row>
    <row r="12" spans="1:10" ht="18.600000000000001" customHeight="1">
      <c r="A12" s="26" t="s">
        <v>334</v>
      </c>
      <c r="B12" s="27" t="s">
        <v>97</v>
      </c>
      <c r="C12" s="121" t="s">
        <v>19</v>
      </c>
      <c r="D12" s="138">
        <f t="shared" ca="1" si="0"/>
        <v>11</v>
      </c>
      <c r="E12" s="31">
        <f ca="1">VLOOKUP(A12,Rankings!$B$1:$H$651,6,FALSE)+(RAND()*0.00001)</f>
        <v>281.83611633197438</v>
      </c>
      <c r="F12" s="31">
        <f ca="1">E12-VLOOKUP(Settings!$K$5,D$2:E$500,2,FALSE)</f>
        <v>45.048335729203899</v>
      </c>
      <c r="G12" s="138">
        <f t="shared" ca="1" si="1"/>
        <v>11</v>
      </c>
      <c r="H12" s="31">
        <f ca="1">VLOOKUP(A12,Rankings!$B$1:$H$651,7,FALSE)+(RAND()*0.00001)</f>
        <v>0.62097649432308821</v>
      </c>
      <c r="I12" s="31">
        <f ca="1">H12-VLOOKUP(Settings!$K$5,G$2:H$45,2,FALSE)</f>
        <v>1.4074944140928161</v>
      </c>
      <c r="J12" s="31" t="str">
        <f>VLOOKUP(A12,Rankings!B:D,3,FALSE)</f>
        <v>NL</v>
      </c>
    </row>
    <row r="13" spans="1:10" ht="18.600000000000001" customHeight="1">
      <c r="A13" s="26" t="s">
        <v>325</v>
      </c>
      <c r="B13" s="27" t="s">
        <v>306</v>
      </c>
      <c r="C13" s="121" t="s">
        <v>19</v>
      </c>
      <c r="D13" s="138">
        <f t="shared" ca="1" si="0"/>
        <v>12</v>
      </c>
      <c r="E13" s="31">
        <f ca="1">VLOOKUP(A13,Rankings!$B$1:$H$651,6,FALSE)+(RAND()*0.00001)</f>
        <v>279.19944677712891</v>
      </c>
      <c r="F13" s="31">
        <f ca="1">E13-VLOOKUP(Settings!$K$5,D$2:E$500,2,FALSE)</f>
        <v>42.41166617435843</v>
      </c>
      <c r="G13" s="138">
        <f t="shared" ca="1" si="1"/>
        <v>12</v>
      </c>
      <c r="H13" s="31">
        <f ca="1">VLOOKUP(A13,Rankings!$B$1:$H$651,7,FALSE)+(RAND()*0.00001)</f>
        <v>2.4569985970235346E-2</v>
      </c>
      <c r="I13" s="31">
        <f ca="1">H13-VLOOKUP(Settings!$K$5,G$2:H$45,2,FALSE)</f>
        <v>0.81108790573996314</v>
      </c>
      <c r="J13" s="31" t="str">
        <f>VLOOKUP(A13,Rankings!B:D,3,FALSE)</f>
        <v>NL</v>
      </c>
    </row>
    <row r="14" spans="1:10" ht="18.600000000000001" customHeight="1">
      <c r="A14" s="26" t="s">
        <v>377</v>
      </c>
      <c r="B14" s="27" t="s">
        <v>94</v>
      </c>
      <c r="C14" s="121" t="s">
        <v>19</v>
      </c>
      <c r="D14" s="138">
        <f t="shared" ca="1" si="0"/>
        <v>13</v>
      </c>
      <c r="E14" s="31">
        <f ca="1">VLOOKUP(A14,Rankings!$B$1:$H$651,6,FALSE)+(RAND()*0.00001)</f>
        <v>269.91834140978847</v>
      </c>
      <c r="F14" s="31">
        <f ca="1">E14-VLOOKUP(Settings!$K$5,D$2:E$500,2,FALSE)</f>
        <v>33.130560807017986</v>
      </c>
      <c r="G14" s="138">
        <f t="shared" ca="1" si="1"/>
        <v>13</v>
      </c>
      <c r="H14" s="31">
        <f ca="1">VLOOKUP(A14,Rankings!$B$1:$H$651,7,FALSE)+(RAND()*0.00001)</f>
        <v>-0.33232231513774546</v>
      </c>
      <c r="I14" s="31">
        <f ca="1">H14-VLOOKUP(Settings!$K$5,G$2:H$45,2,FALSE)</f>
        <v>0.45419560463198239</v>
      </c>
      <c r="J14" s="31" t="str">
        <f>VLOOKUP(A14,Rankings!B:D,3,FALSE)</f>
        <v>AL</v>
      </c>
    </row>
    <row r="15" spans="1:10" ht="18.600000000000001" customHeight="1">
      <c r="A15" s="26" t="s">
        <v>409</v>
      </c>
      <c r="B15" s="27" t="s">
        <v>71</v>
      </c>
      <c r="C15" s="121" t="s">
        <v>19</v>
      </c>
      <c r="D15" s="138">
        <f t="shared" ca="1" si="0"/>
        <v>14</v>
      </c>
      <c r="E15" s="31">
        <f ca="1">VLOOKUP(A15,Rankings!$B$1:$H$651,6,FALSE)+(RAND()*0.00001)</f>
        <v>264.87833421427104</v>
      </c>
      <c r="F15" s="31">
        <f ca="1">E15-VLOOKUP(Settings!$K$5,D$2:E$500,2,FALSE)</f>
        <v>28.090553611500553</v>
      </c>
      <c r="G15" s="138">
        <f t="shared" ca="1" si="1"/>
        <v>15</v>
      </c>
      <c r="H15" s="31">
        <f ca="1">VLOOKUP(A15,Rankings!$B$1:$H$651,7,FALSE)+(RAND()*0.00001)</f>
        <v>-0.78651791976972785</v>
      </c>
      <c r="I15" s="31">
        <f ca="1">H15-VLOOKUP(Settings!$K$5,G$2:H$45,2,FALSE)</f>
        <v>0</v>
      </c>
      <c r="J15" s="31" t="str">
        <f>VLOOKUP(A15,Rankings!B:D,3,FALSE)</f>
        <v>AL</v>
      </c>
    </row>
    <row r="16" spans="1:10" ht="18.600000000000001" customHeight="1">
      <c r="A16" s="26" t="s">
        <v>444</v>
      </c>
      <c r="B16" s="27" t="s">
        <v>86</v>
      </c>
      <c r="C16" s="121" t="s">
        <v>19</v>
      </c>
      <c r="D16" s="138">
        <f t="shared" ca="1" si="0"/>
        <v>15</v>
      </c>
      <c r="E16" s="31">
        <f ca="1">VLOOKUP(A16,Rankings!$B$1:$H$651,6,FALSE)+(RAND()*0.00001)</f>
        <v>236.78778060277048</v>
      </c>
      <c r="F16" s="31">
        <f ca="1">E16-VLOOKUP(Settings!$K$5,D$2:E$500,2,FALSE)</f>
        <v>0</v>
      </c>
      <c r="G16" s="138">
        <f t="shared" ca="1" si="1"/>
        <v>17</v>
      </c>
      <c r="H16" s="31">
        <f ca="1">VLOOKUP(A16,Rankings!$B$1:$H$651,7,FALSE)+(RAND()*0.00001)</f>
        <v>-1.881328602269325</v>
      </c>
      <c r="I16" s="31">
        <f ca="1">H16-VLOOKUP(Settings!$K$5,G$2:H$45,2,FALSE)</f>
        <v>-1.0948106824995971</v>
      </c>
      <c r="J16" s="31" t="str">
        <f>VLOOKUP(A16,Rankings!B:D,3,FALSE)</f>
        <v>AL</v>
      </c>
    </row>
    <row r="17" spans="1:10" ht="18.600000000000001" customHeight="1">
      <c r="A17" s="26" t="s">
        <v>394</v>
      </c>
      <c r="B17" s="27" t="s">
        <v>140</v>
      </c>
      <c r="C17" s="121" t="s">
        <v>19</v>
      </c>
      <c r="D17" s="138">
        <f t="shared" ca="1" si="0"/>
        <v>16</v>
      </c>
      <c r="E17" s="31">
        <f ca="1">VLOOKUP(A17,Rankings!$B$1:$H$651,6,FALSE)+(RAND()*0.00001)</f>
        <v>232.46000523069245</v>
      </c>
      <c r="F17" s="31">
        <f ca="1">E17-VLOOKUP(Settings!$K$5,D$2:E$500,2,FALSE)</f>
        <v>-4.3277753720780368</v>
      </c>
      <c r="G17" s="138">
        <f t="shared" ca="1" si="1"/>
        <v>19</v>
      </c>
      <c r="H17" s="31">
        <f ca="1">VLOOKUP(A17,Rankings!$B$1:$H$651,7,FALSE)+(RAND()*0.00001)</f>
        <v>-1.9734218278204407</v>
      </c>
      <c r="I17" s="31">
        <f ca="1">H17-VLOOKUP(Settings!$K$5,G$2:H$45,2,FALSE)</f>
        <v>-1.1869039080507129</v>
      </c>
      <c r="J17" s="31" t="str">
        <f>VLOOKUP(A17,Rankings!B:D,3,FALSE)</f>
        <v>AL</v>
      </c>
    </row>
    <row r="18" spans="1:10" ht="18.600000000000001" customHeight="1">
      <c r="A18" s="26" t="s">
        <v>383</v>
      </c>
      <c r="B18" s="27" t="s">
        <v>73</v>
      </c>
      <c r="C18" s="121" t="s">
        <v>19</v>
      </c>
      <c r="D18" s="138">
        <f t="shared" ca="1" si="0"/>
        <v>17</v>
      </c>
      <c r="E18" s="31">
        <f ca="1">VLOOKUP(A18,Rankings!$B$1:$H$651,6,FALSE)+(RAND()*0.00001)</f>
        <v>230.74861454202829</v>
      </c>
      <c r="F18" s="31">
        <f ca="1">E18-VLOOKUP(Settings!$K$5,D$2:E$500,2,FALSE)</f>
        <v>-6.0391660607421898</v>
      </c>
      <c r="G18" s="138">
        <f t="shared" ca="1" si="1"/>
        <v>14</v>
      </c>
      <c r="H18" s="31">
        <f ca="1">VLOOKUP(A18,Rankings!$B$1:$H$651,7,FALSE)+(RAND()*0.00001)</f>
        <v>-0.7621520508227918</v>
      </c>
      <c r="I18" s="31">
        <f ca="1">H18-VLOOKUP(Settings!$K$5,G$2:H$45,2,FALSE)</f>
        <v>2.4365868946936042E-2</v>
      </c>
      <c r="J18" s="31" t="str">
        <f>VLOOKUP(A18,Rankings!B:D,3,FALSE)</f>
        <v>NL</v>
      </c>
    </row>
    <row r="19" spans="1:10" ht="18.600000000000001" customHeight="1">
      <c r="A19" s="26" t="s">
        <v>535</v>
      </c>
      <c r="B19" s="27" t="s">
        <v>114</v>
      </c>
      <c r="C19" s="121" t="s">
        <v>19</v>
      </c>
      <c r="D19" s="138">
        <f t="shared" ca="1" si="0"/>
        <v>18</v>
      </c>
      <c r="E19" s="31">
        <f ca="1">VLOOKUP(A19,Rankings!$B$1:$H$651,6,FALSE)+(RAND()*0.00001)</f>
        <v>208.90723154807552</v>
      </c>
      <c r="F19" s="31">
        <f ca="1">E19-VLOOKUP(Settings!$K$5,D$2:E$500,2,FALSE)</f>
        <v>-27.880549054694967</v>
      </c>
      <c r="G19" s="138">
        <f t="shared" ca="1" si="1"/>
        <v>25</v>
      </c>
      <c r="H19" s="31">
        <f ca="1">VLOOKUP(A19,Rankings!$B$1:$H$651,7,FALSE)+(RAND()*0.00001)</f>
        <v>-3.2315835712146246</v>
      </c>
      <c r="I19" s="31">
        <f ca="1">H19-VLOOKUP(Settings!$K$5,G$2:H$45,2,FALSE)</f>
        <v>-2.4450656514448967</v>
      </c>
      <c r="J19" s="31" t="str">
        <f>VLOOKUP(A19,Rankings!B:D,3,FALSE)</f>
        <v>AL</v>
      </c>
    </row>
    <row r="20" spans="1:10" ht="18.600000000000001" customHeight="1">
      <c r="A20" s="26" t="s">
        <v>452</v>
      </c>
      <c r="B20" s="27" t="s">
        <v>176</v>
      </c>
      <c r="C20" s="121" t="s">
        <v>19</v>
      </c>
      <c r="D20" s="138">
        <f t="shared" ca="1" si="0"/>
        <v>19</v>
      </c>
      <c r="E20" s="31">
        <f ca="1">VLOOKUP(A20,Rankings!$B$1:$H$651,6,FALSE)+(RAND()*0.00001)</f>
        <v>207.14166865425898</v>
      </c>
      <c r="F20" s="31">
        <f ca="1">E20-VLOOKUP(Settings!$K$5,D$2:E$500,2,FALSE)</f>
        <v>-29.646111948511503</v>
      </c>
      <c r="G20" s="138">
        <f t="shared" ca="1" si="1"/>
        <v>18</v>
      </c>
      <c r="H20" s="31">
        <f ca="1">VLOOKUP(A20,Rankings!$B$1:$H$651,7,FALSE)+(RAND()*0.00001)</f>
        <v>-1.9323433112815238</v>
      </c>
      <c r="I20" s="31">
        <f ca="1">H20-VLOOKUP(Settings!$K$5,G$2:H$45,2,FALSE)</f>
        <v>-1.145825391511796</v>
      </c>
      <c r="J20" s="31" t="str">
        <f>VLOOKUP(A20,Rankings!B:D,3,FALSE)</f>
        <v>NL</v>
      </c>
    </row>
    <row r="21" spans="1:10" ht="20.100000000000001" customHeight="1">
      <c r="A21" s="26" t="s">
        <v>415</v>
      </c>
      <c r="B21" s="27" t="s">
        <v>156</v>
      </c>
      <c r="C21" s="121" t="s">
        <v>19</v>
      </c>
      <c r="D21" s="138">
        <f t="shared" ca="1" si="0"/>
        <v>20</v>
      </c>
      <c r="E21" s="31">
        <f ca="1">VLOOKUP(A21,Rankings!$B$1:$H$651,6,FALSE)+(RAND()*0.00001)</f>
        <v>206.36722433531816</v>
      </c>
      <c r="F21" s="31">
        <f ca="1">E21-VLOOKUP(Settings!$K$5,D$2:E$500,2,FALSE)</f>
        <v>-30.420556267452326</v>
      </c>
      <c r="G21" s="138">
        <f t="shared" ca="1" si="1"/>
        <v>20</v>
      </c>
      <c r="H21" s="31">
        <f ca="1">VLOOKUP(A21,Rankings!$B$1:$H$651,7,FALSE)+(RAND()*0.00001)</f>
        <v>-1.9903172482326339</v>
      </c>
      <c r="I21" s="31">
        <f ca="1">H21-VLOOKUP(Settings!$K$5,G$2:H$45,2,FALSE)</f>
        <v>-1.203799328462906</v>
      </c>
      <c r="J21" s="31" t="str">
        <f>VLOOKUP(A21,Rankings!B:D,3,FALSE)</f>
        <v>AL</v>
      </c>
    </row>
    <row r="22" spans="1:10" ht="18.600000000000001" customHeight="1">
      <c r="A22" s="26" t="s">
        <v>483</v>
      </c>
      <c r="B22" s="27" t="s">
        <v>63</v>
      </c>
      <c r="C22" s="121" t="s">
        <v>19</v>
      </c>
      <c r="D22" s="138">
        <f t="shared" ca="1" si="0"/>
        <v>24</v>
      </c>
      <c r="E22" s="31">
        <f ca="1">VLOOKUP(A22,Rankings!$B$1:$H$651,6,FALSE)+(RAND()*0.00001)</f>
        <v>177.36000071289735</v>
      </c>
      <c r="F22" s="31">
        <f ca="1">E22-VLOOKUP(Settings!$K$5,D$2:E$500,2,FALSE)</f>
        <v>-59.427779889873136</v>
      </c>
      <c r="G22" s="138">
        <f t="shared" ca="1" si="1"/>
        <v>21</v>
      </c>
      <c r="H22" s="31">
        <f ca="1">VLOOKUP(A22,Rankings!$B$1:$H$651,7,FALSE)+(RAND()*0.00001)</f>
        <v>-3.0877430086656585</v>
      </c>
      <c r="I22" s="31">
        <f ca="1">H22-VLOOKUP(Settings!$K$5,G$2:H$45,2,FALSE)</f>
        <v>-2.3012250888959307</v>
      </c>
      <c r="J22" s="31" t="str">
        <f>VLOOKUP(A22,Rankings!B:D,3,FALSE)</f>
        <v>NL</v>
      </c>
    </row>
    <row r="23" spans="1:10" ht="18.600000000000001" customHeight="1">
      <c r="A23" s="26" t="s">
        <v>568</v>
      </c>
      <c r="B23" s="27" t="s">
        <v>120</v>
      </c>
      <c r="C23" s="121" t="s">
        <v>19</v>
      </c>
      <c r="D23" s="138">
        <f t="shared" ca="1" si="0"/>
        <v>22</v>
      </c>
      <c r="E23" s="31">
        <f ca="1">VLOOKUP(A23,Rankings!$B$1:$H$651,6,FALSE)+(RAND()*0.00001)</f>
        <v>181.77778085862309</v>
      </c>
      <c r="F23" s="31">
        <f ca="1">E23-VLOOKUP(Settings!$K$5,D$2:E$500,2,FALSE)</f>
        <v>-55.009999744147393</v>
      </c>
      <c r="G23" s="138">
        <f t="shared" ca="1" si="1"/>
        <v>30</v>
      </c>
      <c r="H23" s="31">
        <f ca="1">VLOOKUP(A23,Rankings!$B$1:$H$651,7,FALSE)+(RAND()*0.00001)</f>
        <v>-3.5485300530698982</v>
      </c>
      <c r="I23" s="31">
        <f ca="1">H23-VLOOKUP(Settings!$K$5,G$2:H$45,2,FALSE)</f>
        <v>-2.7620121333001704</v>
      </c>
      <c r="J23" s="31" t="str">
        <f>VLOOKUP(A23,Rankings!B:D,3,FALSE)</f>
        <v>NL</v>
      </c>
    </row>
    <row r="24" spans="1:10" ht="18.600000000000001" customHeight="1">
      <c r="A24" s="26" t="s">
        <v>487</v>
      </c>
      <c r="B24" s="27" t="s">
        <v>120</v>
      </c>
      <c r="C24" s="121" t="s">
        <v>19</v>
      </c>
      <c r="D24" s="138">
        <f t="shared" ca="1" si="0"/>
        <v>21</v>
      </c>
      <c r="E24" s="31">
        <f ca="1">VLOOKUP(A24,Rankings!$B$1:$H$651,6,FALSE)+(RAND()*0.00001)</f>
        <v>183.19389760866881</v>
      </c>
      <c r="F24" s="31">
        <f ca="1">E24-VLOOKUP(Settings!$K$5,D$2:E$500,2,FALSE)</f>
        <v>-53.593882994101676</v>
      </c>
      <c r="G24" s="138">
        <f t="shared" ca="1" si="1"/>
        <v>16</v>
      </c>
      <c r="H24" s="31">
        <f ca="1">VLOOKUP(A24,Rankings!$B$1:$H$651,7,FALSE)+(RAND()*0.00001)</f>
        <v>-1.686545477436231</v>
      </c>
      <c r="I24" s="31">
        <f ca="1">H24-VLOOKUP(Settings!$K$5,G$2:H$45,2,FALSE)</f>
        <v>-0.90002755766650311</v>
      </c>
      <c r="J24" s="31" t="str">
        <f>VLOOKUP(A24,Rankings!B:D,3,FALSE)</f>
        <v>NL</v>
      </c>
    </row>
    <row r="25" spans="1:10" ht="18.600000000000001" customHeight="1">
      <c r="A25" s="26" t="s">
        <v>492</v>
      </c>
      <c r="B25" s="27" t="s">
        <v>84</v>
      </c>
      <c r="C25" s="121" t="s">
        <v>19</v>
      </c>
      <c r="D25" s="138">
        <f t="shared" ca="1" si="0"/>
        <v>25</v>
      </c>
      <c r="E25" s="31">
        <f ca="1">VLOOKUP(A25,Rankings!$B$1:$H$651,6,FALSE)+(RAND()*0.00001)</f>
        <v>175.50334316929977</v>
      </c>
      <c r="F25" s="31">
        <f ca="1">E25-VLOOKUP(Settings!$K$5,D$2:E$500,2,FALSE)</f>
        <v>-61.284437433470714</v>
      </c>
      <c r="G25" s="138">
        <f t="shared" ca="1" si="1"/>
        <v>27</v>
      </c>
      <c r="H25" s="31">
        <f ca="1">VLOOKUP(A25,Rankings!$B$1:$H$651,7,FALSE)+(RAND()*0.00001)</f>
        <v>-3.2636141473032803</v>
      </c>
      <c r="I25" s="31">
        <f ca="1">H25-VLOOKUP(Settings!$K$5,G$2:H$45,2,FALSE)</f>
        <v>-2.4770962275335524</v>
      </c>
      <c r="J25" s="31" t="str">
        <f>VLOOKUP(A25,Rankings!B:D,3,FALSE)</f>
        <v>AL</v>
      </c>
    </row>
    <row r="26" spans="1:10" ht="18.600000000000001" customHeight="1">
      <c r="A26" s="26" t="s">
        <v>510</v>
      </c>
      <c r="B26" s="27" t="s">
        <v>68</v>
      </c>
      <c r="C26" s="121" t="s">
        <v>19</v>
      </c>
      <c r="D26" s="138">
        <f t="shared" ca="1" si="0"/>
        <v>23</v>
      </c>
      <c r="E26" s="31">
        <f ca="1">VLOOKUP(A26,Rankings!$B$1:$H$651,6,FALSE)+(RAND()*0.00001)</f>
        <v>178.32111798464771</v>
      </c>
      <c r="F26" s="31">
        <f ca="1">E26-VLOOKUP(Settings!$K$5,D$2:E$500,2,FALSE)</f>
        <v>-58.466662618122768</v>
      </c>
      <c r="G26" s="138">
        <f t="shared" ca="1" si="1"/>
        <v>26</v>
      </c>
      <c r="H26" s="31">
        <f ca="1">VLOOKUP(A26,Rankings!$B$1:$H$651,7,FALSE)+(RAND()*0.00001)</f>
        <v>-3.2542120630023987</v>
      </c>
      <c r="I26" s="31">
        <f ca="1">H26-VLOOKUP(Settings!$K$5,G$2:H$45,2,FALSE)</f>
        <v>-2.4676941432326709</v>
      </c>
      <c r="J26" s="31" t="str">
        <f>VLOOKUP(A26,Rankings!B:D,3,FALSE)</f>
        <v>AL</v>
      </c>
    </row>
    <row r="27" spans="1:10" ht="18.600000000000001" customHeight="1">
      <c r="A27" s="26" t="s">
        <v>621</v>
      </c>
      <c r="B27" s="27" t="s">
        <v>76</v>
      </c>
      <c r="C27" s="121" t="s">
        <v>19</v>
      </c>
      <c r="D27" s="138">
        <f t="shared" ca="1" si="0"/>
        <v>27</v>
      </c>
      <c r="E27" s="31">
        <f ca="1">VLOOKUP(A27,Rankings!$B$1:$H$651,6,FALSE)+(RAND()*0.00001)</f>
        <v>172.96889561706178</v>
      </c>
      <c r="F27" s="31">
        <f ca="1">E27-VLOOKUP(Settings!$K$5,D$2:E$500,2,FALSE)</f>
        <v>-63.818884985708706</v>
      </c>
      <c r="G27" s="138">
        <f t="shared" ca="1" si="1"/>
        <v>33</v>
      </c>
      <c r="H27" s="31">
        <f ca="1">VLOOKUP(A27,Rankings!$B$1:$H$651,7,FALSE)+(RAND()*0.00001)</f>
        <v>-4.0842603446534547</v>
      </c>
      <c r="I27" s="31">
        <f ca="1">H27-VLOOKUP(Settings!$K$5,G$2:H$45,2,FALSE)</f>
        <v>-3.2977424248837268</v>
      </c>
      <c r="J27" s="31" t="str">
        <f>VLOOKUP(A27,Rankings!B:D,3,FALSE)</f>
        <v>AL</v>
      </c>
    </row>
    <row r="28" spans="1:10" ht="18.600000000000001" customHeight="1">
      <c r="A28" s="26" t="s">
        <v>523</v>
      </c>
      <c r="B28" s="27" t="s">
        <v>258</v>
      </c>
      <c r="C28" s="121" t="s">
        <v>19</v>
      </c>
      <c r="D28" s="138">
        <f t="shared" ca="1" si="0"/>
        <v>26</v>
      </c>
      <c r="E28" s="31">
        <f ca="1">VLOOKUP(A28,Rankings!$B$1:$H$651,6,FALSE)+(RAND()*0.00001)</f>
        <v>174.08250453034313</v>
      </c>
      <c r="F28" s="31">
        <f ca="1">E28-VLOOKUP(Settings!$K$5,D$2:E$500,2,FALSE)</f>
        <v>-62.705276072427353</v>
      </c>
      <c r="G28" s="138">
        <f t="shared" ca="1" si="1"/>
        <v>22</v>
      </c>
      <c r="H28" s="31">
        <f ca="1">VLOOKUP(A28,Rankings!$B$1:$H$651,7,FALSE)+(RAND()*0.00001)</f>
        <v>-3.1908959277890285</v>
      </c>
      <c r="I28" s="31">
        <f ca="1">H28-VLOOKUP(Settings!$K$5,G$2:H$45,2,FALSE)</f>
        <v>-2.4043780080193007</v>
      </c>
      <c r="J28" s="31" t="str">
        <f>VLOOKUP(A28,Rankings!B:D,3,FALSE)</f>
        <v>AL</v>
      </c>
    </row>
    <row r="29" spans="1:10" ht="18.600000000000001" customHeight="1">
      <c r="A29" s="26" t="s">
        <v>586</v>
      </c>
      <c r="B29" s="27" t="s">
        <v>217</v>
      </c>
      <c r="C29" s="121" t="s">
        <v>19</v>
      </c>
      <c r="D29" s="138">
        <f t="shared" ca="1" si="0"/>
        <v>28</v>
      </c>
      <c r="E29" s="31">
        <f ca="1">VLOOKUP(A29,Rankings!$B$1:$H$651,6,FALSE)+(RAND()*0.00001)</f>
        <v>167.60444902597447</v>
      </c>
      <c r="F29" s="31">
        <f ca="1">E29-VLOOKUP(Settings!$K$5,D$2:E$500,2,FALSE)</f>
        <v>-69.183331576796007</v>
      </c>
      <c r="G29" s="138">
        <f t="shared" ca="1" si="1"/>
        <v>29</v>
      </c>
      <c r="H29" s="31">
        <f ca="1">VLOOKUP(A29,Rankings!$B$1:$H$651,7,FALSE)+(RAND()*0.00001)</f>
        <v>-3.5067343691311121</v>
      </c>
      <c r="I29" s="31">
        <f ca="1">H29-VLOOKUP(Settings!$K$5,G$2:H$45,2,FALSE)</f>
        <v>-2.7202164493613843</v>
      </c>
      <c r="J29" s="31" t="str">
        <f>VLOOKUP(A29,Rankings!B:D,3,FALSE)</f>
        <v>NL</v>
      </c>
    </row>
    <row r="30" spans="1:10" ht="18.600000000000001" customHeight="1">
      <c r="A30" s="26" t="s">
        <v>598</v>
      </c>
      <c r="B30" s="27" t="s">
        <v>134</v>
      </c>
      <c r="C30" s="121" t="s">
        <v>19</v>
      </c>
      <c r="D30" s="138">
        <f t="shared" ca="1" si="0"/>
        <v>29</v>
      </c>
      <c r="E30" s="31">
        <f ca="1">VLOOKUP(A30,Rankings!$B$1:$H$651,6,FALSE)+(RAND()*0.00001)</f>
        <v>164.25778683615633</v>
      </c>
      <c r="F30" s="31">
        <f ca="1">E30-VLOOKUP(Settings!$K$5,D$2:E$500,2,FALSE)</f>
        <v>-72.529993766614155</v>
      </c>
      <c r="G30" s="138">
        <f t="shared" ca="1" si="1"/>
        <v>38</v>
      </c>
      <c r="H30" s="31">
        <f ca="1">VLOOKUP(A30,Rankings!$B$1:$H$651,7,FALSE)+(RAND()*0.00001)</f>
        <v>-4.4802406301523785</v>
      </c>
      <c r="I30" s="31">
        <f ca="1">H30-VLOOKUP(Settings!$K$5,G$2:H$45,2,FALSE)</f>
        <v>-3.6937227103826507</v>
      </c>
      <c r="J30" s="31" t="str">
        <f>VLOOKUP(A30,Rankings!B:D,3,FALSE)</f>
        <v>NL</v>
      </c>
    </row>
    <row r="31" spans="1:10" ht="18.600000000000001" customHeight="1">
      <c r="A31" s="26" t="s">
        <v>646</v>
      </c>
      <c r="B31" s="27" t="s">
        <v>78</v>
      </c>
      <c r="C31" s="121" t="s">
        <v>19</v>
      </c>
      <c r="D31" s="138">
        <f t="shared" ca="1" si="0"/>
        <v>30</v>
      </c>
      <c r="E31" s="31">
        <f ca="1">VLOOKUP(A31,Rankings!$B$1:$H$651,6,FALSE)+(RAND()*0.00001)</f>
        <v>163.10222432167748</v>
      </c>
      <c r="F31" s="31">
        <f ca="1">E31-VLOOKUP(Settings!$K$5,D$2:E$500,2,FALSE)</f>
        <v>-73.685556281093</v>
      </c>
      <c r="G31" s="138">
        <f t="shared" ca="1" si="1"/>
        <v>43</v>
      </c>
      <c r="H31" s="31">
        <f ca="1">VLOOKUP(A31,Rankings!$B$1:$H$651,7,FALSE)+(RAND()*0.00001)</f>
        <v>-5.1726211390298795</v>
      </c>
      <c r="I31" s="31">
        <f ca="1">H31-VLOOKUP(Settings!$K$5,G$2:H$45,2,FALSE)</f>
        <v>-4.3861032192601517</v>
      </c>
      <c r="J31" s="31" t="str">
        <f>VLOOKUP(A31,Rankings!B:D,3,FALSE)</f>
        <v>AL</v>
      </c>
    </row>
    <row r="32" spans="1:10" ht="20.100000000000001" customHeight="1">
      <c r="A32" s="26" t="s">
        <v>503</v>
      </c>
      <c r="B32" s="27" t="s">
        <v>134</v>
      </c>
      <c r="C32" s="121" t="s">
        <v>19</v>
      </c>
      <c r="D32" s="138">
        <f t="shared" ca="1" si="0"/>
        <v>31</v>
      </c>
      <c r="E32" s="31">
        <f ca="1">VLOOKUP(A32,Rankings!$B$1:$H$651,6,FALSE)+(RAND()*0.00001)</f>
        <v>162.00722660257921</v>
      </c>
      <c r="F32" s="31">
        <f ca="1">E32-VLOOKUP(Settings!$K$5,D$2:E$500,2,FALSE)</f>
        <v>-74.780554000191273</v>
      </c>
      <c r="G32" s="138">
        <f t="shared" ca="1" si="1"/>
        <v>23</v>
      </c>
      <c r="H32" s="31">
        <f ca="1">VLOOKUP(A32,Rankings!$B$1:$H$651,7,FALSE)+(RAND()*0.00001)</f>
        <v>-3.2048838316478121</v>
      </c>
      <c r="I32" s="31">
        <f ca="1">H32-VLOOKUP(Settings!$K$5,G$2:H$45,2,FALSE)</f>
        <v>-2.4183659118780843</v>
      </c>
      <c r="J32" s="31" t="str">
        <f>VLOOKUP(A32,Rankings!B:D,3,FALSE)</f>
        <v>NL</v>
      </c>
    </row>
    <row r="33" spans="1:10" ht="18.600000000000001" customHeight="1">
      <c r="A33" s="26" t="s">
        <v>626</v>
      </c>
      <c r="B33" s="27" t="s">
        <v>95</v>
      </c>
      <c r="C33" s="121" t="s">
        <v>19</v>
      </c>
      <c r="D33" s="138">
        <f t="shared" ca="1" si="0"/>
        <v>32</v>
      </c>
      <c r="E33" s="31">
        <f ca="1">VLOOKUP(A33,Rankings!$B$1:$H$651,6,FALSE)+(RAND()*0.00001)</f>
        <v>159.11834115829777</v>
      </c>
      <c r="F33" s="31">
        <f ca="1">E33-VLOOKUP(Settings!$K$5,D$2:E$500,2,FALSE)</f>
        <v>-77.669439444472715</v>
      </c>
      <c r="G33" s="138">
        <f t="shared" ca="1" si="1"/>
        <v>35</v>
      </c>
      <c r="H33" s="31">
        <f ca="1">VLOOKUP(A33,Rankings!$B$1:$H$651,7,FALSE)+(RAND()*0.00001)</f>
        <v>-4.3150048841705697</v>
      </c>
      <c r="I33" s="31">
        <f ca="1">H33-VLOOKUP(Settings!$K$5,G$2:H$45,2,FALSE)</f>
        <v>-3.5284869644008419</v>
      </c>
      <c r="J33" s="31" t="str">
        <f>VLOOKUP(A33,Rankings!B:D,3,FALSE)</f>
        <v>NL</v>
      </c>
    </row>
    <row r="34" spans="1:10" ht="18.600000000000001" customHeight="1">
      <c r="A34" s="26" t="s">
        <v>519</v>
      </c>
      <c r="B34" s="27" t="s">
        <v>101</v>
      </c>
      <c r="C34" s="121" t="s">
        <v>19</v>
      </c>
      <c r="D34" s="138">
        <f t="shared" ref="D34:D54" ca="1" si="2">RANK(E34,E$2:E$54)</f>
        <v>33</v>
      </c>
      <c r="E34" s="31">
        <f ca="1">VLOOKUP(A34,Rankings!$B$1:$H$651,6,FALSE)+(RAND()*0.00001)</f>
        <v>156.91778095037338</v>
      </c>
      <c r="F34" s="31">
        <f ca="1">E34-VLOOKUP(Settings!$K$5,D$2:E$500,2,FALSE)</f>
        <v>-79.869999652397098</v>
      </c>
      <c r="G34" s="138">
        <f t="shared" ref="G34:G54" ca="1" si="3">RANK(H34,H$2:H$500)</f>
        <v>24</v>
      </c>
      <c r="H34" s="31">
        <f ca="1">VLOOKUP(A34,Rankings!$B$1:$H$651,7,FALSE)+(RAND()*0.00001)</f>
        <v>-3.2135746287904494</v>
      </c>
      <c r="I34" s="31">
        <f ca="1">H34-VLOOKUP(Settings!$K$5,G$2:H$45,2,FALSE)</f>
        <v>-2.4270567090207216</v>
      </c>
      <c r="J34" s="31" t="str">
        <f>VLOOKUP(A34,Rankings!B:D,3,FALSE)</f>
        <v>AL</v>
      </c>
    </row>
    <row r="35" spans="1:10" ht="18.600000000000001" customHeight="1">
      <c r="A35" s="26" t="s">
        <v>613</v>
      </c>
      <c r="B35" s="27" t="s">
        <v>101</v>
      </c>
      <c r="C35" s="121" t="s">
        <v>19</v>
      </c>
      <c r="D35" s="138">
        <f t="shared" ca="1" si="2"/>
        <v>34</v>
      </c>
      <c r="E35" s="31">
        <f ca="1">VLOOKUP(A35,Rankings!$B$1:$H$651,6,FALSE)+(RAND()*0.00001)</f>
        <v>154.18277868603789</v>
      </c>
      <c r="F35" s="31">
        <f ca="1">E35-VLOOKUP(Settings!$K$5,D$2:E$500,2,FALSE)</f>
        <v>-82.60500191673259</v>
      </c>
      <c r="G35" s="138">
        <f t="shared" ca="1" si="3"/>
        <v>32</v>
      </c>
      <c r="H35" s="31">
        <f ca="1">VLOOKUP(A35,Rankings!$B$1:$H$651,7,FALSE)+(RAND()*0.00001)</f>
        <v>-3.8782897822640452</v>
      </c>
      <c r="I35" s="31">
        <f ca="1">H35-VLOOKUP(Settings!$K$5,G$2:H$45,2,FALSE)</f>
        <v>-3.0917718624943173</v>
      </c>
      <c r="J35" s="31" t="str">
        <f>VLOOKUP(A35,Rankings!B:D,3,FALSE)</f>
        <v>AL</v>
      </c>
    </row>
    <row r="36" spans="1:10" ht="18.600000000000001" customHeight="1">
      <c r="A36" s="26" t="s">
        <v>564</v>
      </c>
      <c r="B36" s="27" t="s">
        <v>158</v>
      </c>
      <c r="C36" s="121" t="s">
        <v>19</v>
      </c>
      <c r="D36" s="138">
        <f t="shared" ca="1" si="2"/>
        <v>35</v>
      </c>
      <c r="E36" s="31">
        <f ca="1">VLOOKUP(A36,Rankings!$B$1:$H$651,6,FALSE)+(RAND()*0.00001)</f>
        <v>151.85389187711334</v>
      </c>
      <c r="F36" s="31">
        <f ca="1">E36-VLOOKUP(Settings!$K$5,D$2:E$500,2,FALSE)</f>
        <v>-84.933888725657141</v>
      </c>
      <c r="G36" s="138">
        <f t="shared" ca="1" si="3"/>
        <v>28</v>
      </c>
      <c r="H36" s="31">
        <f ca="1">VLOOKUP(A36,Rankings!$B$1:$H$651,7,FALSE)+(RAND()*0.00001)</f>
        <v>-3.4750869362945696</v>
      </c>
      <c r="I36" s="31">
        <f ca="1">H36-VLOOKUP(Settings!$K$5,G$2:H$45,2,FALSE)</f>
        <v>-2.6885690165248417</v>
      </c>
      <c r="J36" s="31" t="str">
        <f>VLOOKUP(A36,Rankings!B:D,3,FALSE)</f>
        <v>NL</v>
      </c>
    </row>
    <row r="37" spans="1:10" ht="18.600000000000001" customHeight="1">
      <c r="A37" s="26" t="s">
        <v>618</v>
      </c>
      <c r="B37" s="27" t="s">
        <v>103</v>
      </c>
      <c r="C37" s="121" t="s">
        <v>19</v>
      </c>
      <c r="D37" s="138">
        <f t="shared" ca="1" si="2"/>
        <v>36</v>
      </c>
      <c r="E37" s="31">
        <f ca="1">VLOOKUP(A37,Rankings!$B$1:$H$651,6,FALSE)+(RAND()*0.00001)</f>
        <v>140.95667005915206</v>
      </c>
      <c r="F37" s="31">
        <f ca="1">E37-VLOOKUP(Settings!$K$5,D$2:E$500,2,FALSE)</f>
        <v>-95.831110543618422</v>
      </c>
      <c r="G37" s="138">
        <f t="shared" ca="1" si="3"/>
        <v>36</v>
      </c>
      <c r="H37" s="31">
        <f ca="1">VLOOKUP(A37,Rankings!$B$1:$H$651,7,FALSE)+(RAND()*0.00001)</f>
        <v>-4.3290460428042437</v>
      </c>
      <c r="I37" s="31">
        <f ca="1">H37-VLOOKUP(Settings!$K$5,G$2:H$45,2,FALSE)</f>
        <v>-3.5425281230345158</v>
      </c>
      <c r="J37" s="31" t="str">
        <f>VLOOKUP(A37,Rankings!B:D,3,FALSE)</f>
        <v>AL</v>
      </c>
    </row>
    <row r="38" spans="1:10" ht="18.600000000000001" customHeight="1">
      <c r="A38" s="26" t="s">
        <v>661</v>
      </c>
      <c r="B38" s="27" t="s">
        <v>84</v>
      </c>
      <c r="C38" s="121" t="s">
        <v>19</v>
      </c>
      <c r="D38" s="138">
        <f t="shared" ca="1" si="2"/>
        <v>38</v>
      </c>
      <c r="E38" s="31">
        <f ca="1">VLOOKUP(A38,Rankings!$B$1:$H$651,6,FALSE)+(RAND()*0.00001)</f>
        <v>135.19056473283359</v>
      </c>
      <c r="F38" s="31">
        <f ca="1">E38-VLOOKUP(Settings!$K$5,D$2:E$500,2,FALSE)</f>
        <v>-101.59721586993689</v>
      </c>
      <c r="G38" s="138">
        <f t="shared" ca="1" si="3"/>
        <v>48</v>
      </c>
      <c r="H38" s="31">
        <f ca="1">VLOOKUP(A38,Rankings!$B$1:$H$651,7,FALSE)+(RAND()*0.00001)</f>
        <v>-5.5060941207875604</v>
      </c>
      <c r="I38" s="31">
        <f ca="1">H38-VLOOKUP(Settings!$K$5,G$2:H$45,2,FALSE)</f>
        <v>-4.7195762010178326</v>
      </c>
      <c r="J38" s="31" t="str">
        <f>VLOOKUP(A38,Rankings!B:D,3,FALSE)</f>
        <v>AL</v>
      </c>
    </row>
    <row r="39" spans="1:10" ht="18.600000000000001" customHeight="1">
      <c r="A39" s="26" t="s">
        <v>593</v>
      </c>
      <c r="B39" s="27" t="s">
        <v>63</v>
      </c>
      <c r="C39" s="121" t="s">
        <v>19</v>
      </c>
      <c r="D39" s="138">
        <f t="shared" ca="1" si="2"/>
        <v>37</v>
      </c>
      <c r="E39" s="31">
        <f ca="1">VLOOKUP(A39,Rankings!$B$1:$H$651,6,FALSE)+(RAND()*0.00001)</f>
        <v>138.75750571482024</v>
      </c>
      <c r="F39" s="31">
        <f ca="1">E39-VLOOKUP(Settings!$K$5,D$2:E$500,2,FALSE)</f>
        <v>-98.030274887950242</v>
      </c>
      <c r="G39" s="138">
        <f t="shared" ca="1" si="3"/>
        <v>34</v>
      </c>
      <c r="H39" s="31">
        <f ca="1">VLOOKUP(A39,Rankings!$B$1:$H$651,7,FALSE)+(RAND()*0.00001)</f>
        <v>-4.1706811300966944</v>
      </c>
      <c r="I39" s="31">
        <f ca="1">H39-VLOOKUP(Settings!$K$5,G$2:H$45,2,FALSE)</f>
        <v>-3.3841632103269665</v>
      </c>
      <c r="J39" s="31" t="str">
        <f>VLOOKUP(A39,Rankings!B:D,3,FALSE)</f>
        <v>NL</v>
      </c>
    </row>
    <row r="40" spans="1:10" ht="18.600000000000001" customHeight="1">
      <c r="A40" s="26" t="s">
        <v>644</v>
      </c>
      <c r="B40" s="27" t="s">
        <v>97</v>
      </c>
      <c r="C40" s="121" t="s">
        <v>19</v>
      </c>
      <c r="D40" s="138">
        <f t="shared" ca="1" si="2"/>
        <v>40</v>
      </c>
      <c r="E40" s="31">
        <f ca="1">VLOOKUP(A40,Rankings!$B$1:$H$651,6,FALSE)+(RAND()*0.00001)</f>
        <v>129.05278517388589</v>
      </c>
      <c r="F40" s="31">
        <f ca="1">E40-VLOOKUP(Settings!$K$5,D$2:E$500,2,FALSE)</f>
        <v>-107.73499542888459</v>
      </c>
      <c r="G40" s="138">
        <f t="shared" ca="1" si="3"/>
        <v>40</v>
      </c>
      <c r="H40" s="31">
        <f ca="1">VLOOKUP(A40,Rankings!$B$1:$H$651,7,FALSE)+(RAND()*0.00001)</f>
        <v>-5.0002940568327627</v>
      </c>
      <c r="I40" s="31">
        <f ca="1">H40-VLOOKUP(Settings!$K$5,G$2:H$45,2,FALSE)</f>
        <v>-4.2137761370630349</v>
      </c>
      <c r="J40" s="31" t="str">
        <f>VLOOKUP(A40,Rankings!B:D,3,FALSE)</f>
        <v>NL</v>
      </c>
    </row>
    <row r="41" spans="1:10" ht="18.600000000000001" customHeight="1">
      <c r="A41" s="26" t="s">
        <v>671</v>
      </c>
      <c r="B41" s="27" t="s">
        <v>158</v>
      </c>
      <c r="C41" s="121" t="s">
        <v>19</v>
      </c>
      <c r="D41" s="138">
        <f t="shared" ca="1" si="2"/>
        <v>39</v>
      </c>
      <c r="E41" s="31">
        <f ca="1">VLOOKUP(A41,Rankings!$B$1:$H$651,6,FALSE)+(RAND()*0.00001)</f>
        <v>131.52945431483127</v>
      </c>
      <c r="F41" s="31">
        <f ca="1">E41-VLOOKUP(Settings!$K$5,D$2:E$500,2,FALSE)</f>
        <v>-105.25832628793921</v>
      </c>
      <c r="G41" s="138">
        <f t="shared" ca="1" si="3"/>
        <v>47</v>
      </c>
      <c r="H41" s="31">
        <f ca="1">VLOOKUP(A41,Rankings!$B$1:$H$651,7,FALSE)+(RAND()*0.00001)</f>
        <v>-5.4581640026001654</v>
      </c>
      <c r="I41" s="31">
        <f ca="1">H41-VLOOKUP(Settings!$K$5,G$2:H$45,2,FALSE)</f>
        <v>-4.6716460828304376</v>
      </c>
      <c r="J41" s="31" t="str">
        <f>VLOOKUP(A41,Rankings!B:D,3,FALSE)</f>
        <v>NL</v>
      </c>
    </row>
    <row r="42" spans="1:10" ht="18.600000000000001" customHeight="1">
      <c r="A42" s="26" t="s">
        <v>590</v>
      </c>
      <c r="B42" s="27" t="s">
        <v>137</v>
      </c>
      <c r="C42" s="121" t="s">
        <v>19</v>
      </c>
      <c r="D42" s="138">
        <f t="shared" ca="1" si="2"/>
        <v>41</v>
      </c>
      <c r="E42" s="31">
        <f ca="1">VLOOKUP(A42,Rankings!$B$1:$H$651,6,FALSE)+(RAND()*0.00001)</f>
        <v>128.60000624446661</v>
      </c>
      <c r="F42" s="31">
        <f ca="1">E42-VLOOKUP(Settings!$K$5,D$2:E$500,2,FALSE)</f>
        <v>-108.18777435830387</v>
      </c>
      <c r="G42" s="138">
        <f t="shared" ca="1" si="3"/>
        <v>31</v>
      </c>
      <c r="H42" s="31">
        <f ca="1">VLOOKUP(A42,Rankings!$B$1:$H$651,7,FALSE)+(RAND()*0.00001)</f>
        <v>-3.7653663966524071</v>
      </c>
      <c r="I42" s="31">
        <f ca="1">H42-VLOOKUP(Settings!$K$5,G$2:H$45,2,FALSE)</f>
        <v>-2.9788484768826793</v>
      </c>
      <c r="J42" s="31" t="str">
        <f>VLOOKUP(A42,Rankings!B:D,3,FALSE)</f>
        <v>NL</v>
      </c>
    </row>
    <row r="43" spans="1:10" ht="18.600000000000001" customHeight="1">
      <c r="A43" s="26" t="s">
        <v>677</v>
      </c>
      <c r="B43" s="27" t="s">
        <v>156</v>
      </c>
      <c r="C43" s="121" t="s">
        <v>19</v>
      </c>
      <c r="D43" s="138">
        <f t="shared" ca="1" si="2"/>
        <v>42</v>
      </c>
      <c r="E43" s="31">
        <f ca="1">VLOOKUP(A43,Rankings!$B$1:$H$651,6,FALSE)+(RAND()*0.00001)</f>
        <v>128.50278450853861</v>
      </c>
      <c r="F43" s="31">
        <f ca="1">E43-VLOOKUP(Settings!$K$5,D$2:E$500,2,FALSE)</f>
        <v>-108.28499609423187</v>
      </c>
      <c r="G43" s="138">
        <f t="shared" ca="1" si="3"/>
        <v>46</v>
      </c>
      <c r="H43" s="31">
        <f ca="1">VLOOKUP(A43,Rankings!$B$1:$H$651,7,FALSE)+(RAND()*0.00001)</f>
        <v>-5.2044592757453341</v>
      </c>
      <c r="I43" s="31">
        <f ca="1">H43-VLOOKUP(Settings!$K$5,G$2:H$45,2,FALSE)</f>
        <v>-4.4179413559756062</v>
      </c>
      <c r="J43" s="31" t="str">
        <f>VLOOKUP(A43,Rankings!B:D,3,FALSE)</f>
        <v>AL</v>
      </c>
    </row>
    <row r="44" spans="1:10" ht="18.600000000000001" customHeight="1">
      <c r="A44" s="26" t="s">
        <v>643</v>
      </c>
      <c r="B44" s="27" t="s">
        <v>76</v>
      </c>
      <c r="C44" s="121" t="s">
        <v>19</v>
      </c>
      <c r="D44" s="138">
        <f t="shared" ca="1" si="2"/>
        <v>43</v>
      </c>
      <c r="E44" s="31">
        <f ca="1">VLOOKUP(A44,Rankings!$B$1:$H$651,6,FALSE)+(RAND()*0.00001)</f>
        <v>122.6450083353766</v>
      </c>
      <c r="F44" s="31">
        <f ca="1">E44-VLOOKUP(Settings!$K$5,D$2:E$500,2,FALSE)</f>
        <v>-114.14277226739388</v>
      </c>
      <c r="G44" s="138">
        <f t="shared" ca="1" si="3"/>
        <v>41</v>
      </c>
      <c r="H44" s="31">
        <f ca="1">VLOOKUP(A44,Rankings!$B$1:$H$651,7,FALSE)+(RAND()*0.00001)</f>
        <v>-5.0669895788573367</v>
      </c>
      <c r="I44" s="31">
        <f ca="1">H44-VLOOKUP(Settings!$K$5,G$2:H$45,2,FALSE)</f>
        <v>-4.2804716590876088</v>
      </c>
      <c r="J44" s="31" t="str">
        <f>VLOOKUP(A44,Rankings!B:D,3,FALSE)</f>
        <v>AL</v>
      </c>
    </row>
    <row r="45" spans="1:10" ht="18.600000000000001" customHeight="1">
      <c r="A45" s="26" t="s">
        <v>642</v>
      </c>
      <c r="B45" s="27" t="s">
        <v>71</v>
      </c>
      <c r="C45" s="121" t="s">
        <v>19</v>
      </c>
      <c r="D45" s="138">
        <f t="shared" ca="1" si="2"/>
        <v>45</v>
      </c>
      <c r="E45" s="31">
        <f ca="1">VLOOKUP(A45,Rankings!$B$1:$H$651,6,FALSE)+(RAND()*0.00001)</f>
        <v>119.27500771304418</v>
      </c>
      <c r="F45" s="31">
        <f ca="1">E45-VLOOKUP(Settings!$K$5,D$2:E$500,2,FALSE)</f>
        <v>-117.51277288972631</v>
      </c>
      <c r="G45" s="138">
        <f t="shared" ca="1" si="3"/>
        <v>50</v>
      </c>
      <c r="H45" s="31">
        <f ca="1">VLOOKUP(A45,Rankings!$B$1:$H$651,7,FALSE)+(RAND()*0.00001)</f>
        <v>-5.5915111696876165</v>
      </c>
      <c r="I45" s="31">
        <f ca="1">H45-VLOOKUP(Settings!$K$5,G$2:H$45,2,FALSE)</f>
        <v>-4.8049932499178887</v>
      </c>
      <c r="J45" s="31" t="str">
        <f>VLOOKUP(A45,Rankings!B:D,3,FALSE)</f>
        <v>AL</v>
      </c>
    </row>
    <row r="46" spans="1:10" ht="18.600000000000001" customHeight="1">
      <c r="A46" s="26" t="s">
        <v>673</v>
      </c>
      <c r="B46" s="27" t="s">
        <v>68</v>
      </c>
      <c r="C46" s="121" t="s">
        <v>19</v>
      </c>
      <c r="D46" s="138">
        <f t="shared" ca="1" si="2"/>
        <v>44</v>
      </c>
      <c r="E46" s="31">
        <f ca="1">VLOOKUP(A46,Rankings!$B$1:$H$651,6,FALSE)+(RAND()*0.00001)</f>
        <v>120.01611966650688</v>
      </c>
      <c r="F46" s="31">
        <f ca="1">E46-VLOOKUP(Settings!$K$5,D$2:E$500,2,FALSE)</f>
        <v>-116.7716609362636</v>
      </c>
      <c r="G46" s="138">
        <f t="shared" ca="1" si="3"/>
        <v>45</v>
      </c>
      <c r="H46" s="31">
        <f ca="1">VLOOKUP(A46,Rankings!$B$1:$H$651,7,FALSE)+(RAND()*0.00001)</f>
        <v>-5.1999215522107729</v>
      </c>
      <c r="I46" s="31">
        <f ca="1">H46-VLOOKUP(Settings!$K$5,G$2:H$45,2,FALSE)</f>
        <v>-4.4134036324410451</v>
      </c>
      <c r="J46" s="31" t="str">
        <f>VLOOKUP(A46,Rankings!B:D,3,FALSE)</f>
        <v>AL</v>
      </c>
    </row>
    <row r="47" spans="1:10" ht="18.600000000000001" customHeight="1">
      <c r="A47" s="26" t="s">
        <v>655</v>
      </c>
      <c r="B47" s="27" t="s">
        <v>99</v>
      </c>
      <c r="C47" s="121" t="s">
        <v>19</v>
      </c>
      <c r="D47" s="138">
        <f t="shared" ca="1" si="2"/>
        <v>48</v>
      </c>
      <c r="E47" s="31">
        <f ca="1">VLOOKUP(A47,Rankings!$B$1:$H$651,6,FALSE)+(RAND()*0.00001)</f>
        <v>114.31778043771422</v>
      </c>
      <c r="F47" s="31">
        <f ca="1">E47-VLOOKUP(Settings!$K$5,D$2:E$500,2,FALSE)</f>
        <v>-122.47000016505626</v>
      </c>
      <c r="G47" s="138">
        <f t="shared" ca="1" si="3"/>
        <v>39</v>
      </c>
      <c r="H47" s="31">
        <f ca="1">VLOOKUP(A47,Rankings!$B$1:$H$651,7,FALSE)+(RAND()*0.00001)</f>
        <v>-4.9096615575121056</v>
      </c>
      <c r="I47" s="31">
        <f ca="1">H47-VLOOKUP(Settings!$K$5,G$2:H$45,2,FALSE)</f>
        <v>-4.1231436377423778</v>
      </c>
      <c r="J47" s="31" t="str">
        <f>VLOOKUP(A47,Rankings!B:D,3,FALSE)</f>
        <v>AL</v>
      </c>
    </row>
    <row r="48" spans="1:10" ht="18.600000000000001" customHeight="1">
      <c r="A48" s="26" t="s">
        <v>679</v>
      </c>
      <c r="B48" s="27" t="s">
        <v>176</v>
      </c>
      <c r="C48" s="121" t="s">
        <v>19</v>
      </c>
      <c r="D48" s="138">
        <f t="shared" ca="1" si="2"/>
        <v>46</v>
      </c>
      <c r="E48" s="31">
        <f ca="1">VLOOKUP(A48,Rankings!$B$1:$H$651,6,FALSE)+(RAND()*0.00001)</f>
        <v>115.93222272846408</v>
      </c>
      <c r="F48" s="31">
        <f ca="1">E48-VLOOKUP(Settings!$K$5,D$2:E$500,2,FALSE)</f>
        <v>-120.8555578743064</v>
      </c>
      <c r="G48" s="138">
        <f t="shared" ca="1" si="3"/>
        <v>42</v>
      </c>
      <c r="H48" s="31">
        <f ca="1">VLOOKUP(A48,Rankings!$B$1:$H$651,7,FALSE)+(RAND()*0.00001)</f>
        <v>-5.1556023800062976</v>
      </c>
      <c r="I48" s="31">
        <f ca="1">H48-VLOOKUP(Settings!$K$5,G$2:H$45,2,FALSE)</f>
        <v>-4.3690844602365697</v>
      </c>
      <c r="J48" s="31" t="str">
        <f>VLOOKUP(A48,Rankings!B:D,3,FALSE)</f>
        <v>NL</v>
      </c>
    </row>
    <row r="49" spans="1:10" ht="18.600000000000001" customHeight="1">
      <c r="A49" s="26" t="s">
        <v>663</v>
      </c>
      <c r="B49" s="27" t="s">
        <v>81</v>
      </c>
      <c r="C49" s="121" t="s">
        <v>19</v>
      </c>
      <c r="D49" s="138">
        <f t="shared" ca="1" si="2"/>
        <v>47</v>
      </c>
      <c r="E49" s="31">
        <f ca="1">VLOOKUP(A49,Rankings!$B$1:$H$651,6,FALSE)+(RAND()*0.00001)</f>
        <v>114.4800012743741</v>
      </c>
      <c r="F49" s="31">
        <f ca="1">E49-VLOOKUP(Settings!$K$5,D$2:E$500,2,FALSE)</f>
        <v>-122.30777932839638</v>
      </c>
      <c r="G49" s="138">
        <f t="shared" ca="1" si="3"/>
        <v>44</v>
      </c>
      <c r="H49" s="31">
        <f ca="1">VLOOKUP(A49,Rankings!$B$1:$H$651,7,FALSE)+(RAND()*0.00001)</f>
        <v>-5.1864724370162127</v>
      </c>
      <c r="I49" s="31">
        <f ca="1">H49-VLOOKUP(Settings!$K$5,G$2:H$45,2,FALSE)</f>
        <v>-4.3999545172464849</v>
      </c>
      <c r="J49" s="31" t="str">
        <f>VLOOKUP(A49,Rankings!B:D,3,FALSE)</f>
        <v>NL</v>
      </c>
    </row>
    <row r="50" spans="1:10" ht="18.600000000000001" customHeight="1">
      <c r="A50" s="26" t="s">
        <v>631</v>
      </c>
      <c r="B50" s="27" t="s">
        <v>103</v>
      </c>
      <c r="C50" s="121" t="s">
        <v>19</v>
      </c>
      <c r="D50" s="138">
        <f t="shared" ca="1" si="2"/>
        <v>49</v>
      </c>
      <c r="E50" s="31">
        <f ca="1">VLOOKUP(A50,Rankings!$B$1:$H$651,6,FALSE)+(RAND()*0.00001)</f>
        <v>104.48223139042088</v>
      </c>
      <c r="F50" s="31">
        <f ca="1">E50-VLOOKUP(Settings!$K$5,D$2:E$500,2,FALSE)</f>
        <v>-132.3055492123496</v>
      </c>
      <c r="G50" s="138">
        <f t="shared" ca="1" si="3"/>
        <v>37</v>
      </c>
      <c r="H50" s="31">
        <f ca="1">VLOOKUP(A50,Rankings!$B$1:$H$651,7,FALSE)+(RAND()*0.00001)</f>
        <v>-4.4552577824160302</v>
      </c>
      <c r="I50" s="31">
        <f ca="1">H50-VLOOKUP(Settings!$K$5,G$2:H$45,2,FALSE)</f>
        <v>-3.6687398626463024</v>
      </c>
      <c r="J50" s="31" t="str">
        <f>VLOOKUP(A50,Rankings!B:D,3,FALSE)</f>
        <v>AL</v>
      </c>
    </row>
    <row r="51" spans="1:10" ht="18.600000000000001" customHeight="1">
      <c r="A51" s="26" t="s">
        <v>693</v>
      </c>
      <c r="B51" s="27" t="s">
        <v>223</v>
      </c>
      <c r="C51" s="121" t="s">
        <v>19</v>
      </c>
      <c r="D51" s="138">
        <f t="shared" ca="1" si="2"/>
        <v>50</v>
      </c>
      <c r="E51" s="31">
        <f ca="1">VLOOKUP(A51,Rankings!$B$1:$H$651,6,FALSE)+(RAND()*0.00001)</f>
        <v>97.474448604527623</v>
      </c>
      <c r="F51" s="31">
        <f ca="1">E51-VLOOKUP(Settings!$K$5,D$2:E$500,2,FALSE)</f>
        <v>-139.31333199824286</v>
      </c>
      <c r="G51" s="138">
        <f t="shared" ca="1" si="3"/>
        <v>52</v>
      </c>
      <c r="H51" s="31">
        <f ca="1">VLOOKUP(A51,Rankings!$B$1:$H$651,7,FALSE)+(RAND()*0.00001)</f>
        <v>-6.3670916561848125</v>
      </c>
      <c r="I51" s="31">
        <f ca="1">H51-VLOOKUP(Settings!$K$5,G$2:H$45,2,FALSE)</f>
        <v>-5.5805737364150847</v>
      </c>
      <c r="J51" s="31" t="str">
        <f>VLOOKUP(A51,Rankings!B:D,3,FALSE)</f>
        <v>NL</v>
      </c>
    </row>
    <row r="52" spans="1:10" ht="18.600000000000001" customHeight="1">
      <c r="A52" s="26" t="s">
        <v>690</v>
      </c>
      <c r="B52" s="27" t="s">
        <v>95</v>
      </c>
      <c r="C52" s="121" t="s">
        <v>19</v>
      </c>
      <c r="D52" s="138">
        <f t="shared" ca="1" si="2"/>
        <v>51</v>
      </c>
      <c r="E52" s="31">
        <f ca="1">VLOOKUP(A52,Rankings!$B$1:$H$651,6,FALSE)+(RAND()*0.00001)</f>
        <v>95.226670730960109</v>
      </c>
      <c r="F52" s="31">
        <f ca="1">E52-VLOOKUP(Settings!$K$5,D$2:E$500,2,FALSE)</f>
        <v>-141.56110987181037</v>
      </c>
      <c r="G52" s="138">
        <f t="shared" ca="1" si="3"/>
        <v>51</v>
      </c>
      <c r="H52" s="31">
        <f ca="1">VLOOKUP(A52,Rankings!$B$1:$H$651,7,FALSE)+(RAND()*0.00001)</f>
        <v>-5.8990852983614772</v>
      </c>
      <c r="I52" s="31">
        <f ca="1">H52-VLOOKUP(Settings!$K$5,G$2:H$45,2,FALSE)</f>
        <v>-5.1125673785917494</v>
      </c>
      <c r="J52" s="31" t="str">
        <f>VLOOKUP(A52,Rankings!B:D,3,FALSE)</f>
        <v>NL</v>
      </c>
    </row>
    <row r="53" spans="1:10" ht="18.600000000000001" customHeight="1">
      <c r="A53" s="26" t="s">
        <v>697</v>
      </c>
      <c r="B53" s="27" t="s">
        <v>114</v>
      </c>
      <c r="C53" s="121" t="s">
        <v>19</v>
      </c>
      <c r="D53" s="138">
        <f t="shared" ca="1" si="2"/>
        <v>52</v>
      </c>
      <c r="E53" s="31">
        <f ca="1">VLOOKUP(A53,Rankings!$B$1:$H$651,6,FALSE)+(RAND()*0.00001)</f>
        <v>89.024452994040089</v>
      </c>
      <c r="F53" s="31">
        <f ca="1">E53-VLOOKUP(Settings!$K$5,D$2:E$500,2,FALSE)</f>
        <v>-147.76332760873038</v>
      </c>
      <c r="G53" s="138">
        <f t="shared" ca="1" si="3"/>
        <v>53</v>
      </c>
      <c r="H53" s="31">
        <f ca="1">VLOOKUP(A53,Rankings!$B$1:$H$651,7,FALSE)+(RAND()*0.00001)</f>
        <v>-6.9781244570460155</v>
      </c>
      <c r="I53" s="31">
        <f ca="1">H53-VLOOKUP(Settings!$K$5,G$2:H$45,2,FALSE)</f>
        <v>-6.1916065372762876</v>
      </c>
      <c r="J53" s="31" t="str">
        <f>VLOOKUP(A53,Rankings!B:D,3,FALSE)</f>
        <v>AL</v>
      </c>
    </row>
    <row r="54" spans="1:10" ht="18.600000000000001" customHeight="1">
      <c r="A54" s="26" t="s">
        <v>694</v>
      </c>
      <c r="B54" s="27" t="s">
        <v>103</v>
      </c>
      <c r="C54" s="121" t="s">
        <v>19</v>
      </c>
      <c r="D54" s="138">
        <f t="shared" ca="1" si="2"/>
        <v>53</v>
      </c>
      <c r="E54" s="31">
        <f ca="1">VLOOKUP(A54,Rankings!$B$1:$H$651,6,FALSE)+(RAND()*0.00001)</f>
        <v>79.41528559001668</v>
      </c>
      <c r="F54" s="31">
        <f ca="1">E54-VLOOKUP(Settings!$K$5,D$2:E$500,2,FALSE)</f>
        <v>-157.3724950127538</v>
      </c>
      <c r="G54" s="138">
        <f t="shared" ca="1" si="3"/>
        <v>49</v>
      </c>
      <c r="H54" s="31">
        <f ca="1">VLOOKUP(A54,Rankings!$B$1:$H$651,7,FALSE)+(RAND()*0.00001)</f>
        <v>-5.5658171475544895</v>
      </c>
      <c r="I54" s="31">
        <f ca="1">H54-VLOOKUP(Settings!$K$5,G$2:H$45,2,FALSE)</f>
        <v>-4.7792992277847617</v>
      </c>
      <c r="J54" s="31" t="str">
        <f>VLOOKUP(A54,Rankings!B:D,3,FALSE)</f>
        <v>AL</v>
      </c>
    </row>
    <row r="55" spans="1:10" ht="20.100000000000001" customHeight="1">
      <c r="J55" s="31"/>
    </row>
    <row r="56" spans="1:10" ht="20.100000000000001" customHeight="1">
      <c r="J56" s="31"/>
    </row>
    <row r="57" spans="1:10" ht="20.100000000000001" customHeight="1">
      <c r="J57" s="31"/>
    </row>
    <row r="58" spans="1:10" ht="20.100000000000001" customHeight="1">
      <c r="J58" s="31"/>
    </row>
    <row r="59" spans="1:10" ht="20.100000000000001" customHeight="1">
      <c r="J59" s="31"/>
    </row>
    <row r="60" spans="1:10" ht="20.100000000000001" customHeight="1">
      <c r="J60" s="31"/>
    </row>
    <row r="61" spans="1:10" ht="20.100000000000001" customHeight="1">
      <c r="J61" s="31"/>
    </row>
    <row r="62" spans="1:10" ht="20.100000000000001" customHeight="1">
      <c r="J62" s="31"/>
    </row>
    <row r="63" spans="1:10" ht="20.100000000000001" customHeight="1">
      <c r="J63" s="31"/>
    </row>
    <row r="64" spans="1:10" ht="20.100000000000001" customHeight="1">
      <c r="J64" s="31"/>
    </row>
    <row r="65" spans="10:10" ht="20.100000000000001" customHeight="1">
      <c r="J65" s="31"/>
    </row>
    <row r="66" spans="10:10" ht="20.100000000000001" customHeight="1">
      <c r="J66" s="31"/>
    </row>
    <row r="67" spans="10:10" ht="20.100000000000001" customHeight="1">
      <c r="J67" s="31"/>
    </row>
    <row r="68" spans="10:10" ht="20.100000000000001" customHeight="1">
      <c r="J68" s="31"/>
    </row>
    <row r="69" spans="10:10" ht="20.100000000000001" customHeight="1">
      <c r="J69" s="31"/>
    </row>
    <row r="70" spans="10:10" ht="20.100000000000001" customHeight="1">
      <c r="J70" s="31"/>
    </row>
    <row r="71" spans="10:10" ht="20.100000000000001" customHeight="1">
      <c r="J71" s="31"/>
    </row>
    <row r="72" spans="10:10" ht="20.100000000000001" customHeight="1">
      <c r="J72" s="31"/>
    </row>
    <row r="73" spans="10:10" ht="20.100000000000001" customHeight="1">
      <c r="J73" s="31"/>
    </row>
    <row r="74" spans="10:10" ht="20.100000000000001" customHeight="1">
      <c r="J74" s="31"/>
    </row>
    <row r="75" spans="10:10" ht="20.100000000000001" customHeight="1">
      <c r="J75" s="31"/>
    </row>
    <row r="76" spans="10:10" ht="20.100000000000001" customHeight="1">
      <c r="J76" s="31"/>
    </row>
    <row r="77" spans="10:10" ht="20.100000000000001" customHeight="1">
      <c r="J77" s="31"/>
    </row>
    <row r="78" spans="10:10" ht="20.100000000000001" customHeight="1">
      <c r="J78" s="31"/>
    </row>
    <row r="79" spans="10:10" ht="20.100000000000001" customHeight="1">
      <c r="J79" s="31"/>
    </row>
    <row r="80" spans="10:10" ht="20.100000000000001" customHeight="1">
      <c r="J80" s="31"/>
    </row>
    <row r="81" spans="10:10" ht="20.100000000000001" customHeight="1">
      <c r="J81" s="31"/>
    </row>
    <row r="82" spans="10:10" ht="20.100000000000001" customHeight="1">
      <c r="J82" s="31"/>
    </row>
    <row r="83" spans="10:10" ht="20.100000000000001" customHeight="1">
      <c r="J83" s="31"/>
    </row>
    <row r="84" spans="10:10" ht="20.100000000000001" customHeight="1">
      <c r="J84" s="31"/>
    </row>
    <row r="85" spans="10:10" ht="20.100000000000001" customHeight="1">
      <c r="J85" s="31"/>
    </row>
    <row r="86" spans="10:10" ht="20.100000000000001" customHeight="1">
      <c r="J86" s="31"/>
    </row>
    <row r="87" spans="10:10" ht="20.100000000000001" customHeight="1">
      <c r="J87" s="31"/>
    </row>
    <row r="88" spans="10:10" ht="20.100000000000001" customHeight="1">
      <c r="J88" s="31"/>
    </row>
    <row r="89" spans="10:10" ht="20.100000000000001" customHeight="1">
      <c r="J89" s="31"/>
    </row>
    <row r="90" spans="10:10" ht="20.100000000000001" customHeight="1">
      <c r="J90" s="31"/>
    </row>
    <row r="91" spans="10:10" ht="20.100000000000001" customHeight="1">
      <c r="J91" s="31"/>
    </row>
    <row r="92" spans="10:10" ht="20.100000000000001" customHeight="1">
      <c r="J92" s="31"/>
    </row>
    <row r="93" spans="10:10" ht="20.100000000000001" customHeight="1">
      <c r="J93" s="31"/>
    </row>
    <row r="94" spans="10:10" ht="20.100000000000001" customHeight="1">
      <c r="J94" s="31"/>
    </row>
    <row r="95" spans="10:10" ht="20.100000000000001" customHeight="1">
      <c r="J95" s="31"/>
    </row>
    <row r="96" spans="10:10" ht="20.100000000000001" customHeight="1">
      <c r="J96" s="31"/>
    </row>
    <row r="97" spans="10:10" ht="20.100000000000001" customHeight="1">
      <c r="J97" s="31"/>
    </row>
    <row r="98" spans="10:10" ht="20.100000000000001" customHeight="1">
      <c r="J98" s="31"/>
    </row>
    <row r="99" spans="10:10" ht="20.100000000000001" customHeight="1">
      <c r="J99" s="31"/>
    </row>
    <row r="100" spans="10:10" ht="20.100000000000001" customHeight="1">
      <c r="J100" s="31"/>
    </row>
    <row r="101" spans="10:10" ht="20.100000000000001" customHeight="1">
      <c r="J101" s="31"/>
    </row>
    <row r="102" spans="10:10" ht="20.100000000000001" customHeight="1">
      <c r="J102" s="31"/>
    </row>
    <row r="103" spans="10:10" ht="20.100000000000001" customHeight="1">
      <c r="J103" s="31"/>
    </row>
    <row r="104" spans="10:10" ht="20.100000000000001" customHeight="1">
      <c r="J104" s="31"/>
    </row>
    <row r="105" spans="10:10" ht="20.100000000000001" customHeight="1">
      <c r="J105" s="31"/>
    </row>
    <row r="106" spans="10:10" ht="20.100000000000001" customHeight="1">
      <c r="J106" s="31"/>
    </row>
    <row r="107" spans="10:10" ht="20.100000000000001" customHeight="1">
      <c r="J107" s="31"/>
    </row>
    <row r="108" spans="10:10" ht="20.100000000000001" customHeight="1">
      <c r="J108" s="31"/>
    </row>
    <row r="109" spans="10:10" ht="20.100000000000001" customHeight="1">
      <c r="J109" s="31"/>
    </row>
    <row r="110" spans="10:10" ht="20.100000000000001" customHeight="1">
      <c r="J110" s="31"/>
    </row>
    <row r="111" spans="10:10" ht="20.100000000000001" customHeight="1">
      <c r="J111" s="31"/>
    </row>
    <row r="112" spans="10:10" ht="20.100000000000001" customHeight="1">
      <c r="J112" s="31"/>
    </row>
    <row r="113" spans="10:10" ht="20.100000000000001" customHeight="1">
      <c r="J113" s="31"/>
    </row>
    <row r="114" spans="10:10" ht="20.100000000000001" customHeight="1">
      <c r="J114" s="31"/>
    </row>
    <row r="115" spans="10:10" ht="20.100000000000001" customHeight="1">
      <c r="J115" s="31"/>
    </row>
    <row r="116" spans="10:10" ht="20.100000000000001" customHeight="1">
      <c r="J116" s="31"/>
    </row>
    <row r="117" spans="10:10" ht="20.100000000000001" customHeight="1">
      <c r="J117" s="31"/>
    </row>
    <row r="118" spans="10:10" ht="20.100000000000001" customHeight="1">
      <c r="J118" s="31"/>
    </row>
    <row r="119" spans="10:10" ht="20.100000000000001" customHeight="1">
      <c r="J119" s="31"/>
    </row>
    <row r="120" spans="10:10" ht="20.100000000000001" customHeight="1">
      <c r="J120" s="31"/>
    </row>
    <row r="121" spans="10:10" ht="20.100000000000001" customHeight="1">
      <c r="J121" s="31"/>
    </row>
    <row r="122" spans="10:10" ht="20.100000000000001" customHeight="1">
      <c r="J122" s="31"/>
    </row>
    <row r="123" spans="10:10" ht="20.100000000000001" customHeight="1">
      <c r="J123" s="31"/>
    </row>
    <row r="124" spans="10:10" ht="20.100000000000001" customHeight="1">
      <c r="J124" s="31"/>
    </row>
    <row r="125" spans="10:10" ht="20.100000000000001" customHeight="1">
      <c r="J125" s="31"/>
    </row>
    <row r="126" spans="10:10" ht="20.100000000000001" customHeight="1">
      <c r="J126" s="31"/>
    </row>
    <row r="127" spans="10:10" ht="20.100000000000001" customHeight="1">
      <c r="J127" s="31"/>
    </row>
    <row r="128" spans="10:10" ht="20.100000000000001" customHeight="1">
      <c r="J128" s="31"/>
    </row>
    <row r="129" spans="10:10" ht="20.100000000000001" customHeight="1">
      <c r="J129" s="31"/>
    </row>
    <row r="130" spans="10:10" ht="20.100000000000001" customHeight="1">
      <c r="J130" s="31"/>
    </row>
    <row r="131" spans="10:10" ht="20.100000000000001" customHeight="1">
      <c r="J131" s="31"/>
    </row>
    <row r="132" spans="10:10" ht="20.100000000000001" customHeight="1">
      <c r="J132" s="31"/>
    </row>
    <row r="133" spans="10:10" ht="20.100000000000001" customHeight="1">
      <c r="J133" s="31"/>
    </row>
    <row r="134" spans="10:10" ht="20.100000000000001" customHeight="1">
      <c r="J134" s="31"/>
    </row>
    <row r="135" spans="10:10" ht="20.100000000000001" customHeight="1">
      <c r="J135" s="31"/>
    </row>
    <row r="136" spans="10:10" ht="20.100000000000001" customHeight="1">
      <c r="J136" s="31"/>
    </row>
    <row r="137" spans="10:10" ht="20.100000000000001" customHeight="1">
      <c r="J137" s="31"/>
    </row>
    <row r="138" spans="10:10" ht="20.100000000000001" customHeight="1">
      <c r="J138" s="31"/>
    </row>
    <row r="139" spans="10:10" ht="20.100000000000001" customHeight="1">
      <c r="J139" s="31"/>
    </row>
    <row r="140" spans="10:10" ht="20.100000000000001" customHeight="1">
      <c r="J140" s="31"/>
    </row>
    <row r="141" spans="10:10" ht="20.100000000000001" customHeight="1">
      <c r="J141" s="31"/>
    </row>
    <row r="142" spans="10:10" ht="20.100000000000001" customHeight="1">
      <c r="J142" s="31"/>
    </row>
    <row r="143" spans="10:10" ht="20.100000000000001" customHeight="1">
      <c r="J143" s="31"/>
    </row>
    <row r="144" spans="10:10" ht="20.100000000000001" customHeight="1">
      <c r="J144" s="31"/>
    </row>
    <row r="145" spans="10:10" ht="20.100000000000001" customHeight="1">
      <c r="J145" s="31"/>
    </row>
    <row r="146" spans="10:10" ht="20.100000000000001" customHeight="1">
      <c r="J146" s="31"/>
    </row>
    <row r="147" spans="10:10" ht="20.100000000000001" customHeight="1">
      <c r="J147" s="31"/>
    </row>
    <row r="148" spans="10:10" ht="20.100000000000001" customHeight="1">
      <c r="J148" s="31"/>
    </row>
    <row r="149" spans="10:10" ht="20.100000000000001" customHeight="1">
      <c r="J149" s="31"/>
    </row>
    <row r="150" spans="10:10" ht="20.100000000000001" customHeight="1">
      <c r="J150" s="31"/>
    </row>
    <row r="151" spans="10:10" ht="20.100000000000001" customHeight="1">
      <c r="J151" s="31"/>
    </row>
    <row r="152" spans="10:10" ht="20.100000000000001" customHeight="1">
      <c r="J152" s="31"/>
    </row>
    <row r="153" spans="10:10" ht="20.100000000000001" customHeight="1">
      <c r="J153" s="31"/>
    </row>
    <row r="154" spans="10:10" ht="20.100000000000001" customHeight="1">
      <c r="J154" s="31"/>
    </row>
    <row r="155" spans="10:10" ht="20.100000000000001" customHeight="1">
      <c r="J155" s="31"/>
    </row>
    <row r="156" spans="10:10" ht="20.100000000000001" customHeight="1">
      <c r="J156" s="31"/>
    </row>
    <row r="157" spans="10:10" ht="20.100000000000001" customHeight="1">
      <c r="J157" s="31"/>
    </row>
    <row r="158" spans="10:10" ht="20.100000000000001" customHeight="1">
      <c r="J158" s="31"/>
    </row>
    <row r="159" spans="10:10" ht="20.100000000000001" customHeight="1">
      <c r="J159" s="31"/>
    </row>
    <row r="160" spans="10:10" ht="20.100000000000001" customHeight="1">
      <c r="J160" s="31"/>
    </row>
    <row r="161" spans="10:10" ht="20.100000000000001" customHeight="1">
      <c r="J161" s="31"/>
    </row>
    <row r="162" spans="10:10" ht="20.100000000000001" customHeight="1">
      <c r="J162" s="31"/>
    </row>
    <row r="163" spans="10:10" ht="20.100000000000001" customHeight="1">
      <c r="J163" s="31"/>
    </row>
    <row r="164" spans="10:10" ht="20.100000000000001" customHeight="1">
      <c r="J164" s="31"/>
    </row>
    <row r="165" spans="10:10" ht="20.100000000000001" customHeight="1">
      <c r="J165" s="31"/>
    </row>
    <row r="166" spans="10:10" ht="20.100000000000001" customHeight="1">
      <c r="J166" s="31"/>
    </row>
    <row r="167" spans="10:10" ht="20.100000000000001" customHeight="1">
      <c r="J167" s="31"/>
    </row>
    <row r="168" spans="10:10" ht="20.100000000000001" customHeight="1">
      <c r="J168" s="31"/>
    </row>
    <row r="169" spans="10:10" ht="20.100000000000001" customHeight="1">
      <c r="J169" s="31"/>
    </row>
    <row r="170" spans="10:10" ht="20.100000000000001" customHeight="1">
      <c r="J170" s="31"/>
    </row>
    <row r="171" spans="10:10" ht="20.100000000000001" customHeight="1">
      <c r="J171" s="31"/>
    </row>
    <row r="172" spans="10:10" ht="20.100000000000001" customHeight="1">
      <c r="J172" s="31"/>
    </row>
    <row r="173" spans="10:10" ht="20.100000000000001" customHeight="1">
      <c r="J173" s="31"/>
    </row>
    <row r="174" spans="10:10" ht="20.100000000000001" customHeight="1">
      <c r="J174" s="31"/>
    </row>
    <row r="175" spans="10:10" ht="20.100000000000001" customHeight="1">
      <c r="J175" s="31"/>
    </row>
    <row r="176" spans="10:10" ht="20.100000000000001" customHeight="1">
      <c r="J176" s="31"/>
    </row>
    <row r="177" spans="10:10" ht="20.100000000000001" customHeight="1">
      <c r="J177" s="31"/>
    </row>
    <row r="178" spans="10:10" ht="20.100000000000001" customHeight="1">
      <c r="J178" s="31"/>
    </row>
    <row r="179" spans="10:10" ht="20.100000000000001" customHeight="1">
      <c r="J179" s="31"/>
    </row>
    <row r="180" spans="10:10" ht="20.100000000000001" customHeight="1">
      <c r="J180" s="31"/>
    </row>
    <row r="181" spans="10:10" ht="20.100000000000001" customHeight="1">
      <c r="J181" s="31"/>
    </row>
    <row r="182" spans="10:10" ht="20.100000000000001" customHeight="1">
      <c r="J182" s="31"/>
    </row>
    <row r="183" spans="10:10" ht="20.100000000000001" customHeight="1">
      <c r="J183" s="31"/>
    </row>
    <row r="184" spans="10:10" ht="20.100000000000001" customHeight="1">
      <c r="J184" s="31"/>
    </row>
    <row r="185" spans="10:10" ht="20.100000000000001" customHeight="1">
      <c r="J185" s="31"/>
    </row>
    <row r="186" spans="10:10" ht="20.100000000000001" customHeight="1">
      <c r="J186" s="31"/>
    </row>
    <row r="187" spans="10:10" ht="20.100000000000001" customHeight="1">
      <c r="J187" s="31"/>
    </row>
    <row r="188" spans="10:10" ht="20.100000000000001" customHeight="1">
      <c r="J188" s="31"/>
    </row>
    <row r="189" spans="10:10" ht="20.100000000000001" customHeight="1">
      <c r="J189" s="31"/>
    </row>
    <row r="190" spans="10:10" ht="20.100000000000001" customHeight="1">
      <c r="J190" s="31"/>
    </row>
    <row r="191" spans="10:10" ht="20.100000000000001" customHeight="1">
      <c r="J191" s="31"/>
    </row>
    <row r="192" spans="10:10" ht="20.100000000000001" customHeight="1">
      <c r="J192" s="31"/>
    </row>
    <row r="193" spans="10:10" ht="20.100000000000001" customHeight="1">
      <c r="J193" s="31"/>
    </row>
    <row r="194" spans="10:10" ht="20.100000000000001" customHeight="1">
      <c r="J194" s="31"/>
    </row>
    <row r="195" spans="10:10" ht="20.100000000000001" customHeight="1">
      <c r="J195" s="31"/>
    </row>
    <row r="196" spans="10:10" ht="20.100000000000001" customHeight="1">
      <c r="J196" s="31"/>
    </row>
    <row r="197" spans="10:10" ht="20.100000000000001" customHeight="1">
      <c r="J197" s="31"/>
    </row>
    <row r="198" spans="10:10" ht="20.100000000000001" customHeight="1">
      <c r="J198" s="31"/>
    </row>
    <row r="199" spans="10:10" ht="20.100000000000001" customHeight="1">
      <c r="J199" s="31"/>
    </row>
    <row r="200" spans="10:10" ht="20.100000000000001" customHeight="1">
      <c r="J200" s="31"/>
    </row>
    <row r="201" spans="10:10" ht="20.100000000000001" customHeight="1">
      <c r="J201" s="31"/>
    </row>
    <row r="202" spans="10:10" ht="20.100000000000001" customHeight="1">
      <c r="J202" s="31"/>
    </row>
    <row r="203" spans="10:10" ht="20.100000000000001" customHeight="1">
      <c r="J203" s="31"/>
    </row>
    <row r="204" spans="10:10" ht="20.100000000000001" customHeight="1">
      <c r="J204" s="31"/>
    </row>
    <row r="205" spans="10:10" ht="20.100000000000001" customHeight="1">
      <c r="J205" s="31"/>
    </row>
    <row r="206" spans="10:10" ht="20.100000000000001" customHeight="1">
      <c r="J206" s="31"/>
    </row>
    <row r="207" spans="10:10" ht="20.100000000000001" customHeight="1">
      <c r="J207" s="31"/>
    </row>
    <row r="208" spans="10:10" ht="20.100000000000001" customHeight="1">
      <c r="J208" s="31"/>
    </row>
    <row r="209" spans="10:10" ht="20.100000000000001" customHeight="1">
      <c r="J209" s="31"/>
    </row>
    <row r="210" spans="10:10" ht="20.100000000000001" customHeight="1">
      <c r="J210" s="31"/>
    </row>
    <row r="211" spans="10:10" ht="20.100000000000001" customHeight="1">
      <c r="J211" s="31"/>
    </row>
    <row r="212" spans="10:10" ht="20.100000000000001" customHeight="1">
      <c r="J212" s="31"/>
    </row>
    <row r="213" spans="10:10" ht="20.100000000000001" customHeight="1">
      <c r="J213" s="31"/>
    </row>
    <row r="214" spans="10:10" ht="20.100000000000001" customHeight="1">
      <c r="J214" s="31"/>
    </row>
    <row r="215" spans="10:10" ht="20.100000000000001" customHeight="1">
      <c r="J215" s="31"/>
    </row>
    <row r="216" spans="10:10" ht="20.100000000000001" customHeight="1">
      <c r="J216" s="31"/>
    </row>
    <row r="217" spans="10:10" ht="20.100000000000001" customHeight="1">
      <c r="J217" s="31"/>
    </row>
    <row r="218" spans="10:10" ht="20.100000000000001" customHeight="1">
      <c r="J218" s="31"/>
    </row>
    <row r="219" spans="10:10" ht="20.100000000000001" customHeight="1">
      <c r="J219" s="31"/>
    </row>
    <row r="220" spans="10:10" ht="20.100000000000001" customHeight="1">
      <c r="J220" s="31"/>
    </row>
    <row r="221" spans="10:10" ht="20.100000000000001" customHeight="1">
      <c r="J221" s="31"/>
    </row>
    <row r="222" spans="10:10" ht="20.100000000000001" customHeight="1">
      <c r="J222" s="31"/>
    </row>
    <row r="223" spans="10:10" ht="20.100000000000001" customHeight="1">
      <c r="J223" s="31"/>
    </row>
    <row r="224" spans="10:10" ht="20.100000000000001" customHeight="1">
      <c r="J224" s="31"/>
    </row>
    <row r="225" spans="10:10" ht="20.100000000000001" customHeight="1">
      <c r="J225" s="31"/>
    </row>
    <row r="226" spans="10:10" ht="20.100000000000001" customHeight="1">
      <c r="J226" s="31"/>
    </row>
    <row r="227" spans="10:10" ht="20.100000000000001" customHeight="1">
      <c r="J227" s="31"/>
    </row>
    <row r="228" spans="10:10" ht="20.100000000000001" customHeight="1">
      <c r="J228" s="31"/>
    </row>
    <row r="229" spans="10:10" ht="20.100000000000001" customHeight="1">
      <c r="J229" s="31"/>
    </row>
    <row r="230" spans="10:10" ht="20.100000000000001" customHeight="1">
      <c r="J230" s="31"/>
    </row>
    <row r="231" spans="10:10" ht="20.100000000000001" customHeight="1">
      <c r="J231" s="31"/>
    </row>
    <row r="232" spans="10:10" ht="20.100000000000001" customHeight="1">
      <c r="J232" s="31"/>
    </row>
    <row r="233" spans="10:10" ht="20.100000000000001" customHeight="1">
      <c r="J233" s="31"/>
    </row>
    <row r="234" spans="10:10" ht="20.100000000000001" customHeight="1">
      <c r="J234" s="31"/>
    </row>
    <row r="235" spans="10:10" ht="20.100000000000001" customHeight="1">
      <c r="J235" s="31"/>
    </row>
    <row r="236" spans="10:10" ht="20.100000000000001" customHeight="1">
      <c r="J236" s="31"/>
    </row>
    <row r="237" spans="10:10" ht="20.100000000000001" customHeight="1">
      <c r="J237" s="31"/>
    </row>
    <row r="238" spans="10:10" ht="20.100000000000001" customHeight="1">
      <c r="J238" s="31"/>
    </row>
    <row r="239" spans="10:10" ht="20.100000000000001" customHeight="1">
      <c r="J239" s="31"/>
    </row>
    <row r="240" spans="10:10" ht="20.100000000000001" customHeight="1">
      <c r="J240" s="31"/>
    </row>
    <row r="241" spans="10:10" ht="20.100000000000001" customHeight="1">
      <c r="J241" s="31"/>
    </row>
    <row r="242" spans="10:10" ht="20.100000000000001" customHeight="1">
      <c r="J242" s="31"/>
    </row>
    <row r="243" spans="10:10" ht="20.100000000000001" customHeight="1">
      <c r="J243" s="31"/>
    </row>
    <row r="244" spans="10:10" ht="20.100000000000001" customHeight="1">
      <c r="J244" s="31"/>
    </row>
    <row r="245" spans="10:10" ht="20.100000000000001" customHeight="1">
      <c r="J245" s="31"/>
    </row>
    <row r="246" spans="10:10" ht="20.100000000000001" customHeight="1">
      <c r="J246" s="31"/>
    </row>
    <row r="247" spans="10:10" ht="20.100000000000001" customHeight="1">
      <c r="J247" s="31"/>
    </row>
    <row r="248" spans="10:10" ht="20.100000000000001" customHeight="1">
      <c r="J248" s="31"/>
    </row>
    <row r="249" spans="10:10" ht="20.100000000000001" customHeight="1">
      <c r="J249" s="31"/>
    </row>
    <row r="250" spans="10:10" ht="20.100000000000001" customHeight="1">
      <c r="J250" s="31"/>
    </row>
    <row r="251" spans="10:10" ht="20.100000000000001" customHeight="1">
      <c r="J251" s="31"/>
    </row>
    <row r="252" spans="10:10" ht="20.100000000000001" customHeight="1">
      <c r="J252" s="31"/>
    </row>
    <row r="253" spans="10:10" ht="20.100000000000001" customHeight="1">
      <c r="J253" s="31"/>
    </row>
    <row r="254" spans="10:10" ht="20.100000000000001" customHeight="1">
      <c r="J254" s="31"/>
    </row>
    <row r="255" spans="10:10" ht="20.100000000000001" customHeight="1">
      <c r="J255" s="31"/>
    </row>
    <row r="256" spans="10:10" ht="20.100000000000001" customHeight="1">
      <c r="J256" s="31"/>
    </row>
    <row r="257" spans="10:10" ht="20.100000000000001" customHeight="1">
      <c r="J257" s="31"/>
    </row>
    <row r="258" spans="10:10" ht="20.100000000000001" customHeight="1">
      <c r="J258" s="31"/>
    </row>
    <row r="259" spans="10:10" ht="20.100000000000001" customHeight="1">
      <c r="J259" s="31"/>
    </row>
    <row r="260" spans="10:10" ht="20.100000000000001" customHeight="1">
      <c r="J260" s="31"/>
    </row>
    <row r="261" spans="10:10" ht="20.100000000000001" customHeight="1">
      <c r="J261" s="31"/>
    </row>
    <row r="262" spans="10:10" ht="20.100000000000001" customHeight="1">
      <c r="J262" s="31"/>
    </row>
    <row r="263" spans="10:10" ht="20.100000000000001" customHeight="1">
      <c r="J263" s="31"/>
    </row>
    <row r="264" spans="10:10" ht="20.100000000000001" customHeight="1">
      <c r="J264" s="31"/>
    </row>
    <row r="265" spans="10:10" ht="20.100000000000001" customHeight="1">
      <c r="J265" s="31"/>
    </row>
    <row r="266" spans="10:10" ht="20.100000000000001" customHeight="1">
      <c r="J266" s="31"/>
    </row>
    <row r="267" spans="10:10" ht="20.100000000000001" customHeight="1">
      <c r="J267" s="31"/>
    </row>
    <row r="268" spans="10:10" ht="20.100000000000001" customHeight="1">
      <c r="J268" s="31"/>
    </row>
    <row r="269" spans="10:10" ht="20.100000000000001" customHeight="1">
      <c r="J269" s="31"/>
    </row>
    <row r="270" spans="10:10" ht="20.100000000000001" customHeight="1">
      <c r="J270" s="31"/>
    </row>
    <row r="271" spans="10:10" ht="20.100000000000001" customHeight="1">
      <c r="J271" s="31"/>
    </row>
    <row r="272" spans="10:10" ht="20.100000000000001" customHeight="1">
      <c r="J272" s="31"/>
    </row>
    <row r="273" spans="10:10" ht="20.100000000000001" customHeight="1">
      <c r="J273" s="31"/>
    </row>
    <row r="274" spans="10:10" ht="20.100000000000001" customHeight="1">
      <c r="J274" s="31"/>
    </row>
    <row r="275" spans="10:10" ht="20.100000000000001" customHeight="1">
      <c r="J275" s="31"/>
    </row>
    <row r="276" spans="10:10" ht="20.100000000000001" customHeight="1">
      <c r="J276" s="31"/>
    </row>
    <row r="277" spans="10:10" ht="20.100000000000001" customHeight="1">
      <c r="J277" s="31"/>
    </row>
    <row r="278" spans="10:10" ht="20.100000000000001" customHeight="1">
      <c r="J278" s="31"/>
    </row>
    <row r="279" spans="10:10" ht="20.100000000000001" customHeight="1">
      <c r="J279" s="31"/>
    </row>
    <row r="280" spans="10:10" ht="20.100000000000001" customHeight="1">
      <c r="J280" s="31"/>
    </row>
    <row r="281" spans="10:10" ht="20.100000000000001" customHeight="1">
      <c r="J281" s="31"/>
    </row>
    <row r="282" spans="10:10" ht="20.100000000000001" customHeight="1">
      <c r="J282" s="31"/>
    </row>
    <row r="283" spans="10:10" ht="20.100000000000001" customHeight="1">
      <c r="J283" s="31"/>
    </row>
    <row r="284" spans="10:10" ht="20.100000000000001" customHeight="1">
      <c r="J284" s="31"/>
    </row>
    <row r="285" spans="10:10" ht="20.100000000000001" customHeight="1">
      <c r="J285" s="31"/>
    </row>
    <row r="286" spans="10:10" ht="20.100000000000001" customHeight="1">
      <c r="J286" s="31"/>
    </row>
    <row r="287" spans="10:10" ht="20.100000000000001" customHeight="1">
      <c r="J287" s="31"/>
    </row>
    <row r="288" spans="10:10" ht="20.100000000000001" customHeight="1">
      <c r="J288" s="31"/>
    </row>
    <row r="289" spans="10:10" ht="20.100000000000001" customHeight="1">
      <c r="J289" s="31"/>
    </row>
    <row r="290" spans="10:10" ht="20.100000000000001" customHeight="1">
      <c r="J290" s="31"/>
    </row>
    <row r="291" spans="10:10" ht="20.100000000000001" customHeight="1">
      <c r="J291" s="31"/>
    </row>
    <row r="292" spans="10:10" ht="20.100000000000001" customHeight="1">
      <c r="J292" s="31"/>
    </row>
    <row r="293" spans="10:10" ht="20.100000000000001" customHeight="1">
      <c r="J293" s="31"/>
    </row>
    <row r="294" spans="10:10" ht="20.100000000000001" customHeight="1">
      <c r="J294" s="31"/>
    </row>
    <row r="295" spans="10:10" ht="20.100000000000001" customHeight="1">
      <c r="J295" s="31"/>
    </row>
    <row r="296" spans="10:10" ht="20.100000000000001" customHeight="1">
      <c r="J296" s="31"/>
    </row>
    <row r="297" spans="10:10" ht="20.100000000000001" customHeight="1">
      <c r="J297" s="31"/>
    </row>
    <row r="298" spans="10:10" ht="20.100000000000001" customHeight="1">
      <c r="J298" s="31"/>
    </row>
    <row r="299" spans="10:10" ht="20.100000000000001" customHeight="1">
      <c r="J299" s="31"/>
    </row>
    <row r="300" spans="10:10" ht="20.100000000000001" customHeight="1">
      <c r="J300" s="31"/>
    </row>
    <row r="301" spans="10:10" ht="20.100000000000001" customHeight="1">
      <c r="J301" s="31"/>
    </row>
    <row r="302" spans="10:10" ht="20.100000000000001" customHeight="1">
      <c r="J302" s="31"/>
    </row>
    <row r="303" spans="10:10" ht="20.100000000000001" customHeight="1">
      <c r="J303" s="31"/>
    </row>
    <row r="304" spans="10:10" ht="20.100000000000001" customHeight="1">
      <c r="J304" s="31"/>
    </row>
    <row r="305" spans="10:10" ht="20.100000000000001" customHeight="1">
      <c r="J305" s="31"/>
    </row>
    <row r="306" spans="10:10" ht="20.100000000000001" customHeight="1">
      <c r="J306" s="31"/>
    </row>
    <row r="307" spans="10:10" ht="20.100000000000001" customHeight="1">
      <c r="J307" s="31"/>
    </row>
    <row r="308" spans="10:10" ht="20.100000000000001" customHeight="1">
      <c r="J308" s="31"/>
    </row>
    <row r="309" spans="10:10" ht="20.100000000000001" customHeight="1">
      <c r="J309" s="31"/>
    </row>
    <row r="310" spans="10:10" ht="20.100000000000001" customHeight="1">
      <c r="J310" s="31"/>
    </row>
    <row r="311" spans="10:10" ht="20.100000000000001" customHeight="1">
      <c r="J311" s="31"/>
    </row>
    <row r="312" spans="10:10" ht="20.100000000000001" customHeight="1">
      <c r="J312" s="31"/>
    </row>
    <row r="313" spans="10:10" ht="20.100000000000001" customHeight="1">
      <c r="J313" s="31"/>
    </row>
    <row r="314" spans="10:10" ht="20.100000000000001" customHeight="1">
      <c r="J314" s="31"/>
    </row>
    <row r="315" spans="10:10" ht="20.100000000000001" customHeight="1">
      <c r="J315" s="31"/>
    </row>
    <row r="316" spans="10:10" ht="20.100000000000001" customHeight="1">
      <c r="J316" s="31"/>
    </row>
    <row r="317" spans="10:10" ht="20.100000000000001" customHeight="1">
      <c r="J317" s="31"/>
    </row>
    <row r="318" spans="10:10" ht="20.100000000000001" customHeight="1">
      <c r="J318" s="31"/>
    </row>
    <row r="319" spans="10:10" ht="20.100000000000001" customHeight="1">
      <c r="J319" s="31"/>
    </row>
    <row r="320" spans="10:10" ht="20.100000000000001" customHeight="1">
      <c r="J320" s="31"/>
    </row>
    <row r="321" spans="10:10" ht="20.100000000000001" customHeight="1">
      <c r="J321" s="31"/>
    </row>
    <row r="322" spans="10:10" ht="20.100000000000001" customHeight="1">
      <c r="J322" s="31"/>
    </row>
    <row r="323" spans="10:10" ht="20.100000000000001" customHeight="1">
      <c r="J323" s="31"/>
    </row>
    <row r="324" spans="10:10" ht="20.100000000000001" customHeight="1">
      <c r="J324" s="31"/>
    </row>
    <row r="325" spans="10:10" ht="20.100000000000001" customHeight="1">
      <c r="J325" s="31"/>
    </row>
    <row r="326" spans="10:10" ht="20.100000000000001" customHeight="1">
      <c r="J326" s="31"/>
    </row>
    <row r="327" spans="10:10" ht="20.100000000000001" customHeight="1">
      <c r="J327" s="31"/>
    </row>
    <row r="328" spans="10:10" ht="20.100000000000001" customHeight="1">
      <c r="J328" s="31"/>
    </row>
    <row r="329" spans="10:10" ht="20.100000000000001" customHeight="1">
      <c r="J329" s="31"/>
    </row>
    <row r="330" spans="10:10" ht="20.100000000000001" customHeight="1">
      <c r="J330" s="31"/>
    </row>
    <row r="331" spans="10:10" ht="20.100000000000001" customHeight="1">
      <c r="J331" s="31"/>
    </row>
    <row r="332" spans="10:10" ht="20.100000000000001" customHeight="1">
      <c r="J332" s="31"/>
    </row>
    <row r="333" spans="10:10" ht="20.100000000000001" customHeight="1">
      <c r="J333" s="31"/>
    </row>
    <row r="334" spans="10:10" ht="20.100000000000001" customHeight="1">
      <c r="J334" s="31"/>
    </row>
    <row r="335" spans="10:10" ht="20.100000000000001" customHeight="1">
      <c r="J335" s="31"/>
    </row>
    <row r="336" spans="10:10" ht="20.100000000000001" customHeight="1">
      <c r="J336" s="31"/>
    </row>
    <row r="337" spans="10:10" ht="20.100000000000001" customHeight="1">
      <c r="J337" s="31"/>
    </row>
    <row r="338" spans="10:10" ht="20.100000000000001" customHeight="1">
      <c r="J338" s="31"/>
    </row>
    <row r="339" spans="10:10" ht="20.100000000000001" customHeight="1">
      <c r="J339" s="31"/>
    </row>
    <row r="340" spans="10:10" ht="20.100000000000001" customHeight="1">
      <c r="J340" s="31"/>
    </row>
    <row r="341" spans="10:10" ht="20.100000000000001" customHeight="1">
      <c r="J341" s="31"/>
    </row>
    <row r="342" spans="10:10" ht="20.100000000000001" customHeight="1">
      <c r="J342" s="31"/>
    </row>
    <row r="343" spans="10:10" ht="20.100000000000001" customHeight="1">
      <c r="J343" s="31"/>
    </row>
    <row r="344" spans="10:10" ht="20.100000000000001" customHeight="1">
      <c r="J344" s="31"/>
    </row>
    <row r="345" spans="10:10" ht="20.100000000000001" customHeight="1">
      <c r="J345" s="31"/>
    </row>
    <row r="346" spans="10:10" ht="20.100000000000001" customHeight="1">
      <c r="J346" s="31"/>
    </row>
    <row r="347" spans="10:10" ht="20.100000000000001" customHeight="1">
      <c r="J347" s="31"/>
    </row>
    <row r="348" spans="10:10" ht="20.100000000000001" customHeight="1">
      <c r="J348" s="31"/>
    </row>
    <row r="349" spans="10:10" ht="20.100000000000001" customHeight="1">
      <c r="J349" s="31"/>
    </row>
    <row r="350" spans="10:10" ht="20.100000000000001" customHeight="1">
      <c r="J350" s="31"/>
    </row>
    <row r="351" spans="10:10" ht="20.100000000000001" customHeight="1">
      <c r="J351" s="31"/>
    </row>
    <row r="352" spans="10:10" ht="20.100000000000001" customHeight="1">
      <c r="J352" s="31"/>
    </row>
    <row r="353" spans="10:10" ht="20.100000000000001" customHeight="1">
      <c r="J353" s="31"/>
    </row>
    <row r="354" spans="10:10" ht="20.100000000000001" customHeight="1">
      <c r="J354" s="31"/>
    </row>
    <row r="355" spans="10:10" ht="20.100000000000001" customHeight="1">
      <c r="J355" s="31"/>
    </row>
    <row r="356" spans="10:10" ht="20.100000000000001" customHeight="1">
      <c r="J356" s="31"/>
    </row>
    <row r="357" spans="10:10" ht="20.100000000000001" customHeight="1">
      <c r="J357" s="31"/>
    </row>
    <row r="358" spans="10:10" ht="20.100000000000001" customHeight="1">
      <c r="J358" s="31"/>
    </row>
    <row r="359" spans="10:10" ht="20.100000000000001" customHeight="1">
      <c r="J359" s="31"/>
    </row>
    <row r="360" spans="10:10" ht="20.100000000000001" customHeight="1">
      <c r="J360" s="31"/>
    </row>
    <row r="361" spans="10:10" ht="20.100000000000001" customHeight="1">
      <c r="J361" s="31"/>
    </row>
    <row r="362" spans="10:10" ht="20.100000000000001" customHeight="1">
      <c r="J362" s="31"/>
    </row>
    <row r="363" spans="10:10" ht="20.100000000000001" customHeight="1">
      <c r="J363" s="31"/>
    </row>
    <row r="364" spans="10:10" ht="20.100000000000001" customHeight="1">
      <c r="J364" s="31"/>
    </row>
    <row r="365" spans="10:10" ht="20.100000000000001" customHeight="1">
      <c r="J365" s="31"/>
    </row>
    <row r="366" spans="10:10" ht="20.100000000000001" customHeight="1">
      <c r="J366" s="31"/>
    </row>
    <row r="367" spans="10:10" ht="20.100000000000001" customHeight="1">
      <c r="J367" s="31"/>
    </row>
    <row r="368" spans="10:10" ht="20.100000000000001" customHeight="1">
      <c r="J368" s="31"/>
    </row>
    <row r="369" spans="10:10" ht="20.100000000000001" customHeight="1">
      <c r="J369" s="31"/>
    </row>
    <row r="370" spans="10:10" ht="20.100000000000001" customHeight="1">
      <c r="J370" s="31"/>
    </row>
    <row r="371" spans="10:10" ht="20.100000000000001" customHeight="1">
      <c r="J371" s="31"/>
    </row>
    <row r="372" spans="10:10" ht="20.100000000000001" customHeight="1">
      <c r="J372" s="31"/>
    </row>
    <row r="373" spans="10:10" ht="20.100000000000001" customHeight="1">
      <c r="J373" s="31"/>
    </row>
    <row r="374" spans="10:10" ht="20.100000000000001" customHeight="1">
      <c r="J374" s="31"/>
    </row>
    <row r="375" spans="10:10" ht="20.100000000000001" customHeight="1">
      <c r="J375" s="31"/>
    </row>
    <row r="376" spans="10:10" ht="20.100000000000001" customHeight="1">
      <c r="J376" s="31"/>
    </row>
    <row r="377" spans="10:10" ht="20.100000000000001" customHeight="1">
      <c r="J377" s="31"/>
    </row>
    <row r="378" spans="10:10" ht="20.100000000000001" customHeight="1">
      <c r="J378" s="31"/>
    </row>
    <row r="379" spans="10:10" ht="20.100000000000001" customHeight="1">
      <c r="J379" s="31"/>
    </row>
    <row r="380" spans="10:10" ht="20.100000000000001" customHeight="1">
      <c r="J380" s="31"/>
    </row>
    <row r="381" spans="10:10" ht="20.100000000000001" customHeight="1">
      <c r="J381" s="31"/>
    </row>
    <row r="382" spans="10:10" ht="20.100000000000001" customHeight="1">
      <c r="J382" s="31"/>
    </row>
    <row r="383" spans="10:10" ht="20.100000000000001" customHeight="1">
      <c r="J383" s="31"/>
    </row>
    <row r="384" spans="10:10" ht="20.100000000000001" customHeight="1">
      <c r="J384" s="31"/>
    </row>
    <row r="385" spans="10:10" ht="20.100000000000001" customHeight="1">
      <c r="J385" s="31"/>
    </row>
    <row r="386" spans="10:10" ht="20.100000000000001" customHeight="1">
      <c r="J386" s="31"/>
    </row>
    <row r="387" spans="10:10" ht="20.100000000000001" customHeight="1">
      <c r="J387" s="31"/>
    </row>
    <row r="388" spans="10:10" ht="20.100000000000001" customHeight="1">
      <c r="J388" s="31"/>
    </row>
    <row r="389" spans="10:10" ht="20.100000000000001" customHeight="1">
      <c r="J389" s="31"/>
    </row>
    <row r="390" spans="10:10" ht="20.100000000000001" customHeight="1">
      <c r="J390" s="31"/>
    </row>
    <row r="391" spans="10:10" ht="20.100000000000001" customHeight="1">
      <c r="J391" s="31"/>
    </row>
    <row r="392" spans="10:10" ht="20.100000000000001" customHeight="1">
      <c r="J392" s="31"/>
    </row>
    <row r="393" spans="10:10" ht="20.100000000000001" customHeight="1">
      <c r="J393" s="31"/>
    </row>
    <row r="394" spans="10:10" ht="20.100000000000001" customHeight="1">
      <c r="J394" s="31"/>
    </row>
    <row r="395" spans="10:10" ht="20.100000000000001" customHeight="1">
      <c r="J395" s="31"/>
    </row>
    <row r="396" spans="10:10" ht="20.100000000000001" customHeight="1">
      <c r="J396" s="31"/>
    </row>
    <row r="397" spans="10:10" ht="20.100000000000001" customHeight="1">
      <c r="J397" s="31"/>
    </row>
    <row r="398" spans="10:10" ht="20.100000000000001" customHeight="1">
      <c r="J398" s="31"/>
    </row>
    <row r="399" spans="10:10" ht="20.100000000000001" customHeight="1">
      <c r="J399" s="31"/>
    </row>
    <row r="400" spans="10:10" ht="20.100000000000001" customHeight="1">
      <c r="J400" s="31"/>
    </row>
    <row r="401" spans="10:10" ht="20.100000000000001" customHeight="1">
      <c r="J401" s="31"/>
    </row>
  </sheetData>
  <autoFilter ref="A1:I54" xr:uid="{00000000-0001-0000-0800-000000000000}">
    <sortState xmlns:xlrd2="http://schemas.microsoft.com/office/spreadsheetml/2017/richdata2" ref="A2:I54">
      <sortCondition ref="D1:D54"/>
    </sortState>
  </autoFilter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Settings</vt:lpstr>
      <vt:lpstr>Rankings</vt:lpstr>
      <vt:lpstr>My Team</vt:lpstr>
      <vt:lpstr>Standard Deviations</vt:lpstr>
      <vt:lpstr>Hitters</vt:lpstr>
      <vt:lpstr>1B</vt:lpstr>
      <vt:lpstr>2B</vt:lpstr>
      <vt:lpstr>3B</vt:lpstr>
      <vt:lpstr>C</vt:lpstr>
      <vt:lpstr>OF</vt:lpstr>
      <vt:lpstr>SS</vt:lpstr>
      <vt:lpstr>1B+3B</vt:lpstr>
      <vt:lpstr>2B+SS</vt:lpstr>
      <vt:lpstr>Pitchers</vt:lpstr>
      <vt:lpstr>SP</vt:lpstr>
      <vt:lpstr>RP</vt:lpstr>
      <vt:lpstr>SP+RP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Michael Francis</cp:lastModifiedBy>
  <dcterms:created xsi:type="dcterms:W3CDTF">2023-02-21T21:48:02Z</dcterms:created>
  <dcterms:modified xsi:type="dcterms:W3CDTF">2023-03-27T02:33:53Z</dcterms:modified>
</cp:coreProperties>
</file>